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SITHE-FLSH" sheetId="53" r:id="rId7"/>
    <sheet name="ARUBA-FLSH" sheetId="49" r:id="rId8"/>
    <sheet name="EAST-EGM-FLSH" sheetId="9" r:id="rId9"/>
    <sheet name="EAST-LRC-FLSH" sheetId="11" r:id="rId10"/>
    <sheet name="EAST-CON-FLSH" sheetId="12" r:id="rId11"/>
    <sheet name="BGC-EGM-FLSH" sheetId="10" r:id="rId12"/>
    <sheet name="TX-EGM-FLSH" sheetId="13" r:id="rId13"/>
    <sheet name="TX-HPLR-FLSH" sheetId="14" r:id="rId14"/>
    <sheet name="TX-HPLC-FLSH" sheetId="45" r:id="rId15"/>
    <sheet name="TX-CON-FLSH" sheetId="15" r:id="rId16"/>
    <sheet name="WE-FLSH" sheetId="16" r:id="rId17"/>
    <sheet name="STG_FLSH" sheetId="18" r:id="rId18"/>
    <sheet name="ONT_FLSH" sheetId="19" r:id="rId19"/>
    <sheet name="BUG_FLSH" sheetId="17" r:id="rId20"/>
    <sheet name="CE_GL" sheetId="20" r:id="rId21"/>
    <sheet name="SITHE_GL" sheetId="54" r:id="rId22"/>
    <sheet name="ARUBA_GL" sheetId="48" r:id="rId23"/>
    <sheet name="EAST-EGM-GL" sheetId="21" r:id="rId24"/>
    <sheet name="EAST-LRC-GL" sheetId="23" r:id="rId25"/>
    <sheet name="EAST-CON-GL " sheetId="24" r:id="rId26"/>
    <sheet name="BGC-EGM-GL" sheetId="22" r:id="rId27"/>
    <sheet name="TX-EGM-GL" sheetId="25" r:id="rId28"/>
    <sheet name="TX-HPLR-GL " sheetId="26" r:id="rId29"/>
    <sheet name="TX-HPLC-GL" sheetId="46" r:id="rId30"/>
    <sheet name="TX-CON-GL " sheetId="27" r:id="rId31"/>
    <sheet name="WE-GL " sheetId="28" r:id="rId32"/>
    <sheet name="BUG_GL" sheetId="29" r:id="rId33"/>
    <sheet name="STG_GL" sheetId="30" r:id="rId34"/>
    <sheet name="ONT_GL " sheetId="31" r:id="rId35"/>
    <sheet name="CE-VAR" sheetId="32" r:id="rId36"/>
    <sheet name="SITHE-VAR" sheetId="52" r:id="rId37"/>
    <sheet name="ARUBA-VAR" sheetId="50" r:id="rId38"/>
    <sheet name="EAST-EGM-VAR" sheetId="33" r:id="rId39"/>
    <sheet name="EAST-LRC-VAR" sheetId="35" r:id="rId40"/>
    <sheet name="EAST-CON-VAR" sheetId="36" r:id="rId41"/>
    <sheet name="BGC-EGM-VAR" sheetId="34" r:id="rId42"/>
    <sheet name="TX-EGM-VAR" sheetId="37" r:id="rId43"/>
    <sheet name="TX-HPLR-VAR " sheetId="38" r:id="rId44"/>
    <sheet name="TX-HPLC-VAR" sheetId="47" r:id="rId45"/>
    <sheet name="TX-CON-VAR" sheetId="39" r:id="rId46"/>
    <sheet name="WE-VAR" sheetId="40" r:id="rId47"/>
    <sheet name="STG_VAR" sheetId="42" r:id="rId48"/>
    <sheet name="ONT_VAR" sheetId="43" r:id="rId49"/>
    <sheet name="BUG_VAR" sheetId="41" r:id="rId50"/>
    <sheet name="Actuals" sheetId="44" r:id="rId51"/>
  </sheets>
  <externalReferences>
    <externalReference r:id="rId52"/>
    <externalReference r:id="rId53"/>
  </externalReferences>
  <definedNames>
    <definedName name="canada">[0]!canada</definedName>
    <definedName name="central">[0]!central</definedName>
    <definedName name="checkbalance">Actuals!$D$636:$AC$650</definedName>
    <definedName name="complete">[0]!complete</definedName>
    <definedName name="northeast">[0]!northeast</definedName>
    <definedName name="_xlnm.Print_Area" localSheetId="51">Actuals!$D$636:$I$650</definedName>
    <definedName name="_xlnm.Print_Area" localSheetId="12">'BGC-EGM-FLSH'!$A$1:$M$82</definedName>
    <definedName name="_xlnm.Print_Area" localSheetId="42">'BGC-EGM-VAR'!$A$1:$I$82</definedName>
    <definedName name="_xlnm.Print_Area" localSheetId="50">BUG_VAR!$A$1:$I$82</definedName>
    <definedName name="_xlnm.Print_Area" localSheetId="36">'CE-VAR'!$A$1:$I$82</definedName>
    <definedName name="_xlnm.Print_Area" localSheetId="2">Check!$A$1:$H$28</definedName>
    <definedName name="_xlnm.Print_Area" localSheetId="11">'EAST-CON-FLSH'!$A$1:$M$82</definedName>
    <definedName name="_xlnm.Print_Area" localSheetId="41">'EAST-CON-VAR'!$A$1:$I$82</definedName>
    <definedName name="_xlnm.Print_Area" localSheetId="9">'EAST-EGM-FLSH'!$A$1:$M$82</definedName>
    <definedName name="_xlnm.Print_Area" localSheetId="39">'EAST-EGM-VAR'!$A$1:$I$82</definedName>
    <definedName name="_xlnm.Print_Area" localSheetId="10">'EAST-LRC-FLSH'!$A$1:$M$82</definedName>
    <definedName name="_xlnm.Print_Area" localSheetId="40">'EAST-LRC-VAR'!$A$1:$I$82</definedName>
    <definedName name="_xlnm.Print_Area" localSheetId="49">ONT_VAR!$A$1:$I$82</definedName>
    <definedName name="_xlnm.Print_Area" localSheetId="4">RECLASS!$A$1:$AE$82</definedName>
    <definedName name="_xlnm.Print_Area" localSheetId="48">STG_VAR!$A$1:$I$82</definedName>
    <definedName name="_xlnm.Print_Area" localSheetId="5">'TIE-OUT'!$A$1:$AE$95</definedName>
    <definedName name="_xlnm.Print_Area" localSheetId="3">TOTAL!$A$1:$I$82</definedName>
    <definedName name="_xlnm.Print_Area" localSheetId="16">'TX-CON-FLSH'!$A$1:$M$82</definedName>
    <definedName name="_xlnm.Print_Area" localSheetId="46">'TX-CON-VAR'!$A$1:$I$82</definedName>
    <definedName name="_xlnm.Print_Area" localSheetId="13">'TX-EGM-FLSH'!$A$1:$M$82</definedName>
    <definedName name="_xlnm.Print_Area" localSheetId="43">'TX-EGM-VAR'!$A$1:$I$82</definedName>
    <definedName name="_xlnm.Print_Area" localSheetId="14">'TX-HPLR-FLSH'!$A$1:$M$82</definedName>
    <definedName name="_xlnm.Print_Area" localSheetId="44">'TX-HPLR-VAR '!$A$1:$I$82</definedName>
    <definedName name="_xlnm.Print_Area" localSheetId="17">'WE-FLSH'!$A$1:$M$82</definedName>
    <definedName name="_xlnm.Print_Area" localSheetId="4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 s="1"/>
  <c r="M1" i="44" s="1"/>
  <c r="O1" i="44" s="1"/>
  <c r="Q1" i="44" s="1"/>
  <c r="S1" i="44" s="1"/>
  <c r="U1" i="44" s="1"/>
  <c r="W1" i="44" s="1"/>
  <c r="Y1" i="44" s="1"/>
  <c r="AA1" i="44" s="1"/>
  <c r="AC1" i="44" s="1"/>
  <c r="AE1" i="44" s="1"/>
  <c r="H636" i="44"/>
  <c r="J636" i="44"/>
  <c r="L636" i="44"/>
  <c r="N636" i="44" s="1"/>
  <c r="P636" i="44" s="1"/>
  <c r="R636" i="44" s="1"/>
  <c r="T636" i="44" s="1"/>
  <c r="V636" i="44" s="1"/>
  <c r="X636" i="44" s="1"/>
  <c r="Z636" i="44" s="1"/>
  <c r="AB636" i="44" s="1"/>
  <c r="A5" i="48"/>
  <c r="F11" i="48"/>
  <c r="G11" i="48"/>
  <c r="E11" i="48" s="1"/>
  <c r="L11" i="48"/>
  <c r="M11" i="48"/>
  <c r="N11" i="48"/>
  <c r="O11" i="48"/>
  <c r="P11" i="48"/>
  <c r="P16" i="48" s="1"/>
  <c r="Q11" i="48"/>
  <c r="R11" i="48"/>
  <c r="S11" i="48"/>
  <c r="S16" i="48" s="1"/>
  <c r="T11" i="48"/>
  <c r="U11" i="48"/>
  <c r="V11" i="48"/>
  <c r="W11" i="48"/>
  <c r="F12" i="48"/>
  <c r="G12" i="48"/>
  <c r="E12" i="48" s="1"/>
  <c r="L12" i="48"/>
  <c r="M12" i="48"/>
  <c r="N12" i="48"/>
  <c r="O12" i="48"/>
  <c r="P12" i="48"/>
  <c r="Q12" i="48"/>
  <c r="R12" i="48"/>
  <c r="S12" i="48"/>
  <c r="T12" i="48"/>
  <c r="U12" i="48"/>
  <c r="V12" i="48"/>
  <c r="W12" i="48"/>
  <c r="F13" i="48"/>
  <c r="G13" i="48"/>
  <c r="L13" i="48"/>
  <c r="M13" i="48"/>
  <c r="E13" i="48" s="1"/>
  <c r="G13" i="50" s="1"/>
  <c r="N13" i="48"/>
  <c r="O13" i="48"/>
  <c r="P13" i="48"/>
  <c r="Q13" i="48"/>
  <c r="R13" i="48"/>
  <c r="S13" i="48"/>
  <c r="T13" i="48"/>
  <c r="U13" i="48"/>
  <c r="V13" i="48"/>
  <c r="W13" i="48"/>
  <c r="F14" i="48"/>
  <c r="G14" i="48"/>
  <c r="L14" i="48"/>
  <c r="M14" i="48"/>
  <c r="E14" i="48" s="1"/>
  <c r="N14" i="48"/>
  <c r="O14" i="48"/>
  <c r="P14" i="48"/>
  <c r="Q14" i="48"/>
  <c r="R14" i="48"/>
  <c r="S14" i="48"/>
  <c r="T14" i="48"/>
  <c r="U14" i="48"/>
  <c r="U16" i="48" s="1"/>
  <c r="V14" i="48"/>
  <c r="W14" i="48"/>
  <c r="F15" i="48"/>
  <c r="G15" i="48"/>
  <c r="L15" i="48"/>
  <c r="M15" i="48"/>
  <c r="E15" i="48" s="1"/>
  <c r="N15" i="48"/>
  <c r="O15" i="48"/>
  <c r="P15" i="48"/>
  <c r="Q15" i="48"/>
  <c r="R15" i="48"/>
  <c r="S15" i="48"/>
  <c r="T15" i="48"/>
  <c r="U15" i="48"/>
  <c r="V15" i="48"/>
  <c r="W15" i="48"/>
  <c r="F16" i="48"/>
  <c r="G16" i="48"/>
  <c r="H16" i="48"/>
  <c r="I16" i="48"/>
  <c r="J16" i="48"/>
  <c r="K16" i="48"/>
  <c r="L16" i="48"/>
  <c r="O16" i="48"/>
  <c r="Q16" i="48"/>
  <c r="R16" i="48"/>
  <c r="T16" i="48"/>
  <c r="W16" i="48"/>
  <c r="X16" i="48"/>
  <c r="Y16" i="48"/>
  <c r="Z16" i="48"/>
  <c r="AA16" i="48"/>
  <c r="AB16" i="48"/>
  <c r="AC16" i="48"/>
  <c r="AD16" i="48"/>
  <c r="AE16" i="48"/>
  <c r="F19" i="48"/>
  <c r="G19" i="48"/>
  <c r="J19" i="48"/>
  <c r="J24" i="48" s="1"/>
  <c r="K19" i="48"/>
  <c r="L19" i="48"/>
  <c r="M19" i="48"/>
  <c r="N19" i="48"/>
  <c r="O19" i="48"/>
  <c r="E19" i="48" s="1"/>
  <c r="P19" i="48"/>
  <c r="P24" i="48" s="1"/>
  <c r="Q19" i="48"/>
  <c r="R19" i="48"/>
  <c r="R24" i="48" s="1"/>
  <c r="S19" i="48"/>
  <c r="T19" i="48"/>
  <c r="U19" i="48"/>
  <c r="V19" i="48"/>
  <c r="W19" i="48"/>
  <c r="D20" i="48"/>
  <c r="F20" i="50" s="1"/>
  <c r="F20" i="48"/>
  <c r="G20" i="48"/>
  <c r="E20" i="48" s="1"/>
  <c r="L20" i="48"/>
  <c r="M20" i="48"/>
  <c r="N20" i="48"/>
  <c r="O20" i="48"/>
  <c r="P20" i="48"/>
  <c r="Q20" i="48"/>
  <c r="R20" i="48"/>
  <c r="S20" i="48"/>
  <c r="T20" i="48"/>
  <c r="U20" i="48"/>
  <c r="V20" i="48"/>
  <c r="W20" i="48"/>
  <c r="F21" i="48"/>
  <c r="G21" i="48"/>
  <c r="E21" i="48" s="1"/>
  <c r="L21" i="48"/>
  <c r="M21" i="48"/>
  <c r="N21" i="48"/>
  <c r="O21" i="48"/>
  <c r="P21" i="48"/>
  <c r="D21" i="48" s="1"/>
  <c r="Q21" i="48"/>
  <c r="R21" i="48"/>
  <c r="S21" i="48"/>
  <c r="T21" i="48"/>
  <c r="U21" i="48"/>
  <c r="V21" i="48"/>
  <c r="W21" i="48"/>
  <c r="F22" i="48"/>
  <c r="G22" i="48"/>
  <c r="E22" i="48" s="1"/>
  <c r="L22" i="48"/>
  <c r="M22" i="48"/>
  <c r="N22" i="48"/>
  <c r="O22" i="48"/>
  <c r="P22" i="48"/>
  <c r="D22" i="48" s="1"/>
  <c r="F22" i="50" s="1"/>
  <c r="Q22" i="48"/>
  <c r="Q24" i="48" s="1"/>
  <c r="R22" i="48"/>
  <c r="S22" i="48"/>
  <c r="T22" i="48"/>
  <c r="U22" i="48"/>
  <c r="V22" i="48"/>
  <c r="W22" i="48"/>
  <c r="D23" i="48"/>
  <c r="F23" i="48"/>
  <c r="G23" i="48"/>
  <c r="E23" i="48" s="1"/>
  <c r="L23" i="48"/>
  <c r="M23" i="48"/>
  <c r="N23" i="48"/>
  <c r="O23" i="48"/>
  <c r="P23" i="48"/>
  <c r="Q23" i="48"/>
  <c r="R23" i="48"/>
  <c r="S23" i="48"/>
  <c r="T23" i="48"/>
  <c r="U23" i="48"/>
  <c r="V23" i="48"/>
  <c r="W23" i="48"/>
  <c r="G24" i="48"/>
  <c r="H24" i="48"/>
  <c r="I24" i="48"/>
  <c r="K24" i="48"/>
  <c r="L24" i="48"/>
  <c r="M24" i="48"/>
  <c r="N24" i="48"/>
  <c r="O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F27" i="48"/>
  <c r="G27" i="48"/>
  <c r="E27" i="48" s="1"/>
  <c r="L27" i="48"/>
  <c r="M27" i="48"/>
  <c r="N27" i="48"/>
  <c r="N29" i="48" s="1"/>
  <c r="O27" i="48"/>
  <c r="P27" i="48"/>
  <c r="Q27" i="48"/>
  <c r="R27" i="48"/>
  <c r="S27" i="48"/>
  <c r="T27" i="48"/>
  <c r="T29" i="48" s="1"/>
  <c r="U27" i="48"/>
  <c r="V27" i="48"/>
  <c r="V29" i="48" s="1"/>
  <c r="W27" i="48"/>
  <c r="F28" i="48"/>
  <c r="G28" i="48"/>
  <c r="E28" i="48" s="1"/>
  <c r="L28" i="48"/>
  <c r="M28" i="48"/>
  <c r="N28" i="48"/>
  <c r="O28" i="48"/>
  <c r="P28" i="48"/>
  <c r="Q28" i="48"/>
  <c r="R28" i="48"/>
  <c r="S28" i="48"/>
  <c r="S29" i="48" s="1"/>
  <c r="T28" i="48"/>
  <c r="U28" i="48"/>
  <c r="V28" i="48"/>
  <c r="W28" i="48"/>
  <c r="F29" i="48"/>
  <c r="G29" i="48"/>
  <c r="H29" i="48"/>
  <c r="I29" i="48"/>
  <c r="J29" i="48"/>
  <c r="K29" i="48"/>
  <c r="M29" i="48"/>
  <c r="O29" i="48"/>
  <c r="P29" i="48"/>
  <c r="Q29" i="48"/>
  <c r="R29" i="48"/>
  <c r="U29" i="48"/>
  <c r="W29" i="48"/>
  <c r="X29" i="48"/>
  <c r="Y29" i="48"/>
  <c r="Z29" i="48"/>
  <c r="AA29" i="48"/>
  <c r="AB29" i="48"/>
  <c r="AC29" i="48"/>
  <c r="AD29" i="48"/>
  <c r="AE29" i="48"/>
  <c r="F32" i="48"/>
  <c r="G32" i="48"/>
  <c r="E32" i="48" s="1"/>
  <c r="E36" i="48" s="1"/>
  <c r="L32" i="48"/>
  <c r="M32" i="48"/>
  <c r="N32" i="48"/>
  <c r="O32" i="48"/>
  <c r="P32" i="48"/>
  <c r="D32" i="48" s="1"/>
  <c r="Q32" i="48"/>
  <c r="R32" i="48"/>
  <c r="S32" i="48"/>
  <c r="T32" i="48"/>
  <c r="U32" i="48"/>
  <c r="V32" i="48"/>
  <c r="W32" i="48"/>
  <c r="F33" i="48"/>
  <c r="G33" i="48"/>
  <c r="E33" i="48" s="1"/>
  <c r="L33" i="48"/>
  <c r="M33" i="48"/>
  <c r="N33" i="48"/>
  <c r="O33" i="48"/>
  <c r="P33" i="48"/>
  <c r="D33" i="48" s="1"/>
  <c r="F33" i="50" s="1"/>
  <c r="H33" i="50" s="1"/>
  <c r="Q33" i="48"/>
  <c r="Q36" i="48" s="1"/>
  <c r="R33" i="48"/>
  <c r="S33" i="48"/>
  <c r="T33" i="48"/>
  <c r="U33" i="48"/>
  <c r="V33" i="48"/>
  <c r="W33" i="48"/>
  <c r="F34" i="48"/>
  <c r="G34" i="48"/>
  <c r="E34" i="48" s="1"/>
  <c r="L34" i="48"/>
  <c r="M34" i="48"/>
  <c r="N34" i="48"/>
  <c r="O34" i="48"/>
  <c r="P34" i="48"/>
  <c r="D34" i="48" s="1"/>
  <c r="F34" i="50" s="1"/>
  <c r="Q34" i="48"/>
  <c r="R34" i="48"/>
  <c r="S34" i="48"/>
  <c r="T34" i="48"/>
  <c r="U34" i="48"/>
  <c r="V34" i="48"/>
  <c r="W34" i="48"/>
  <c r="D35" i="48"/>
  <c r="F35" i="48"/>
  <c r="G35" i="48"/>
  <c r="E35" i="48" s="1"/>
  <c r="L35" i="48"/>
  <c r="M35" i="48"/>
  <c r="N35" i="48"/>
  <c r="O35" i="48"/>
  <c r="P35" i="48"/>
  <c r="Q35" i="48"/>
  <c r="R35" i="48"/>
  <c r="S35" i="48"/>
  <c r="T35" i="48"/>
  <c r="U35" i="48"/>
  <c r="V35" i="48"/>
  <c r="W35" i="48"/>
  <c r="F36" i="48"/>
  <c r="G36" i="48"/>
  <c r="H36" i="48"/>
  <c r="I36" i="48"/>
  <c r="J36" i="48"/>
  <c r="K36" i="48"/>
  <c r="L36" i="48"/>
  <c r="M36" i="48"/>
  <c r="N36" i="48"/>
  <c r="O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F39" i="48"/>
  <c r="G39" i="48"/>
  <c r="E39" i="48" s="1"/>
  <c r="L39" i="48"/>
  <c r="M39" i="48"/>
  <c r="N39" i="48"/>
  <c r="O39" i="48"/>
  <c r="P39" i="48"/>
  <c r="Q39" i="48"/>
  <c r="R39" i="48"/>
  <c r="S39" i="48"/>
  <c r="T39" i="48"/>
  <c r="U39" i="48"/>
  <c r="V39" i="48"/>
  <c r="W39" i="48"/>
  <c r="F40" i="48"/>
  <c r="G40" i="48"/>
  <c r="E40" i="48" s="1"/>
  <c r="L40" i="48"/>
  <c r="M40" i="48"/>
  <c r="M42" i="48" s="1"/>
  <c r="M43" i="48" s="1"/>
  <c r="N40" i="48"/>
  <c r="N42" i="48" s="1"/>
  <c r="N43" i="48" s="1"/>
  <c r="O40" i="48"/>
  <c r="P40" i="48"/>
  <c r="Q40" i="48"/>
  <c r="R40" i="48"/>
  <c r="S40" i="48"/>
  <c r="T40" i="48"/>
  <c r="U40" i="48"/>
  <c r="U42" i="48" s="1"/>
  <c r="U43" i="48" s="1"/>
  <c r="V40" i="48"/>
  <c r="V42" i="48" s="1"/>
  <c r="V43" i="48" s="1"/>
  <c r="W40" i="48"/>
  <c r="F41" i="48"/>
  <c r="G41" i="48"/>
  <c r="E41" i="48" s="1"/>
  <c r="L41" i="48"/>
  <c r="M41" i="48"/>
  <c r="N41" i="48"/>
  <c r="O41" i="48"/>
  <c r="P41" i="48"/>
  <c r="Q41" i="48"/>
  <c r="R41" i="48"/>
  <c r="S41" i="48"/>
  <c r="T41" i="48"/>
  <c r="U41" i="48"/>
  <c r="V41" i="48"/>
  <c r="W41" i="48"/>
  <c r="F42" i="48"/>
  <c r="G42" i="48"/>
  <c r="H42" i="48"/>
  <c r="H43" i="48" s="1"/>
  <c r="I42" i="48"/>
  <c r="I43" i="48" s="1"/>
  <c r="J42" i="48"/>
  <c r="J43" i="48" s="1"/>
  <c r="K42" i="48"/>
  <c r="O42" i="48"/>
  <c r="P42" i="48"/>
  <c r="P43" i="48" s="1"/>
  <c r="Q42" i="48"/>
  <c r="Q43" i="48" s="1"/>
  <c r="R42" i="48"/>
  <c r="R43" i="48" s="1"/>
  <c r="S42" i="48"/>
  <c r="W42" i="48"/>
  <c r="X42" i="48"/>
  <c r="X43" i="48" s="1"/>
  <c r="X82" i="48" s="1"/>
  <c r="V651" i="44" s="1"/>
  <c r="Y42" i="48"/>
  <c r="Y43" i="48" s="1"/>
  <c r="Z42" i="48"/>
  <c r="Z43" i="48" s="1"/>
  <c r="AA42" i="48"/>
  <c r="AB42" i="48"/>
  <c r="AC42" i="48"/>
  <c r="AD42" i="48"/>
  <c r="AE42" i="48"/>
  <c r="F43" i="48"/>
  <c r="G43" i="48"/>
  <c r="K43" i="48"/>
  <c r="O43" i="48"/>
  <c r="S43" i="48"/>
  <c r="W43" i="48"/>
  <c r="AA43" i="48"/>
  <c r="AB43" i="48"/>
  <c r="AC43" i="48"/>
  <c r="AD43" i="48"/>
  <c r="AE43" i="48"/>
  <c r="F45" i="48"/>
  <c r="G45" i="48"/>
  <c r="E45" i="48" s="1"/>
  <c r="L45" i="48"/>
  <c r="M45" i="48"/>
  <c r="N45" i="48"/>
  <c r="O45" i="48"/>
  <c r="P45" i="48"/>
  <c r="Q45" i="48"/>
  <c r="R45" i="48"/>
  <c r="S45" i="48"/>
  <c r="T45" i="48"/>
  <c r="U45" i="48"/>
  <c r="V45" i="48"/>
  <c r="W45" i="48"/>
  <c r="F47" i="48"/>
  <c r="G47" i="48"/>
  <c r="E47" i="48" s="1"/>
  <c r="L47" i="48"/>
  <c r="M47" i="48"/>
  <c r="N47" i="48"/>
  <c r="O47" i="48"/>
  <c r="P47" i="48"/>
  <c r="Q47" i="48"/>
  <c r="R47" i="48"/>
  <c r="S47" i="48"/>
  <c r="T47" i="48"/>
  <c r="U47" i="48"/>
  <c r="V47" i="48"/>
  <c r="W47" i="48"/>
  <c r="F49" i="48"/>
  <c r="G49" i="48"/>
  <c r="E49" i="48" s="1"/>
  <c r="L49" i="48"/>
  <c r="M49" i="48"/>
  <c r="N49" i="48"/>
  <c r="O49" i="48"/>
  <c r="P49" i="48"/>
  <c r="Q49" i="48"/>
  <c r="R49" i="48"/>
  <c r="S49" i="48"/>
  <c r="T49" i="48"/>
  <c r="U49" i="48"/>
  <c r="V49" i="48"/>
  <c r="W49" i="48"/>
  <c r="F51" i="48"/>
  <c r="G51" i="48"/>
  <c r="E51" i="48" s="1"/>
  <c r="L51" i="48"/>
  <c r="M51" i="48"/>
  <c r="N51" i="48"/>
  <c r="O51" i="48"/>
  <c r="P51" i="48"/>
  <c r="Q51" i="48"/>
  <c r="R51" i="48"/>
  <c r="S51" i="48"/>
  <c r="T51" i="48"/>
  <c r="U51" i="48"/>
  <c r="V51" i="48"/>
  <c r="W51" i="48"/>
  <c r="Y51" i="48"/>
  <c r="F54" i="48"/>
  <c r="D54" i="48" s="1"/>
  <c r="I54" i="48"/>
  <c r="K54" i="48"/>
  <c r="K56" i="48" s="1"/>
  <c r="K82" i="48" s="1"/>
  <c r="I651" i="44" s="1"/>
  <c r="L54" i="48"/>
  <c r="M54" i="48"/>
  <c r="N54" i="48"/>
  <c r="O54" i="48"/>
  <c r="P54" i="48"/>
  <c r="Q54" i="48"/>
  <c r="R54" i="48"/>
  <c r="S54" i="48"/>
  <c r="T54" i="48"/>
  <c r="U54" i="48"/>
  <c r="V54" i="48"/>
  <c r="W54" i="48"/>
  <c r="F55" i="48"/>
  <c r="G55" i="48"/>
  <c r="L55" i="48"/>
  <c r="M55" i="48"/>
  <c r="N55" i="48"/>
  <c r="O55" i="48"/>
  <c r="P55" i="48"/>
  <c r="P56" i="48" s="1"/>
  <c r="Q55" i="48"/>
  <c r="R55" i="48"/>
  <c r="R56" i="48" s="1"/>
  <c r="S55" i="48"/>
  <c r="T55" i="48"/>
  <c r="U55" i="48"/>
  <c r="V55" i="48"/>
  <c r="W55" i="48"/>
  <c r="F56" i="48"/>
  <c r="H56" i="48"/>
  <c r="I56" i="48"/>
  <c r="J56" i="48"/>
  <c r="L56" i="48"/>
  <c r="M56" i="48"/>
  <c r="N56" i="48"/>
  <c r="O56" i="48"/>
  <c r="T56" i="48"/>
  <c r="U56" i="48"/>
  <c r="V56" i="48"/>
  <c r="W56" i="48"/>
  <c r="X56" i="48"/>
  <c r="Y56" i="48"/>
  <c r="Z56" i="48"/>
  <c r="AA56" i="48"/>
  <c r="AB56" i="48"/>
  <c r="AC56" i="48"/>
  <c r="AC82" i="48" s="1"/>
  <c r="AA651" i="44" s="1"/>
  <c r="AD56" i="48"/>
  <c r="AE56" i="48"/>
  <c r="F59" i="48"/>
  <c r="G59" i="48"/>
  <c r="L59" i="48"/>
  <c r="D59" i="48" s="1"/>
  <c r="D61" i="48" s="1"/>
  <c r="M59" i="48"/>
  <c r="N59" i="48"/>
  <c r="O59" i="48"/>
  <c r="O61" i="48" s="1"/>
  <c r="P59" i="48"/>
  <c r="Q59" i="48"/>
  <c r="R59" i="48"/>
  <c r="S59" i="48"/>
  <c r="T59" i="48"/>
  <c r="U59" i="48"/>
  <c r="V59" i="48"/>
  <c r="W59" i="48"/>
  <c r="W61" i="48" s="1"/>
  <c r="F60" i="48"/>
  <c r="G60" i="48"/>
  <c r="L60" i="48"/>
  <c r="M60" i="48"/>
  <c r="N60" i="48"/>
  <c r="O60" i="48"/>
  <c r="P60" i="48"/>
  <c r="D60" i="48" s="1"/>
  <c r="Q60" i="48"/>
  <c r="R60" i="48"/>
  <c r="S60" i="48"/>
  <c r="T60" i="48"/>
  <c r="U60" i="48"/>
  <c r="V60" i="48"/>
  <c r="W60" i="48"/>
  <c r="F61" i="48"/>
  <c r="G61" i="48"/>
  <c r="H61" i="48"/>
  <c r="I61" i="48"/>
  <c r="J61" i="48"/>
  <c r="K61" i="48"/>
  <c r="L61" i="48"/>
  <c r="N61" i="48"/>
  <c r="Q61" i="48"/>
  <c r="R61" i="48"/>
  <c r="S61" i="48"/>
  <c r="T61" i="48"/>
  <c r="V61" i="48"/>
  <c r="X61" i="48"/>
  <c r="Y61" i="48"/>
  <c r="Z61" i="48"/>
  <c r="AA61" i="48"/>
  <c r="AB61" i="48"/>
  <c r="AC61" i="48"/>
  <c r="AD61" i="48"/>
  <c r="AE61" i="48"/>
  <c r="F64" i="48"/>
  <c r="G64" i="48"/>
  <c r="L64" i="48"/>
  <c r="D64" i="48" s="1"/>
  <c r="M64" i="48"/>
  <c r="N64" i="48"/>
  <c r="O64" i="48"/>
  <c r="P64" i="48"/>
  <c r="Q64" i="48"/>
  <c r="Q66" i="48" s="1"/>
  <c r="R64" i="48"/>
  <c r="R66" i="48" s="1"/>
  <c r="S64" i="48"/>
  <c r="T64" i="48"/>
  <c r="U64" i="48"/>
  <c r="V64" i="48"/>
  <c r="W64" i="48"/>
  <c r="F65" i="48"/>
  <c r="G65" i="48"/>
  <c r="L65" i="48"/>
  <c r="D65" i="48" s="1"/>
  <c r="M65" i="48"/>
  <c r="N65" i="48"/>
  <c r="O65" i="48"/>
  <c r="P65" i="48"/>
  <c r="Q65" i="48"/>
  <c r="R65" i="48"/>
  <c r="S65" i="48"/>
  <c r="T65" i="48"/>
  <c r="U65" i="48"/>
  <c r="V65" i="48"/>
  <c r="W65" i="48"/>
  <c r="F66" i="48"/>
  <c r="H66" i="48"/>
  <c r="I66" i="48"/>
  <c r="J66" i="48"/>
  <c r="K66" i="48"/>
  <c r="L66" i="48"/>
  <c r="M66" i="48"/>
  <c r="N66" i="48"/>
  <c r="O66" i="48"/>
  <c r="P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F70" i="48"/>
  <c r="G70" i="48"/>
  <c r="L70" i="48"/>
  <c r="M70" i="48"/>
  <c r="N70" i="48"/>
  <c r="N72" i="48" s="1"/>
  <c r="O70" i="48"/>
  <c r="P70" i="48"/>
  <c r="D70" i="48" s="1"/>
  <c r="D72" i="48" s="1"/>
  <c r="Q70" i="48"/>
  <c r="R70" i="48"/>
  <c r="S70" i="48"/>
  <c r="T70" i="48"/>
  <c r="U70" i="48"/>
  <c r="U72" i="48" s="1"/>
  <c r="V70" i="48"/>
  <c r="V72" i="48" s="1"/>
  <c r="W70" i="48"/>
  <c r="F71" i="48"/>
  <c r="G71" i="48"/>
  <c r="L71" i="48"/>
  <c r="M71" i="48"/>
  <c r="N71" i="48"/>
  <c r="O71" i="48"/>
  <c r="P71" i="48"/>
  <c r="D71" i="48" s="1"/>
  <c r="Q71" i="48"/>
  <c r="R71" i="48"/>
  <c r="S71" i="48"/>
  <c r="T71" i="48"/>
  <c r="U71" i="48"/>
  <c r="V71" i="48"/>
  <c r="W71" i="48"/>
  <c r="F72" i="48"/>
  <c r="G72" i="48"/>
  <c r="H72" i="48"/>
  <c r="I72" i="48"/>
  <c r="J72" i="48"/>
  <c r="K72" i="48"/>
  <c r="L72" i="48"/>
  <c r="Q72" i="48"/>
  <c r="R72" i="48"/>
  <c r="S72" i="48"/>
  <c r="T72" i="48"/>
  <c r="X72" i="48"/>
  <c r="Y72" i="48"/>
  <c r="Z72" i="48"/>
  <c r="AA72" i="48"/>
  <c r="AB72" i="48"/>
  <c r="AC72" i="48"/>
  <c r="AD72" i="48"/>
  <c r="AE72" i="48"/>
  <c r="F73" i="48"/>
  <c r="G73" i="48"/>
  <c r="L73" i="48"/>
  <c r="D73" i="48" s="1"/>
  <c r="M73" i="48"/>
  <c r="N73" i="48"/>
  <c r="O73" i="48"/>
  <c r="P73" i="48"/>
  <c r="Q73" i="48"/>
  <c r="E73" i="48" s="1"/>
  <c r="R73" i="48"/>
  <c r="S73" i="48"/>
  <c r="T73" i="48"/>
  <c r="U73" i="48"/>
  <c r="V73" i="48"/>
  <c r="W73" i="48"/>
  <c r="F74" i="48"/>
  <c r="L74" i="48"/>
  <c r="D74" i="48" s="1"/>
  <c r="M74" i="48"/>
  <c r="N74" i="48"/>
  <c r="O74" i="48"/>
  <c r="P74" i="48"/>
  <c r="Q74" i="48"/>
  <c r="R74" i="48"/>
  <c r="S74" i="48"/>
  <c r="T74" i="48"/>
  <c r="U74" i="48"/>
  <c r="V74" i="48"/>
  <c r="W74" i="48"/>
  <c r="F75" i="48"/>
  <c r="G75" i="48"/>
  <c r="E75" i="48" s="1"/>
  <c r="L75" i="48"/>
  <c r="D75" i="48" s="1"/>
  <c r="M75" i="48"/>
  <c r="N75" i="48"/>
  <c r="O75" i="48"/>
  <c r="P75" i="48"/>
  <c r="Q75" i="48"/>
  <c r="R75" i="48"/>
  <c r="S75" i="48"/>
  <c r="T75" i="48"/>
  <c r="U75" i="48"/>
  <c r="V75" i="48"/>
  <c r="W75" i="48"/>
  <c r="F76" i="48"/>
  <c r="G76" i="48"/>
  <c r="L76" i="48"/>
  <c r="D76" i="48" s="1"/>
  <c r="M76" i="48"/>
  <c r="N76" i="48"/>
  <c r="O76" i="48"/>
  <c r="P76" i="48"/>
  <c r="Q76" i="48"/>
  <c r="R76" i="48"/>
  <c r="S76" i="48"/>
  <c r="T76" i="48"/>
  <c r="U76" i="48"/>
  <c r="V76" i="48"/>
  <c r="W76" i="48"/>
  <c r="F77" i="48"/>
  <c r="G77" i="48"/>
  <c r="L77" i="48"/>
  <c r="M77" i="48"/>
  <c r="N77" i="48"/>
  <c r="O77" i="48"/>
  <c r="P77" i="48"/>
  <c r="Q77" i="48"/>
  <c r="E77" i="48" s="1"/>
  <c r="G77" i="50" s="1"/>
  <c r="R77" i="48"/>
  <c r="S77" i="48"/>
  <c r="T77" i="48"/>
  <c r="U77" i="48"/>
  <c r="V77" i="48"/>
  <c r="W77" i="48"/>
  <c r="F78" i="48"/>
  <c r="G78" i="48"/>
  <c r="L78" i="48"/>
  <c r="M78" i="48"/>
  <c r="N78" i="48"/>
  <c r="O78" i="48"/>
  <c r="P78" i="48"/>
  <c r="Q78" i="48"/>
  <c r="E78" i="48" s="1"/>
  <c r="G78" i="50" s="1"/>
  <c r="R78" i="48"/>
  <c r="S78" i="48"/>
  <c r="T78" i="48"/>
  <c r="U78" i="48"/>
  <c r="V78" i="48"/>
  <c r="W78" i="48"/>
  <c r="F79" i="48"/>
  <c r="G79" i="48"/>
  <c r="L79" i="48"/>
  <c r="M79" i="48"/>
  <c r="N79" i="48"/>
  <c r="O79" i="48"/>
  <c r="P79" i="48"/>
  <c r="Q79" i="48"/>
  <c r="E79" i="48" s="1"/>
  <c r="G79" i="50" s="1"/>
  <c r="R79" i="48"/>
  <c r="S79" i="48"/>
  <c r="T79" i="48"/>
  <c r="U79" i="48"/>
  <c r="V79" i="48"/>
  <c r="W79" i="48"/>
  <c r="F80" i="48"/>
  <c r="G80" i="48"/>
  <c r="L80" i="48"/>
  <c r="M80" i="48"/>
  <c r="N80" i="48"/>
  <c r="O80" i="48"/>
  <c r="P80" i="48"/>
  <c r="Q80" i="48"/>
  <c r="E80" i="48" s="1"/>
  <c r="R80" i="48"/>
  <c r="S80" i="48"/>
  <c r="T80" i="48"/>
  <c r="U80" i="48"/>
  <c r="V80" i="48"/>
  <c r="W80" i="48"/>
  <c r="F81" i="48"/>
  <c r="G81" i="48"/>
  <c r="L81" i="48"/>
  <c r="M81" i="48"/>
  <c r="N81" i="48"/>
  <c r="O81" i="48"/>
  <c r="P81" i="48"/>
  <c r="Q81" i="48"/>
  <c r="E81" i="48" s="1"/>
  <c r="G81" i="50" s="1"/>
  <c r="R81" i="48"/>
  <c r="S81" i="48"/>
  <c r="T81" i="48"/>
  <c r="U81" i="48"/>
  <c r="V81" i="48"/>
  <c r="W81" i="48"/>
  <c r="H82" i="48"/>
  <c r="F651" i="44" s="1"/>
  <c r="I82" i="48"/>
  <c r="G651" i="44" s="1"/>
  <c r="Y82" i="48"/>
  <c r="W651" i="44" s="1"/>
  <c r="AB82" i="48"/>
  <c r="Z651" i="44" s="1"/>
  <c r="AD82" i="48"/>
  <c r="AB651" i="44" s="1"/>
  <c r="AE82" i="48"/>
  <c r="AC651" i="44" s="1"/>
  <c r="A5" i="49"/>
  <c r="H11" i="49"/>
  <c r="F11" i="49" s="1"/>
  <c r="I11" i="49"/>
  <c r="F12" i="49"/>
  <c r="G12" i="49"/>
  <c r="H12" i="49"/>
  <c r="I12" i="49"/>
  <c r="L12" i="49"/>
  <c r="M12" i="49"/>
  <c r="E12" i="50" s="1"/>
  <c r="H13" i="49"/>
  <c r="I13" i="49"/>
  <c r="G14" i="49"/>
  <c r="H14" i="49"/>
  <c r="I14" i="49"/>
  <c r="M14" i="49"/>
  <c r="E14" i="50" s="1"/>
  <c r="F15" i="49"/>
  <c r="H15" i="49"/>
  <c r="I15" i="49"/>
  <c r="G15" i="49" s="1"/>
  <c r="L15" i="49"/>
  <c r="D15" i="50" s="1"/>
  <c r="M15" i="49"/>
  <c r="H16" i="49"/>
  <c r="J16" i="49"/>
  <c r="K16" i="49"/>
  <c r="H18" i="49"/>
  <c r="I18" i="49"/>
  <c r="H19" i="49"/>
  <c r="I19" i="49"/>
  <c r="F20" i="49"/>
  <c r="G20" i="49"/>
  <c r="H20" i="49"/>
  <c r="I20" i="49"/>
  <c r="L20" i="49"/>
  <c r="M20" i="49"/>
  <c r="E20" i="50" s="1"/>
  <c r="H21" i="49"/>
  <c r="I21" i="49"/>
  <c r="G22" i="49"/>
  <c r="H22" i="49"/>
  <c r="I22" i="49"/>
  <c r="M22" i="49"/>
  <c r="E22" i="50" s="1"/>
  <c r="F23" i="49"/>
  <c r="H23" i="49"/>
  <c r="I23" i="49"/>
  <c r="G23" i="49" s="1"/>
  <c r="L23" i="49"/>
  <c r="D23" i="50" s="1"/>
  <c r="M23" i="49"/>
  <c r="H24" i="49"/>
  <c r="J24" i="49"/>
  <c r="K24" i="49"/>
  <c r="F27" i="49"/>
  <c r="G27" i="49"/>
  <c r="H27" i="49"/>
  <c r="I27" i="49"/>
  <c r="L27" i="49"/>
  <c r="M27" i="49"/>
  <c r="M29" i="49" s="1"/>
  <c r="G28" i="49"/>
  <c r="G29" i="49" s="1"/>
  <c r="H28" i="49"/>
  <c r="I28" i="49"/>
  <c r="M28" i="49" s="1"/>
  <c r="J29" i="49"/>
  <c r="K29" i="49"/>
  <c r="G32" i="49"/>
  <c r="H32" i="49"/>
  <c r="I32" i="49"/>
  <c r="M32" i="49"/>
  <c r="E32" i="50" s="1"/>
  <c r="F33" i="49"/>
  <c r="H33" i="49"/>
  <c r="I33" i="49"/>
  <c r="G33" i="49" s="1"/>
  <c r="L33" i="49"/>
  <c r="D33" i="50" s="1"/>
  <c r="M33" i="49"/>
  <c r="H34" i="49"/>
  <c r="I34" i="49"/>
  <c r="F35" i="49"/>
  <c r="G35" i="49"/>
  <c r="H35" i="49"/>
  <c r="I35" i="49"/>
  <c r="L35" i="49"/>
  <c r="D35" i="50" s="1"/>
  <c r="M35" i="49"/>
  <c r="H36" i="49"/>
  <c r="I36" i="49"/>
  <c r="J36" i="49"/>
  <c r="K36" i="49"/>
  <c r="L37" i="49"/>
  <c r="M37" i="49"/>
  <c r="H38" i="49"/>
  <c r="I38" i="49"/>
  <c r="H39" i="49"/>
  <c r="I39" i="49"/>
  <c r="F40" i="49"/>
  <c r="G40" i="49"/>
  <c r="H40" i="49"/>
  <c r="I40" i="49"/>
  <c r="L40" i="49"/>
  <c r="M40" i="49"/>
  <c r="H41" i="49"/>
  <c r="I41" i="49"/>
  <c r="J42" i="49"/>
  <c r="K42" i="49"/>
  <c r="J43" i="49"/>
  <c r="K43" i="49"/>
  <c r="F45" i="49"/>
  <c r="G45" i="49"/>
  <c r="H45" i="49"/>
  <c r="I45" i="49"/>
  <c r="L45" i="49"/>
  <c r="D45" i="50" s="1"/>
  <c r="M45" i="49"/>
  <c r="H47" i="49"/>
  <c r="I47" i="49"/>
  <c r="F49" i="49"/>
  <c r="G49" i="49"/>
  <c r="H49" i="49"/>
  <c r="I49" i="49"/>
  <c r="L49" i="49"/>
  <c r="D49" i="50" s="1"/>
  <c r="M49" i="49"/>
  <c r="H51" i="49"/>
  <c r="I51" i="49"/>
  <c r="F54" i="49"/>
  <c r="G54" i="49"/>
  <c r="H54" i="49"/>
  <c r="I54" i="49"/>
  <c r="I56" i="49" s="1"/>
  <c r="L54" i="49"/>
  <c r="M54" i="49"/>
  <c r="H55" i="49"/>
  <c r="L55" i="49" s="1"/>
  <c r="D55" i="50" s="1"/>
  <c r="I55" i="49"/>
  <c r="H56" i="49"/>
  <c r="J56" i="49"/>
  <c r="K56" i="49"/>
  <c r="G59" i="49"/>
  <c r="H59" i="49"/>
  <c r="H61" i="49" s="1"/>
  <c r="I59" i="49"/>
  <c r="M59" i="49"/>
  <c r="H60" i="49"/>
  <c r="F60" i="49" s="1"/>
  <c r="I60" i="49"/>
  <c r="L60" i="49"/>
  <c r="J61" i="49"/>
  <c r="K61" i="49"/>
  <c r="F64" i="49"/>
  <c r="G64" i="49"/>
  <c r="H64" i="49"/>
  <c r="I64" i="49"/>
  <c r="I66" i="49" s="1"/>
  <c r="L64" i="49"/>
  <c r="M64" i="49"/>
  <c r="E64" i="50" s="1"/>
  <c r="H65" i="49"/>
  <c r="I65" i="49"/>
  <c r="J66" i="49"/>
  <c r="K66" i="49"/>
  <c r="L69" i="49"/>
  <c r="M69" i="49"/>
  <c r="H70" i="49"/>
  <c r="I70" i="49"/>
  <c r="F71" i="49"/>
  <c r="G71" i="49"/>
  <c r="H71" i="49"/>
  <c r="I71" i="49"/>
  <c r="L71" i="49"/>
  <c r="D71" i="50" s="1"/>
  <c r="M71" i="49"/>
  <c r="H72" i="49"/>
  <c r="I72" i="49"/>
  <c r="J72" i="49"/>
  <c r="K72" i="49"/>
  <c r="H73" i="49"/>
  <c r="F73" i="49" s="1"/>
  <c r="I73" i="49"/>
  <c r="L73" i="49"/>
  <c r="D73" i="50" s="1"/>
  <c r="H73" i="50" s="1"/>
  <c r="F74" i="49"/>
  <c r="G74" i="49"/>
  <c r="H74" i="49"/>
  <c r="I74" i="49"/>
  <c r="L74" i="49"/>
  <c r="D74" i="50" s="1"/>
  <c r="M74" i="49"/>
  <c r="E74" i="50" s="1"/>
  <c r="H75" i="49"/>
  <c r="I75" i="49"/>
  <c r="F76" i="49"/>
  <c r="G76" i="49"/>
  <c r="H76" i="49"/>
  <c r="I76" i="49"/>
  <c r="L76" i="49"/>
  <c r="D76" i="50" s="1"/>
  <c r="M76" i="49"/>
  <c r="H77" i="49"/>
  <c r="I77" i="49"/>
  <c r="F78" i="49"/>
  <c r="G78" i="49"/>
  <c r="H78" i="49"/>
  <c r="I78" i="49"/>
  <c r="L78" i="49"/>
  <c r="M78" i="49"/>
  <c r="E78" i="50" s="1"/>
  <c r="H79" i="49"/>
  <c r="L79" i="49" s="1"/>
  <c r="D79" i="50" s="1"/>
  <c r="I79" i="49"/>
  <c r="G80" i="49"/>
  <c r="H80" i="49"/>
  <c r="F80" i="49" s="1"/>
  <c r="I80" i="49"/>
  <c r="M80" i="49"/>
  <c r="H81" i="49"/>
  <c r="F81" i="49" s="1"/>
  <c r="I81" i="49"/>
  <c r="D82" i="49"/>
  <c r="E82" i="49"/>
  <c r="A5" i="50"/>
  <c r="G11" i="50"/>
  <c r="D12" i="50"/>
  <c r="G12" i="50"/>
  <c r="I12" i="50" s="1"/>
  <c r="G14" i="50"/>
  <c r="I14" i="50" s="1"/>
  <c r="E15" i="50"/>
  <c r="G15" i="50"/>
  <c r="I15" i="50" s="1"/>
  <c r="G19" i="50"/>
  <c r="G24" i="50" s="1"/>
  <c r="D20" i="50"/>
  <c r="G20" i="50"/>
  <c r="I20" i="50" s="1"/>
  <c r="H20" i="50"/>
  <c r="F21" i="50"/>
  <c r="G21" i="50"/>
  <c r="G22" i="50"/>
  <c r="I22" i="50"/>
  <c r="E23" i="50"/>
  <c r="F23" i="50"/>
  <c r="H23" i="50" s="1"/>
  <c r="G23" i="50"/>
  <c r="I23" i="50" s="1"/>
  <c r="E27" i="50"/>
  <c r="E29" i="50" s="1"/>
  <c r="G27" i="50"/>
  <c r="I27" i="50" s="1"/>
  <c r="I29" i="50" s="1"/>
  <c r="E28" i="50"/>
  <c r="G28" i="50"/>
  <c r="I28" i="50" s="1"/>
  <c r="G32" i="50"/>
  <c r="E33" i="50"/>
  <c r="G33" i="50"/>
  <c r="G34" i="50"/>
  <c r="E35" i="50"/>
  <c r="F35" i="50"/>
  <c r="H35" i="50" s="1"/>
  <c r="G35" i="50"/>
  <c r="I35" i="50"/>
  <c r="G39" i="50"/>
  <c r="E40" i="50"/>
  <c r="G40" i="50"/>
  <c r="I40" i="50" s="1"/>
  <c r="G41" i="50"/>
  <c r="E45" i="50"/>
  <c r="G45" i="50"/>
  <c r="G47" i="50"/>
  <c r="E49" i="50"/>
  <c r="G49" i="50"/>
  <c r="I49" i="50"/>
  <c r="G51" i="50"/>
  <c r="D54" i="50"/>
  <c r="D56" i="50" s="1"/>
  <c r="F54" i="50"/>
  <c r="H54" i="50" s="1"/>
  <c r="F59" i="50"/>
  <c r="D60" i="50"/>
  <c r="F60" i="50"/>
  <c r="H60" i="50" s="1"/>
  <c r="D64" i="50"/>
  <c r="F64" i="50"/>
  <c r="H64" i="50"/>
  <c r="F65" i="50"/>
  <c r="F70" i="50"/>
  <c r="F72" i="50" s="1"/>
  <c r="E71" i="50"/>
  <c r="F71" i="50"/>
  <c r="H71" i="50"/>
  <c r="F73" i="50"/>
  <c r="G73" i="50"/>
  <c r="F74" i="50"/>
  <c r="H74" i="50"/>
  <c r="F75" i="50"/>
  <c r="G75" i="50"/>
  <c r="E76" i="50"/>
  <c r="F76" i="50"/>
  <c r="D78" i="50"/>
  <c r="I78" i="50"/>
  <c r="E80" i="50"/>
  <c r="G80" i="50"/>
  <c r="I80" i="50" s="1"/>
  <c r="A4" i="10"/>
  <c r="A5" i="10"/>
  <c r="G11" i="10"/>
  <c r="H11" i="10"/>
  <c r="F11" i="10" s="1"/>
  <c r="I11" i="10"/>
  <c r="M11" i="10"/>
  <c r="G12" i="10"/>
  <c r="H12" i="10"/>
  <c r="F12" i="10" s="1"/>
  <c r="I12" i="10"/>
  <c r="M12" i="10" s="1"/>
  <c r="L12" i="10"/>
  <c r="F13" i="10"/>
  <c r="H13" i="10"/>
  <c r="I13" i="10"/>
  <c r="L13" i="10"/>
  <c r="F14" i="10"/>
  <c r="H14" i="10"/>
  <c r="L14" i="10" s="1"/>
  <c r="I14" i="10"/>
  <c r="G14" i="10" s="1"/>
  <c r="G15" i="10"/>
  <c r="H15" i="10"/>
  <c r="F15" i="10" s="1"/>
  <c r="I15" i="10"/>
  <c r="M15" i="10"/>
  <c r="J16" i="10"/>
  <c r="J82" i="10" s="1"/>
  <c r="K16" i="10"/>
  <c r="H18" i="10"/>
  <c r="I18" i="10"/>
  <c r="G19" i="10"/>
  <c r="H19" i="10"/>
  <c r="F19" i="10" s="1"/>
  <c r="I19" i="10"/>
  <c r="M19" i="10"/>
  <c r="E19" i="34" s="1"/>
  <c r="G20" i="10"/>
  <c r="H20" i="10"/>
  <c r="F20" i="10" s="1"/>
  <c r="I20" i="10"/>
  <c r="M20" i="10" s="1"/>
  <c r="L20" i="10"/>
  <c r="F21" i="10"/>
  <c r="H21" i="10"/>
  <c r="I21" i="10"/>
  <c r="L21" i="10"/>
  <c r="F22" i="10"/>
  <c r="H22" i="10"/>
  <c r="L22" i="10" s="1"/>
  <c r="I22" i="10"/>
  <c r="G22" i="10" s="1"/>
  <c r="G23" i="10"/>
  <c r="H23" i="10"/>
  <c r="F23" i="10" s="1"/>
  <c r="I23" i="10"/>
  <c r="M23" i="10"/>
  <c r="E23" i="34" s="1"/>
  <c r="J24" i="10"/>
  <c r="K24" i="10"/>
  <c r="G27" i="10"/>
  <c r="H27" i="10"/>
  <c r="H29" i="10" s="1"/>
  <c r="I27" i="10"/>
  <c r="M27" i="10" s="1"/>
  <c r="L27" i="10"/>
  <c r="L29" i="10" s="1"/>
  <c r="F28" i="10"/>
  <c r="H28" i="10"/>
  <c r="I28" i="10"/>
  <c r="M28" i="10" s="1"/>
  <c r="L28" i="10"/>
  <c r="I29" i="10"/>
  <c r="J29" i="10"/>
  <c r="K29" i="10"/>
  <c r="F32" i="10"/>
  <c r="H32" i="10"/>
  <c r="L32" i="10" s="1"/>
  <c r="I32" i="10"/>
  <c r="G32" i="10" s="1"/>
  <c r="M32" i="10"/>
  <c r="G33" i="10"/>
  <c r="H33" i="10"/>
  <c r="F33" i="10" s="1"/>
  <c r="F36" i="10" s="1"/>
  <c r="I33" i="10"/>
  <c r="M33" i="10"/>
  <c r="G34" i="10"/>
  <c r="H34" i="10"/>
  <c r="F34" i="10" s="1"/>
  <c r="I34" i="10"/>
  <c r="M34" i="10" s="1"/>
  <c r="L34" i="10"/>
  <c r="F35" i="10"/>
  <c r="G35" i="10"/>
  <c r="H35" i="10"/>
  <c r="I35" i="10"/>
  <c r="M35" i="10" s="1"/>
  <c r="E35" i="34" s="1"/>
  <c r="L35" i="10"/>
  <c r="J36" i="10"/>
  <c r="K36" i="10"/>
  <c r="L37" i="10"/>
  <c r="M37" i="10"/>
  <c r="H38" i="10"/>
  <c r="I38" i="10"/>
  <c r="G39" i="10"/>
  <c r="H39" i="10"/>
  <c r="F39" i="10" s="1"/>
  <c r="I39" i="10"/>
  <c r="M39" i="10" s="1"/>
  <c r="L39" i="10"/>
  <c r="F40" i="10"/>
  <c r="G40" i="10"/>
  <c r="G42" i="10" s="1"/>
  <c r="G43" i="10" s="1"/>
  <c r="H40" i="10"/>
  <c r="I40" i="10"/>
  <c r="L40" i="10"/>
  <c r="L42" i="10" s="1"/>
  <c r="L43" i="10" s="1"/>
  <c r="F41" i="10"/>
  <c r="F42" i="10" s="1"/>
  <c r="F43" i="10" s="1"/>
  <c r="H41" i="10"/>
  <c r="L41" i="10" s="1"/>
  <c r="I41" i="10"/>
  <c r="G41" i="10" s="1"/>
  <c r="H42" i="10"/>
  <c r="J42" i="10"/>
  <c r="K42" i="10"/>
  <c r="K43" i="10" s="1"/>
  <c r="H43" i="10"/>
  <c r="J43" i="10"/>
  <c r="G45" i="10"/>
  <c r="H45" i="10"/>
  <c r="F45" i="10" s="1"/>
  <c r="I45" i="10"/>
  <c r="M45" i="10"/>
  <c r="G47" i="10"/>
  <c r="H47" i="10"/>
  <c r="F47" i="10" s="1"/>
  <c r="I47" i="10"/>
  <c r="M47" i="10" s="1"/>
  <c r="E47" i="34" s="1"/>
  <c r="L47" i="10"/>
  <c r="F49" i="10"/>
  <c r="H49" i="10"/>
  <c r="I49" i="10"/>
  <c r="M49" i="10" s="1"/>
  <c r="L49" i="10"/>
  <c r="F51" i="10"/>
  <c r="H51" i="10"/>
  <c r="L51" i="10" s="1"/>
  <c r="I51" i="10"/>
  <c r="G51" i="10" s="1"/>
  <c r="M51" i="10"/>
  <c r="E51" i="34" s="1"/>
  <c r="G54" i="10"/>
  <c r="H54" i="10"/>
  <c r="F54" i="10" s="1"/>
  <c r="F56" i="10" s="1"/>
  <c r="I54" i="10"/>
  <c r="M54" i="10"/>
  <c r="M56" i="10" s="1"/>
  <c r="G55" i="10"/>
  <c r="G56" i="10" s="1"/>
  <c r="H55" i="10"/>
  <c r="F55" i="10" s="1"/>
  <c r="I55" i="10"/>
  <c r="M55" i="10" s="1"/>
  <c r="L55" i="10"/>
  <c r="I56" i="10"/>
  <c r="J56" i="10"/>
  <c r="K56" i="10"/>
  <c r="F59" i="10"/>
  <c r="H59" i="10"/>
  <c r="I59" i="10"/>
  <c r="L59" i="10"/>
  <c r="F60" i="10"/>
  <c r="F61" i="10" s="1"/>
  <c r="H60" i="10"/>
  <c r="L60" i="10" s="1"/>
  <c r="I60" i="10"/>
  <c r="G60" i="10" s="1"/>
  <c r="M60" i="10"/>
  <c r="H61" i="10"/>
  <c r="J61" i="10"/>
  <c r="K61" i="10"/>
  <c r="G64" i="10"/>
  <c r="H64" i="10"/>
  <c r="F64" i="10" s="1"/>
  <c r="F66" i="10" s="1"/>
  <c r="I64" i="10"/>
  <c r="M64" i="10"/>
  <c r="G65" i="10"/>
  <c r="H65" i="10"/>
  <c r="F65" i="10" s="1"/>
  <c r="I65" i="10"/>
  <c r="M65" i="10" s="1"/>
  <c r="L65" i="10"/>
  <c r="G66" i="10"/>
  <c r="I66" i="10"/>
  <c r="J66" i="10"/>
  <c r="K66" i="10"/>
  <c r="L69" i="10"/>
  <c r="M69" i="10"/>
  <c r="G70" i="10"/>
  <c r="G72" i="10" s="1"/>
  <c r="H70" i="10"/>
  <c r="H72" i="10" s="1"/>
  <c r="I70" i="10"/>
  <c r="M70" i="10" s="1"/>
  <c r="M72" i="10" s="1"/>
  <c r="L70" i="10"/>
  <c r="L72" i="10" s="1"/>
  <c r="F71" i="10"/>
  <c r="G71" i="10"/>
  <c r="H71" i="10"/>
  <c r="I71" i="10"/>
  <c r="M71" i="10" s="1"/>
  <c r="L71" i="10"/>
  <c r="J72" i="10"/>
  <c r="K72" i="10"/>
  <c r="F73" i="10"/>
  <c r="H73" i="10"/>
  <c r="L73" i="10" s="1"/>
  <c r="I73" i="10"/>
  <c r="G73" i="10" s="1"/>
  <c r="G74" i="10"/>
  <c r="H74" i="10"/>
  <c r="F74" i="10" s="1"/>
  <c r="I74" i="10"/>
  <c r="M74" i="10"/>
  <c r="G75" i="10"/>
  <c r="H75" i="10"/>
  <c r="F75" i="10" s="1"/>
  <c r="I75" i="10"/>
  <c r="M75" i="10" s="1"/>
  <c r="L75" i="10"/>
  <c r="F76" i="10"/>
  <c r="H76" i="10"/>
  <c r="I76" i="10"/>
  <c r="M76" i="10" s="1"/>
  <c r="L76" i="10"/>
  <c r="F77" i="10"/>
  <c r="H77" i="10"/>
  <c r="L77" i="10" s="1"/>
  <c r="I77" i="10"/>
  <c r="G77" i="10" s="1"/>
  <c r="M77" i="10"/>
  <c r="G78" i="10"/>
  <c r="H78" i="10"/>
  <c r="F78" i="10" s="1"/>
  <c r="I78" i="10"/>
  <c r="M78" i="10"/>
  <c r="G79" i="10"/>
  <c r="H79" i="10"/>
  <c r="F79" i="10" s="1"/>
  <c r="I79" i="10"/>
  <c r="M79" i="10" s="1"/>
  <c r="L79" i="10"/>
  <c r="F80" i="10"/>
  <c r="G80" i="10"/>
  <c r="H80" i="10"/>
  <c r="I80" i="10"/>
  <c r="M80" i="10" s="1"/>
  <c r="L80" i="10"/>
  <c r="F81" i="10"/>
  <c r="H81" i="10"/>
  <c r="L81" i="10" s="1"/>
  <c r="I81" i="10"/>
  <c r="D82" i="10"/>
  <c r="E82" i="10"/>
  <c r="A5" i="22"/>
  <c r="AD8" i="22"/>
  <c r="F11" i="22"/>
  <c r="G11" i="22"/>
  <c r="G16" i="22" s="1"/>
  <c r="H11" i="22"/>
  <c r="D11" i="22" s="1"/>
  <c r="I11" i="22"/>
  <c r="J11" i="22"/>
  <c r="J16" i="22" s="1"/>
  <c r="K11" i="22"/>
  <c r="L11" i="22"/>
  <c r="M11" i="22"/>
  <c r="M16" i="22" s="1"/>
  <c r="N11" i="22"/>
  <c r="O11" i="22"/>
  <c r="O16" i="22" s="1"/>
  <c r="P11" i="22"/>
  <c r="P16" i="22" s="1"/>
  <c r="Q11" i="22"/>
  <c r="R11" i="22"/>
  <c r="R16" i="22" s="1"/>
  <c r="S11" i="22"/>
  <c r="T11" i="22"/>
  <c r="U11" i="22"/>
  <c r="U16" i="22" s="1"/>
  <c r="V11" i="22"/>
  <c r="W11" i="22"/>
  <c r="W16" i="22" s="1"/>
  <c r="X11" i="22"/>
  <c r="X16" i="22" s="1"/>
  <c r="Y11" i="22"/>
  <c r="Z11" i="22"/>
  <c r="Z16" i="22" s="1"/>
  <c r="AA11" i="22"/>
  <c r="AB11" i="22"/>
  <c r="AC11" i="22"/>
  <c r="AC16" i="22" s="1"/>
  <c r="AD11" i="22"/>
  <c r="AE11" i="22"/>
  <c r="AE16" i="22" s="1"/>
  <c r="F12" i="22"/>
  <c r="D12" i="22" s="1"/>
  <c r="G12" i="22"/>
  <c r="H12" i="22"/>
  <c r="I12" i="22"/>
  <c r="J12" i="22"/>
  <c r="K12" i="22"/>
  <c r="K16" i="22" s="1"/>
  <c r="L12" i="22"/>
  <c r="M12" i="22"/>
  <c r="N12" i="22"/>
  <c r="O12" i="22"/>
  <c r="P12" i="22"/>
  <c r="Q12" i="22"/>
  <c r="R12" i="22"/>
  <c r="S12" i="22"/>
  <c r="S16" i="22" s="1"/>
  <c r="T12" i="22"/>
  <c r="U12" i="22"/>
  <c r="V12" i="22"/>
  <c r="W12" i="22"/>
  <c r="X12" i="22"/>
  <c r="Y12" i="22"/>
  <c r="Z12" i="22"/>
  <c r="AA12" i="22"/>
  <c r="AA16" i="22" s="1"/>
  <c r="AB12" i="22"/>
  <c r="AC12" i="22"/>
  <c r="AD12" i="22"/>
  <c r="AE12" i="22"/>
  <c r="F13" i="22"/>
  <c r="G13" i="22"/>
  <c r="H13" i="22"/>
  <c r="D13" i="22" s="1"/>
  <c r="F13" i="34" s="1"/>
  <c r="I13" i="22"/>
  <c r="J13" i="22"/>
  <c r="K13" i="22"/>
  <c r="L13" i="22"/>
  <c r="M13" i="22"/>
  <c r="E13" i="22" s="1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F14" i="22"/>
  <c r="D14" i="22" s="1"/>
  <c r="F14" i="34" s="1"/>
  <c r="G14" i="22"/>
  <c r="H14" i="22"/>
  <c r="I14" i="22"/>
  <c r="I16" i="22" s="1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Y16" i="22" s="1"/>
  <c r="Z14" i="22"/>
  <c r="AA14" i="22"/>
  <c r="AB14" i="22"/>
  <c r="AC14" i="22"/>
  <c r="AD14" i="22"/>
  <c r="AE14" i="22"/>
  <c r="F15" i="22"/>
  <c r="G15" i="22"/>
  <c r="H15" i="22"/>
  <c r="D15" i="22" s="1"/>
  <c r="I15" i="22"/>
  <c r="J15" i="22"/>
  <c r="K15" i="22"/>
  <c r="L15" i="22"/>
  <c r="M15" i="22"/>
  <c r="E15" i="22" s="1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F16" i="22"/>
  <c r="L16" i="22"/>
  <c r="N16" i="22"/>
  <c r="Q16" i="22"/>
  <c r="T16" i="22"/>
  <c r="V16" i="22"/>
  <c r="AB16" i="22"/>
  <c r="AD16" i="22"/>
  <c r="F19" i="22"/>
  <c r="G19" i="22"/>
  <c r="H19" i="22"/>
  <c r="D19" i="22" s="1"/>
  <c r="I19" i="22"/>
  <c r="J19" i="22"/>
  <c r="J24" i="22" s="1"/>
  <c r="K19" i="22"/>
  <c r="L19" i="22"/>
  <c r="M19" i="22"/>
  <c r="M24" i="22" s="1"/>
  <c r="N19" i="22"/>
  <c r="O19" i="22"/>
  <c r="P19" i="22"/>
  <c r="P24" i="22" s="1"/>
  <c r="Q19" i="22"/>
  <c r="R19" i="22"/>
  <c r="R24" i="22" s="1"/>
  <c r="S19" i="22"/>
  <c r="T19" i="22"/>
  <c r="U19" i="22"/>
  <c r="U24" i="22" s="1"/>
  <c r="V19" i="22"/>
  <c r="W19" i="22"/>
  <c r="X19" i="22"/>
  <c r="X24" i="22" s="1"/>
  <c r="Y19" i="22"/>
  <c r="Z19" i="22"/>
  <c r="Z24" i="22" s="1"/>
  <c r="AA19" i="22"/>
  <c r="AB19" i="22"/>
  <c r="AC19" i="22"/>
  <c r="AC24" i="22" s="1"/>
  <c r="AD19" i="22"/>
  <c r="AE19" i="22"/>
  <c r="F20" i="22"/>
  <c r="D20" i="22" s="1"/>
  <c r="G20" i="22"/>
  <c r="H20" i="22"/>
  <c r="I20" i="22"/>
  <c r="J20" i="22"/>
  <c r="K20" i="22"/>
  <c r="K24" i="22" s="1"/>
  <c r="L20" i="22"/>
  <c r="M20" i="22"/>
  <c r="N20" i="22"/>
  <c r="O20" i="22"/>
  <c r="P20" i="22"/>
  <c r="Q20" i="22"/>
  <c r="Q24" i="22" s="1"/>
  <c r="R20" i="22"/>
  <c r="S20" i="22"/>
  <c r="T20" i="22"/>
  <c r="U20" i="22"/>
  <c r="V20" i="22"/>
  <c r="W20" i="22"/>
  <c r="X20" i="22"/>
  <c r="Y20" i="22"/>
  <c r="Y24" i="22" s="1"/>
  <c r="Z20" i="22"/>
  <c r="AA20" i="22"/>
  <c r="AA24" i="22" s="1"/>
  <c r="AB20" i="22"/>
  <c r="AC20" i="22"/>
  <c r="AD20" i="22"/>
  <c r="AE20" i="22"/>
  <c r="F21" i="22"/>
  <c r="G21" i="22"/>
  <c r="H21" i="22"/>
  <c r="D21" i="22" s="1"/>
  <c r="F21" i="34" s="1"/>
  <c r="I21" i="22"/>
  <c r="J21" i="22"/>
  <c r="K21" i="22"/>
  <c r="L21" i="22"/>
  <c r="M21" i="22"/>
  <c r="E21" i="22" s="1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F22" i="22"/>
  <c r="D22" i="22" s="1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F23" i="22"/>
  <c r="G23" i="22"/>
  <c r="E23" i="22" s="1"/>
  <c r="G23" i="34" s="1"/>
  <c r="I23" i="34" s="1"/>
  <c r="H23" i="22"/>
  <c r="D23" i="22" s="1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F24" i="22"/>
  <c r="I24" i="22"/>
  <c r="L24" i="22"/>
  <c r="N24" i="22"/>
  <c r="S24" i="22"/>
  <c r="T24" i="22"/>
  <c r="V24" i="22"/>
  <c r="AB24" i="22"/>
  <c r="AD24" i="22"/>
  <c r="F27" i="22"/>
  <c r="G27" i="22"/>
  <c r="E27" i="22" s="1"/>
  <c r="H27" i="22"/>
  <c r="D27" i="22" s="1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C29" i="22" s="1"/>
  <c r="AD27" i="22"/>
  <c r="AE27" i="22"/>
  <c r="F28" i="22"/>
  <c r="D28" i="22" s="1"/>
  <c r="G28" i="22"/>
  <c r="H28" i="22"/>
  <c r="I28" i="22"/>
  <c r="E28" i="22" s="1"/>
  <c r="G28" i="34" s="1"/>
  <c r="J28" i="22"/>
  <c r="K28" i="22"/>
  <c r="K29" i="22" s="1"/>
  <c r="L28" i="22"/>
  <c r="L29" i="22" s="1"/>
  <c r="M28" i="22"/>
  <c r="N28" i="22"/>
  <c r="N29" i="22" s="1"/>
  <c r="O28" i="22"/>
  <c r="P28" i="22"/>
  <c r="Q28" i="22"/>
  <c r="R28" i="22"/>
  <c r="S28" i="22"/>
  <c r="S29" i="22" s="1"/>
  <c r="T28" i="22"/>
  <c r="T29" i="22" s="1"/>
  <c r="U28" i="22"/>
  <c r="U29" i="22" s="1"/>
  <c r="V28" i="22"/>
  <c r="V29" i="22" s="1"/>
  <c r="W28" i="22"/>
  <c r="X28" i="22"/>
  <c r="Y28" i="22"/>
  <c r="Y29" i="22" s="1"/>
  <c r="Z28" i="22"/>
  <c r="AA28" i="22"/>
  <c r="AA29" i="22" s="1"/>
  <c r="AB28" i="22"/>
  <c r="AB29" i="22" s="1"/>
  <c r="AB82" i="22" s="1"/>
  <c r="Z642" i="44" s="1"/>
  <c r="AC28" i="22"/>
  <c r="AD28" i="22"/>
  <c r="AD29" i="22" s="1"/>
  <c r="AE28" i="22"/>
  <c r="G29" i="22"/>
  <c r="H29" i="22"/>
  <c r="I29" i="22"/>
  <c r="J29" i="22"/>
  <c r="M29" i="22"/>
  <c r="O29" i="22"/>
  <c r="P29" i="22"/>
  <c r="Q29" i="22"/>
  <c r="R29" i="22"/>
  <c r="W29" i="22"/>
  <c r="X29" i="22"/>
  <c r="Z29" i="22"/>
  <c r="AE29" i="22"/>
  <c r="F32" i="22"/>
  <c r="G32" i="22"/>
  <c r="H32" i="22"/>
  <c r="I32" i="22"/>
  <c r="I36" i="22" s="1"/>
  <c r="J32" i="22"/>
  <c r="K32" i="22"/>
  <c r="L32" i="22"/>
  <c r="M32" i="22"/>
  <c r="E32" i="22" s="1"/>
  <c r="N32" i="22"/>
  <c r="O32" i="22"/>
  <c r="P32" i="22"/>
  <c r="Q32" i="22"/>
  <c r="R32" i="22"/>
  <c r="S32" i="22"/>
  <c r="T32" i="22"/>
  <c r="U32" i="22"/>
  <c r="U36" i="22" s="1"/>
  <c r="V32" i="22"/>
  <c r="W32" i="22"/>
  <c r="X32" i="22"/>
  <c r="Y32" i="22"/>
  <c r="Z32" i="22"/>
  <c r="AA32" i="22"/>
  <c r="AB32" i="22"/>
  <c r="AC32" i="22"/>
  <c r="AD32" i="22"/>
  <c r="AE32" i="22"/>
  <c r="F33" i="22"/>
  <c r="G33" i="22"/>
  <c r="H33" i="22"/>
  <c r="I33" i="22"/>
  <c r="J33" i="22"/>
  <c r="J36" i="22" s="1"/>
  <c r="J82" i="22" s="1"/>
  <c r="H642" i="44" s="1"/>
  <c r="K33" i="22"/>
  <c r="L33" i="22"/>
  <c r="M33" i="22"/>
  <c r="N33" i="22"/>
  <c r="O33" i="22"/>
  <c r="O36" i="22" s="1"/>
  <c r="P33" i="22"/>
  <c r="P36" i="22" s="1"/>
  <c r="Q33" i="22"/>
  <c r="Q36" i="22" s="1"/>
  <c r="R33" i="22"/>
  <c r="R36" i="22" s="1"/>
  <c r="S33" i="22"/>
  <c r="T33" i="22"/>
  <c r="U33" i="22"/>
  <c r="V33" i="22"/>
  <c r="W33" i="22"/>
  <c r="W36" i="22" s="1"/>
  <c r="X33" i="22"/>
  <c r="X36" i="22" s="1"/>
  <c r="Y33" i="22"/>
  <c r="Y36" i="22" s="1"/>
  <c r="Z33" i="22"/>
  <c r="Z36" i="22" s="1"/>
  <c r="AA33" i="22"/>
  <c r="AB33" i="22"/>
  <c r="AC33" i="22"/>
  <c r="AD33" i="22"/>
  <c r="AE33" i="22"/>
  <c r="AE36" i="22" s="1"/>
  <c r="F34" i="22"/>
  <c r="G34" i="22"/>
  <c r="H34" i="22"/>
  <c r="I34" i="22"/>
  <c r="E34" i="22" s="1"/>
  <c r="G34" i="34" s="1"/>
  <c r="J34" i="22"/>
  <c r="K34" i="22"/>
  <c r="L34" i="22"/>
  <c r="M34" i="22"/>
  <c r="N34" i="22"/>
  <c r="N36" i="22" s="1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A36" i="22" s="1"/>
  <c r="AB34" i="22"/>
  <c r="AC34" i="22"/>
  <c r="AD34" i="22"/>
  <c r="AD36" i="22" s="1"/>
  <c r="AE34" i="22"/>
  <c r="F35" i="22"/>
  <c r="G35" i="22"/>
  <c r="E35" i="22" s="1"/>
  <c r="G35" i="34" s="1"/>
  <c r="H35" i="22"/>
  <c r="D35" i="22" s="1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F36" i="22"/>
  <c r="K36" i="22"/>
  <c r="L36" i="22"/>
  <c r="S36" i="22"/>
  <c r="T36" i="22"/>
  <c r="V36" i="22"/>
  <c r="AB36" i="22"/>
  <c r="AC36" i="22"/>
  <c r="F39" i="22"/>
  <c r="G39" i="22"/>
  <c r="H39" i="22"/>
  <c r="I39" i="22"/>
  <c r="J39" i="22"/>
  <c r="K39" i="22"/>
  <c r="L39" i="22"/>
  <c r="M39" i="22"/>
  <c r="E39" i="22" s="1"/>
  <c r="G39" i="34" s="1"/>
  <c r="I39" i="34" s="1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F40" i="22"/>
  <c r="G40" i="22"/>
  <c r="H40" i="22"/>
  <c r="I40" i="22"/>
  <c r="J40" i="22"/>
  <c r="K40" i="22"/>
  <c r="L40" i="22"/>
  <c r="M40" i="22"/>
  <c r="E40" i="22" s="1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D42" i="22" s="1"/>
  <c r="AD43" i="22" s="1"/>
  <c r="AE40" i="22"/>
  <c r="F41" i="22"/>
  <c r="G41" i="22"/>
  <c r="H41" i="22"/>
  <c r="I41" i="22"/>
  <c r="I42" i="22" s="1"/>
  <c r="I43" i="22" s="1"/>
  <c r="J41" i="22"/>
  <c r="J42" i="22" s="1"/>
  <c r="J43" i="22" s="1"/>
  <c r="K41" i="22"/>
  <c r="L41" i="22"/>
  <c r="M41" i="22"/>
  <c r="N41" i="22"/>
  <c r="O41" i="22"/>
  <c r="O42" i="22" s="1"/>
  <c r="O43" i="22" s="1"/>
  <c r="P41" i="22"/>
  <c r="P42" i="22" s="1"/>
  <c r="Q41" i="22"/>
  <c r="R41" i="22"/>
  <c r="R42" i="22" s="1"/>
  <c r="R43" i="22" s="1"/>
  <c r="S41" i="22"/>
  <c r="T41" i="22"/>
  <c r="U41" i="22"/>
  <c r="V41" i="22"/>
  <c r="W41" i="22"/>
  <c r="W42" i="22" s="1"/>
  <c r="X41" i="22"/>
  <c r="X42" i="22" s="1"/>
  <c r="Y41" i="22"/>
  <c r="Y42" i="22" s="1"/>
  <c r="Y43" i="22" s="1"/>
  <c r="Z41" i="22"/>
  <c r="Z42" i="22" s="1"/>
  <c r="AA41" i="22"/>
  <c r="AB41" i="22"/>
  <c r="AC41" i="22"/>
  <c r="AD41" i="22"/>
  <c r="AE41" i="22"/>
  <c r="AE42" i="22" s="1"/>
  <c r="AE43" i="22" s="1"/>
  <c r="F42" i="22"/>
  <c r="F43" i="22" s="1"/>
  <c r="K42" i="22"/>
  <c r="L42" i="22"/>
  <c r="L43" i="22" s="1"/>
  <c r="N42" i="22"/>
  <c r="N43" i="22" s="1"/>
  <c r="Q42" i="22"/>
  <c r="Q43" i="22" s="1"/>
  <c r="S42" i="22"/>
  <c r="T42" i="22"/>
  <c r="T43" i="22" s="1"/>
  <c r="U42" i="22"/>
  <c r="U43" i="22" s="1"/>
  <c r="V42" i="22"/>
  <c r="V43" i="22" s="1"/>
  <c r="AA42" i="22"/>
  <c r="AA43" i="22" s="1"/>
  <c r="AB42" i="22"/>
  <c r="AB43" i="22" s="1"/>
  <c r="AC42" i="22"/>
  <c r="AC43" i="22" s="1"/>
  <c r="K43" i="22"/>
  <c r="P43" i="22"/>
  <c r="S43" i="22"/>
  <c r="W43" i="22"/>
  <c r="X43" i="22"/>
  <c r="Z43" i="22"/>
  <c r="F45" i="22"/>
  <c r="G45" i="22"/>
  <c r="H45" i="22"/>
  <c r="I45" i="22"/>
  <c r="J45" i="22"/>
  <c r="K45" i="22"/>
  <c r="L45" i="22"/>
  <c r="D45" i="22" s="1"/>
  <c r="M45" i="22"/>
  <c r="E45" i="22" s="1"/>
  <c r="G45" i="34" s="1"/>
  <c r="I45" i="34" s="1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F47" i="22"/>
  <c r="G47" i="22"/>
  <c r="H47" i="22"/>
  <c r="I47" i="22"/>
  <c r="J47" i="22"/>
  <c r="K47" i="22"/>
  <c r="L47" i="22"/>
  <c r="M47" i="22"/>
  <c r="E47" i="22" s="1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Z82" i="22" s="1"/>
  <c r="X642" i="44" s="1"/>
  <c r="AA47" i="22"/>
  <c r="AB47" i="22"/>
  <c r="AC47" i="22"/>
  <c r="AD47" i="22"/>
  <c r="AE47" i="22"/>
  <c r="F49" i="22"/>
  <c r="G49" i="22"/>
  <c r="H49" i="22"/>
  <c r="I49" i="22"/>
  <c r="E49" i="22" s="1"/>
  <c r="G49" i="34" s="1"/>
  <c r="I49" i="34" s="1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F51" i="22"/>
  <c r="G51" i="22"/>
  <c r="H51" i="22"/>
  <c r="I51" i="22"/>
  <c r="J51" i="22"/>
  <c r="K51" i="22"/>
  <c r="L51" i="22"/>
  <c r="M51" i="22"/>
  <c r="E51" i="22" s="1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F54" i="22"/>
  <c r="G54" i="22"/>
  <c r="H54" i="22"/>
  <c r="I54" i="22"/>
  <c r="E54" i="22" s="1"/>
  <c r="J54" i="22"/>
  <c r="K54" i="22"/>
  <c r="K56" i="22" s="1"/>
  <c r="L54" i="22"/>
  <c r="M54" i="22"/>
  <c r="N54" i="22"/>
  <c r="N56" i="22" s="1"/>
  <c r="O54" i="22"/>
  <c r="P54" i="22"/>
  <c r="P56" i="22" s="1"/>
  <c r="Q54" i="22"/>
  <c r="R54" i="22"/>
  <c r="S54" i="22"/>
  <c r="T54" i="22"/>
  <c r="T56" i="22" s="1"/>
  <c r="U54" i="22"/>
  <c r="V54" i="22"/>
  <c r="V56" i="22" s="1"/>
  <c r="W54" i="22"/>
  <c r="X54" i="22"/>
  <c r="Y54" i="22"/>
  <c r="Y56" i="22" s="1"/>
  <c r="Z54" i="22"/>
  <c r="AA54" i="22"/>
  <c r="AB54" i="22"/>
  <c r="AC54" i="22"/>
  <c r="AC56" i="22" s="1"/>
  <c r="AD54" i="22"/>
  <c r="AD56" i="22" s="1"/>
  <c r="AE54" i="22"/>
  <c r="F55" i="22"/>
  <c r="G55" i="22"/>
  <c r="G56" i="22" s="1"/>
  <c r="H55" i="22"/>
  <c r="I55" i="22"/>
  <c r="J55" i="22"/>
  <c r="K55" i="22"/>
  <c r="L55" i="22"/>
  <c r="L56" i="22" s="1"/>
  <c r="M55" i="22"/>
  <c r="E55" i="22" s="1"/>
  <c r="N55" i="22"/>
  <c r="O55" i="22"/>
  <c r="P55" i="22"/>
  <c r="Q55" i="22"/>
  <c r="R55" i="22"/>
  <c r="R56" i="22" s="1"/>
  <c r="S55" i="22"/>
  <c r="T55" i="22"/>
  <c r="U55" i="22"/>
  <c r="U56" i="22" s="1"/>
  <c r="V55" i="22"/>
  <c r="W55" i="22"/>
  <c r="W56" i="22" s="1"/>
  <c r="X55" i="22"/>
  <c r="Y55" i="22"/>
  <c r="Z55" i="22"/>
  <c r="Z56" i="22" s="1"/>
  <c r="AA55" i="22"/>
  <c r="AB55" i="22"/>
  <c r="AB56" i="22" s="1"/>
  <c r="AC55" i="22"/>
  <c r="AD55" i="22"/>
  <c r="AE55" i="22"/>
  <c r="F56" i="22"/>
  <c r="H56" i="22"/>
  <c r="I56" i="22"/>
  <c r="O56" i="22"/>
  <c r="Q56" i="22"/>
  <c r="S56" i="22"/>
  <c r="X56" i="22"/>
  <c r="AA56" i="22"/>
  <c r="AE56" i="22"/>
  <c r="F59" i="22"/>
  <c r="G59" i="22"/>
  <c r="G61" i="22" s="1"/>
  <c r="H59" i="22"/>
  <c r="D59" i="22" s="1"/>
  <c r="I59" i="22"/>
  <c r="J59" i="22"/>
  <c r="J61" i="22" s="1"/>
  <c r="K59" i="22"/>
  <c r="L59" i="22"/>
  <c r="M59" i="22"/>
  <c r="M61" i="22" s="1"/>
  <c r="N59" i="22"/>
  <c r="O59" i="22"/>
  <c r="P59" i="22"/>
  <c r="P61" i="22" s="1"/>
  <c r="Q59" i="22"/>
  <c r="R59" i="22"/>
  <c r="S59" i="22"/>
  <c r="S61" i="22" s="1"/>
  <c r="T59" i="22"/>
  <c r="U59" i="22"/>
  <c r="U61" i="22" s="1"/>
  <c r="V59" i="22"/>
  <c r="W59" i="22"/>
  <c r="W61" i="22" s="1"/>
  <c r="X59" i="22"/>
  <c r="Y59" i="22"/>
  <c r="Z59" i="22"/>
  <c r="AA59" i="22"/>
  <c r="AB59" i="22"/>
  <c r="AB61" i="22" s="1"/>
  <c r="AC59" i="22"/>
  <c r="AC61" i="22" s="1"/>
  <c r="AD59" i="22"/>
  <c r="AE59" i="22"/>
  <c r="AE61" i="22" s="1"/>
  <c r="F60" i="22"/>
  <c r="F61" i="22" s="1"/>
  <c r="G60" i="22"/>
  <c r="H60" i="22"/>
  <c r="I60" i="22"/>
  <c r="I61" i="22" s="1"/>
  <c r="I82" i="22" s="1"/>
  <c r="G642" i="44" s="1"/>
  <c r="J60" i="22"/>
  <c r="K60" i="22"/>
  <c r="K61" i="22" s="1"/>
  <c r="L60" i="22"/>
  <c r="D60" i="22" s="1"/>
  <c r="F60" i="34" s="1"/>
  <c r="M60" i="22"/>
  <c r="N60" i="22"/>
  <c r="N61" i="22" s="1"/>
  <c r="O60" i="22"/>
  <c r="P60" i="22"/>
  <c r="Q60" i="22"/>
  <c r="Q61" i="22" s="1"/>
  <c r="R60" i="22"/>
  <c r="S60" i="22"/>
  <c r="T60" i="22"/>
  <c r="T61" i="22" s="1"/>
  <c r="U60" i="22"/>
  <c r="V60" i="22"/>
  <c r="V61" i="22" s="1"/>
  <c r="W60" i="22"/>
  <c r="X60" i="22"/>
  <c r="Y60" i="22"/>
  <c r="Z60" i="22"/>
  <c r="AA60" i="22"/>
  <c r="AA61" i="22" s="1"/>
  <c r="AB60" i="22"/>
  <c r="AC60" i="22"/>
  <c r="AD60" i="22"/>
  <c r="AD61" i="22" s="1"/>
  <c r="AE60" i="22"/>
  <c r="H61" i="22"/>
  <c r="O61" i="22"/>
  <c r="R61" i="22"/>
  <c r="X61" i="22"/>
  <c r="Z61" i="22"/>
  <c r="F64" i="22"/>
  <c r="G64" i="22"/>
  <c r="H64" i="22"/>
  <c r="D64" i="22" s="1"/>
  <c r="I64" i="22"/>
  <c r="J64" i="22"/>
  <c r="K64" i="22"/>
  <c r="L64" i="22"/>
  <c r="M64" i="22"/>
  <c r="M66" i="22" s="1"/>
  <c r="N64" i="22"/>
  <c r="O64" i="22"/>
  <c r="O66" i="22" s="1"/>
  <c r="P64" i="22"/>
  <c r="Q64" i="22"/>
  <c r="R64" i="22"/>
  <c r="S64" i="22"/>
  <c r="S66" i="22" s="1"/>
  <c r="T64" i="22"/>
  <c r="U64" i="22"/>
  <c r="U66" i="22" s="1"/>
  <c r="V64" i="22"/>
  <c r="W64" i="22"/>
  <c r="X64" i="22"/>
  <c r="X66" i="22" s="1"/>
  <c r="Y64" i="22"/>
  <c r="Z64" i="22"/>
  <c r="AA64" i="22"/>
  <c r="AB64" i="22"/>
  <c r="AB66" i="22" s="1"/>
  <c r="AC64" i="22"/>
  <c r="AC66" i="22" s="1"/>
  <c r="AD64" i="22"/>
  <c r="AE64" i="22"/>
  <c r="AE66" i="22" s="1"/>
  <c r="F65" i="22"/>
  <c r="G65" i="22"/>
  <c r="E65" i="22" s="1"/>
  <c r="H65" i="22"/>
  <c r="I65" i="22"/>
  <c r="I66" i="22" s="1"/>
  <c r="J65" i="22"/>
  <c r="J66" i="22" s="1"/>
  <c r="K65" i="22"/>
  <c r="K66" i="22" s="1"/>
  <c r="L65" i="22"/>
  <c r="D65" i="22" s="1"/>
  <c r="F65" i="34" s="1"/>
  <c r="M65" i="22"/>
  <c r="N65" i="22"/>
  <c r="O65" i="22"/>
  <c r="P65" i="22"/>
  <c r="Q65" i="22"/>
  <c r="Q66" i="22" s="1"/>
  <c r="R65" i="22"/>
  <c r="R66" i="22" s="1"/>
  <c r="S65" i="22"/>
  <c r="T65" i="22"/>
  <c r="T66" i="22" s="1"/>
  <c r="U65" i="22"/>
  <c r="V65" i="22"/>
  <c r="W65" i="22"/>
  <c r="X65" i="22"/>
  <c r="Y65" i="22"/>
  <c r="Y66" i="22" s="1"/>
  <c r="Z65" i="22"/>
  <c r="Z66" i="22" s="1"/>
  <c r="AA65" i="22"/>
  <c r="AA66" i="22" s="1"/>
  <c r="AB65" i="22"/>
  <c r="AC65" i="22"/>
  <c r="AD65" i="22"/>
  <c r="AE65" i="22"/>
  <c r="F66" i="22"/>
  <c r="G66" i="22"/>
  <c r="H66" i="22"/>
  <c r="N66" i="22"/>
  <c r="P66" i="22"/>
  <c r="V66" i="22"/>
  <c r="W66" i="22"/>
  <c r="AD66" i="22"/>
  <c r="D70" i="22"/>
  <c r="F70" i="22"/>
  <c r="G70" i="22"/>
  <c r="E70" i="22" s="1"/>
  <c r="E72" i="22" s="1"/>
  <c r="H70" i="22"/>
  <c r="I70" i="22"/>
  <c r="I72" i="22" s="1"/>
  <c r="J70" i="22"/>
  <c r="K70" i="22"/>
  <c r="L70" i="22"/>
  <c r="L72" i="22" s="1"/>
  <c r="M70" i="22"/>
  <c r="N70" i="22"/>
  <c r="O70" i="22"/>
  <c r="O72" i="22" s="1"/>
  <c r="P70" i="22"/>
  <c r="Q70" i="22"/>
  <c r="R70" i="22"/>
  <c r="R72" i="22" s="1"/>
  <c r="S70" i="22"/>
  <c r="T70" i="22"/>
  <c r="T72" i="22" s="1"/>
  <c r="U70" i="22"/>
  <c r="V70" i="22"/>
  <c r="W70" i="22"/>
  <c r="X70" i="22"/>
  <c r="Y70" i="22"/>
  <c r="Z70" i="22"/>
  <c r="AA70" i="22"/>
  <c r="AA72" i="22" s="1"/>
  <c r="AB70" i="22"/>
  <c r="AB72" i="22" s="1"/>
  <c r="AC70" i="22"/>
  <c r="AD70" i="22"/>
  <c r="AE70" i="22"/>
  <c r="AE72" i="22" s="1"/>
  <c r="F71" i="22"/>
  <c r="F72" i="22" s="1"/>
  <c r="G71" i="22"/>
  <c r="H71" i="22"/>
  <c r="H72" i="22" s="1"/>
  <c r="I71" i="22"/>
  <c r="J71" i="22"/>
  <c r="K71" i="22"/>
  <c r="E71" i="22" s="1"/>
  <c r="G71" i="34" s="1"/>
  <c r="L71" i="22"/>
  <c r="M71" i="22"/>
  <c r="N71" i="22"/>
  <c r="N72" i="22" s="1"/>
  <c r="O71" i="22"/>
  <c r="P71" i="22"/>
  <c r="P72" i="22" s="1"/>
  <c r="Q71" i="22"/>
  <c r="R71" i="22"/>
  <c r="S71" i="22"/>
  <c r="S72" i="22" s="1"/>
  <c r="T71" i="22"/>
  <c r="U71" i="22"/>
  <c r="U72" i="22" s="1"/>
  <c r="V71" i="22"/>
  <c r="V72" i="22" s="1"/>
  <c r="W71" i="22"/>
  <c r="X71" i="22"/>
  <c r="Y71" i="22"/>
  <c r="Z71" i="22"/>
  <c r="AA71" i="22"/>
  <c r="AB71" i="22"/>
  <c r="AC71" i="22"/>
  <c r="AD71" i="22"/>
  <c r="AD72" i="22" s="1"/>
  <c r="AE71" i="22"/>
  <c r="G72" i="22"/>
  <c r="J72" i="22"/>
  <c r="M72" i="22"/>
  <c r="Q72" i="22"/>
  <c r="W72" i="22"/>
  <c r="Y72" i="22"/>
  <c r="Z72" i="22"/>
  <c r="AC72" i="22"/>
  <c r="F73" i="22"/>
  <c r="G73" i="22"/>
  <c r="E73" i="22" s="1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F74" i="22"/>
  <c r="G74" i="22"/>
  <c r="H74" i="22"/>
  <c r="I74" i="22"/>
  <c r="J74" i="22"/>
  <c r="K74" i="22"/>
  <c r="E74" i="22" s="1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F75" i="22"/>
  <c r="G75" i="22"/>
  <c r="E75" i="22" s="1"/>
  <c r="G75" i="34" s="1"/>
  <c r="I75" i="34" s="1"/>
  <c r="H75" i="22"/>
  <c r="I75" i="22"/>
  <c r="J75" i="22"/>
  <c r="K75" i="22"/>
  <c r="L75" i="22"/>
  <c r="D75" i="22" s="1"/>
  <c r="F75" i="34" s="1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F76" i="22"/>
  <c r="G76" i="22"/>
  <c r="H76" i="22"/>
  <c r="I76" i="22"/>
  <c r="J76" i="22"/>
  <c r="K76" i="22"/>
  <c r="E76" i="22" s="1"/>
  <c r="G76" i="34" s="1"/>
  <c r="I76" i="34" s="1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F77" i="34" s="1"/>
  <c r="H77" i="34" s="1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F79" i="34" s="1"/>
  <c r="H79" i="34" s="1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F81" i="34" s="1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L82" i="22"/>
  <c r="J642" i="44" s="1"/>
  <c r="P82" i="22"/>
  <c r="N642" i="44" s="1"/>
  <c r="R82" i="22"/>
  <c r="P642" i="44" s="1"/>
  <c r="T82" i="22"/>
  <c r="R642" i="44" s="1"/>
  <c r="U82" i="22"/>
  <c r="S642" i="44" s="1"/>
  <c r="X82" i="22"/>
  <c r="V642" i="44" s="1"/>
  <c r="AC82" i="22"/>
  <c r="AA642" i="44" s="1"/>
  <c r="A5" i="34"/>
  <c r="E11" i="34"/>
  <c r="F11" i="34"/>
  <c r="D12" i="34"/>
  <c r="H12" i="34" s="1"/>
  <c r="E12" i="34"/>
  <c r="F12" i="34"/>
  <c r="D13" i="34"/>
  <c r="G13" i="34"/>
  <c r="H13" i="34"/>
  <c r="D14" i="34"/>
  <c r="H14" i="34" s="1"/>
  <c r="E15" i="34"/>
  <c r="F15" i="34"/>
  <c r="G15" i="34"/>
  <c r="I15" i="34" s="1"/>
  <c r="F19" i="34"/>
  <c r="F24" i="34" s="1"/>
  <c r="D20" i="34"/>
  <c r="E20" i="34"/>
  <c r="F20" i="34"/>
  <c r="H20" i="34"/>
  <c r="D21" i="34"/>
  <c r="G21" i="34"/>
  <c r="H21" i="34"/>
  <c r="D22" i="34"/>
  <c r="F22" i="34"/>
  <c r="H22" i="34"/>
  <c r="F23" i="34"/>
  <c r="D27" i="34"/>
  <c r="E27" i="34"/>
  <c r="E29" i="34" s="1"/>
  <c r="F27" i="34"/>
  <c r="H27" i="34"/>
  <c r="D28" i="34"/>
  <c r="E28" i="34"/>
  <c r="F28" i="34"/>
  <c r="H28" i="34" s="1"/>
  <c r="H29" i="34" s="1"/>
  <c r="D29" i="34"/>
  <c r="F29" i="34"/>
  <c r="D32" i="34"/>
  <c r="E32" i="34"/>
  <c r="E33" i="34"/>
  <c r="D34" i="34"/>
  <c r="E34" i="34"/>
  <c r="I34" i="34"/>
  <c r="D35" i="34"/>
  <c r="F35" i="34"/>
  <c r="H35" i="34" s="1"/>
  <c r="I35" i="34"/>
  <c r="E36" i="34"/>
  <c r="D39" i="34"/>
  <c r="E39" i="34"/>
  <c r="D40" i="34"/>
  <c r="D42" i="34" s="1"/>
  <c r="D43" i="34" s="1"/>
  <c r="D41" i="34"/>
  <c r="E45" i="34"/>
  <c r="F45" i="34"/>
  <c r="D47" i="34"/>
  <c r="G47" i="34"/>
  <c r="I47" i="34" s="1"/>
  <c r="D49" i="34"/>
  <c r="E49" i="34"/>
  <c r="D51" i="34"/>
  <c r="G51" i="34"/>
  <c r="I51" i="34" s="1"/>
  <c r="E54" i="34"/>
  <c r="D55" i="34"/>
  <c r="E55" i="34"/>
  <c r="G55" i="34"/>
  <c r="I55" i="34" s="1"/>
  <c r="E56" i="34"/>
  <c r="D59" i="34"/>
  <c r="D60" i="34"/>
  <c r="D61" i="34" s="1"/>
  <c r="E60" i="34"/>
  <c r="E64" i="34"/>
  <c r="E66" i="34" s="1"/>
  <c r="D65" i="34"/>
  <c r="E65" i="34"/>
  <c r="G65" i="34"/>
  <c r="H65" i="34"/>
  <c r="D70" i="34"/>
  <c r="D72" i="34" s="1"/>
  <c r="E70" i="34"/>
  <c r="F70" i="34"/>
  <c r="G70" i="34"/>
  <c r="I70" i="34"/>
  <c r="D71" i="34"/>
  <c r="E71" i="34"/>
  <c r="E72" i="34" s="1"/>
  <c r="I71" i="34"/>
  <c r="G72" i="34"/>
  <c r="D73" i="34"/>
  <c r="G73" i="34"/>
  <c r="E74" i="34"/>
  <c r="G74" i="34"/>
  <c r="I74" i="34" s="1"/>
  <c r="D75" i="34"/>
  <c r="E75" i="34"/>
  <c r="H75" i="34"/>
  <c r="D76" i="34"/>
  <c r="E76" i="34"/>
  <c r="D77" i="34"/>
  <c r="E77" i="34"/>
  <c r="E78" i="34"/>
  <c r="D79" i="34"/>
  <c r="E79" i="34"/>
  <c r="D80" i="34"/>
  <c r="E80" i="34"/>
  <c r="D81" i="34"/>
  <c r="A5" i="17"/>
  <c r="F11" i="17"/>
  <c r="G11" i="17"/>
  <c r="H11" i="17"/>
  <c r="I11" i="17"/>
  <c r="M11" i="17" s="1"/>
  <c r="L11" i="17"/>
  <c r="F12" i="17"/>
  <c r="H12" i="17"/>
  <c r="L12" i="17" s="1"/>
  <c r="I12" i="17"/>
  <c r="F13" i="17"/>
  <c r="G13" i="17"/>
  <c r="H13" i="17"/>
  <c r="I13" i="17"/>
  <c r="L13" i="17"/>
  <c r="M13" i="17"/>
  <c r="G14" i="17"/>
  <c r="H14" i="17"/>
  <c r="F14" i="17" s="1"/>
  <c r="I14" i="17"/>
  <c r="M14" i="17" s="1"/>
  <c r="L14" i="17"/>
  <c r="F15" i="17"/>
  <c r="G15" i="17"/>
  <c r="H15" i="17"/>
  <c r="I15" i="17"/>
  <c r="M15" i="17" s="1"/>
  <c r="L15" i="17"/>
  <c r="F16" i="17"/>
  <c r="J16" i="17"/>
  <c r="K16" i="17"/>
  <c r="H18" i="17"/>
  <c r="I18" i="17"/>
  <c r="F19" i="17"/>
  <c r="G19" i="17"/>
  <c r="H19" i="17"/>
  <c r="I19" i="17"/>
  <c r="M19" i="17" s="1"/>
  <c r="L19" i="17"/>
  <c r="F20" i="17"/>
  <c r="H20" i="17"/>
  <c r="L20" i="17" s="1"/>
  <c r="I20" i="17"/>
  <c r="M20" i="17" s="1"/>
  <c r="F21" i="17"/>
  <c r="G21" i="17"/>
  <c r="H21" i="17"/>
  <c r="I21" i="17"/>
  <c r="L21" i="17"/>
  <c r="M21" i="17"/>
  <c r="G22" i="17"/>
  <c r="H22" i="17"/>
  <c r="I22" i="17"/>
  <c r="M22" i="17" s="1"/>
  <c r="F23" i="17"/>
  <c r="G23" i="17"/>
  <c r="H23" i="17"/>
  <c r="I23" i="17"/>
  <c r="M23" i="17" s="1"/>
  <c r="L23" i="17"/>
  <c r="J24" i="17"/>
  <c r="K24" i="17"/>
  <c r="H27" i="17"/>
  <c r="I27" i="17"/>
  <c r="G28" i="17"/>
  <c r="H28" i="17"/>
  <c r="F28" i="17" s="1"/>
  <c r="I28" i="17"/>
  <c r="M28" i="17"/>
  <c r="J29" i="17"/>
  <c r="K29" i="17"/>
  <c r="G32" i="17"/>
  <c r="H32" i="17"/>
  <c r="I32" i="17"/>
  <c r="M32" i="17" s="1"/>
  <c r="G33" i="17"/>
  <c r="H33" i="17"/>
  <c r="F33" i="17" s="1"/>
  <c r="I33" i="17"/>
  <c r="L33" i="17"/>
  <c r="M33" i="17"/>
  <c r="H34" i="17"/>
  <c r="F34" i="17" s="1"/>
  <c r="I34" i="17"/>
  <c r="G34" i="17" s="1"/>
  <c r="L34" i="17"/>
  <c r="M34" i="17"/>
  <c r="G35" i="17"/>
  <c r="H35" i="17"/>
  <c r="I35" i="17"/>
  <c r="M35" i="17"/>
  <c r="I36" i="17"/>
  <c r="J36" i="17"/>
  <c r="K36" i="17"/>
  <c r="L37" i="17"/>
  <c r="M37" i="17"/>
  <c r="H38" i="17"/>
  <c r="I38" i="17"/>
  <c r="F39" i="17"/>
  <c r="H39" i="17"/>
  <c r="L39" i="17" s="1"/>
  <c r="I39" i="17"/>
  <c r="G39" i="17" s="1"/>
  <c r="M39" i="17"/>
  <c r="G40" i="17"/>
  <c r="H40" i="17"/>
  <c r="I40" i="17"/>
  <c r="M40" i="17"/>
  <c r="M42" i="17" s="1"/>
  <c r="M43" i="17" s="1"/>
  <c r="G41" i="17"/>
  <c r="G42" i="17" s="1"/>
  <c r="H41" i="17"/>
  <c r="F41" i="17" s="1"/>
  <c r="I41" i="17"/>
  <c r="M41" i="17" s="1"/>
  <c r="L41" i="17"/>
  <c r="J42" i="17"/>
  <c r="J43" i="17" s="1"/>
  <c r="K42" i="17"/>
  <c r="G43" i="17"/>
  <c r="K43" i="17"/>
  <c r="G45" i="17"/>
  <c r="H45" i="17"/>
  <c r="I45" i="17"/>
  <c r="M45" i="17" s="1"/>
  <c r="F47" i="17"/>
  <c r="H47" i="17"/>
  <c r="I47" i="17"/>
  <c r="G47" i="17" s="1"/>
  <c r="L47" i="17"/>
  <c r="M47" i="17"/>
  <c r="F49" i="17"/>
  <c r="G49" i="17"/>
  <c r="H49" i="17"/>
  <c r="I49" i="17"/>
  <c r="L49" i="17"/>
  <c r="M49" i="17"/>
  <c r="F51" i="17"/>
  <c r="G51" i="17"/>
  <c r="H51" i="17"/>
  <c r="L51" i="17" s="1"/>
  <c r="I51" i="17"/>
  <c r="M51" i="17" s="1"/>
  <c r="F54" i="17"/>
  <c r="H54" i="17"/>
  <c r="I54" i="17"/>
  <c r="L54" i="17"/>
  <c r="L56" i="17" s="1"/>
  <c r="F55" i="17"/>
  <c r="H55" i="17"/>
  <c r="I55" i="17"/>
  <c r="G55" i="17" s="1"/>
  <c r="L55" i="17"/>
  <c r="F56" i="17"/>
  <c r="H56" i="17"/>
  <c r="J56" i="17"/>
  <c r="K56" i="17"/>
  <c r="G59" i="17"/>
  <c r="H59" i="17"/>
  <c r="I59" i="17"/>
  <c r="M59" i="17"/>
  <c r="F60" i="17"/>
  <c r="H60" i="17"/>
  <c r="I60" i="17"/>
  <c r="L60" i="17"/>
  <c r="J61" i="17"/>
  <c r="K61" i="17"/>
  <c r="F64" i="17"/>
  <c r="G64" i="17"/>
  <c r="H64" i="17"/>
  <c r="L64" i="17" s="1"/>
  <c r="I64" i="17"/>
  <c r="M64" i="17"/>
  <c r="H65" i="17"/>
  <c r="I65" i="17"/>
  <c r="J66" i="17"/>
  <c r="K66" i="17"/>
  <c r="L69" i="17"/>
  <c r="M69" i="17"/>
  <c r="F70" i="17"/>
  <c r="H70" i="17"/>
  <c r="I70" i="17"/>
  <c r="G70" i="17" s="1"/>
  <c r="L70" i="17"/>
  <c r="L72" i="17" s="1"/>
  <c r="M70" i="17"/>
  <c r="M72" i="17" s="1"/>
  <c r="F71" i="17"/>
  <c r="G71" i="17"/>
  <c r="H71" i="17"/>
  <c r="I71" i="17"/>
  <c r="L71" i="17"/>
  <c r="M71" i="17"/>
  <c r="F72" i="17"/>
  <c r="G72" i="17"/>
  <c r="H72" i="17"/>
  <c r="I72" i="17"/>
  <c r="J72" i="17"/>
  <c r="K72" i="17"/>
  <c r="F73" i="17"/>
  <c r="G73" i="17"/>
  <c r="H73" i="17"/>
  <c r="L73" i="17" s="1"/>
  <c r="I73" i="17"/>
  <c r="M73" i="17" s="1"/>
  <c r="F74" i="17"/>
  <c r="H74" i="17"/>
  <c r="I74" i="17"/>
  <c r="L74" i="17"/>
  <c r="F75" i="17"/>
  <c r="H75" i="17"/>
  <c r="I75" i="17"/>
  <c r="G75" i="17" s="1"/>
  <c r="L75" i="17"/>
  <c r="F76" i="17"/>
  <c r="G76" i="17"/>
  <c r="H76" i="17"/>
  <c r="L76" i="17" s="1"/>
  <c r="I76" i="17"/>
  <c r="M76" i="17"/>
  <c r="H77" i="17"/>
  <c r="I77" i="17"/>
  <c r="H78" i="17"/>
  <c r="F78" i="17" s="1"/>
  <c r="I78" i="17"/>
  <c r="G78" i="17" s="1"/>
  <c r="M78" i="17"/>
  <c r="F79" i="17"/>
  <c r="H79" i="17"/>
  <c r="L79" i="17" s="1"/>
  <c r="I79" i="17"/>
  <c r="G79" i="17" s="1"/>
  <c r="G80" i="17"/>
  <c r="H80" i="17"/>
  <c r="I80" i="17"/>
  <c r="M80" i="17"/>
  <c r="G81" i="17"/>
  <c r="H81" i="17"/>
  <c r="F81" i="17" s="1"/>
  <c r="I81" i="17"/>
  <c r="M81" i="17" s="1"/>
  <c r="L81" i="17"/>
  <c r="D82" i="17"/>
  <c r="E82" i="17"/>
  <c r="A5" i="29"/>
  <c r="AD8" i="29"/>
  <c r="F11" i="29"/>
  <c r="D11" i="29" s="1"/>
  <c r="H11" i="29"/>
  <c r="I11" i="29"/>
  <c r="L11" i="29"/>
  <c r="M11" i="29"/>
  <c r="N11" i="29"/>
  <c r="N16" i="29" s="1"/>
  <c r="O11" i="29"/>
  <c r="P11" i="29"/>
  <c r="Q11" i="29"/>
  <c r="R11" i="29"/>
  <c r="S11" i="29"/>
  <c r="S16" i="29" s="1"/>
  <c r="T11" i="29"/>
  <c r="U11" i="29"/>
  <c r="V11" i="29"/>
  <c r="V16" i="29" s="1"/>
  <c r="W11" i="29"/>
  <c r="X11" i="29"/>
  <c r="X16" i="29" s="1"/>
  <c r="Y11" i="29"/>
  <c r="Z11" i="29"/>
  <c r="AA11" i="29"/>
  <c r="AA16" i="29" s="1"/>
  <c r="AA82" i="29" s="1"/>
  <c r="Y638" i="44" s="1"/>
  <c r="AB11" i="29"/>
  <c r="AC11" i="29"/>
  <c r="AD11" i="29"/>
  <c r="AD16" i="29" s="1"/>
  <c r="AE11" i="29"/>
  <c r="F12" i="29"/>
  <c r="G12" i="29"/>
  <c r="H12" i="29"/>
  <c r="I12" i="29"/>
  <c r="J12" i="29"/>
  <c r="K12" i="29"/>
  <c r="K16" i="29" s="1"/>
  <c r="L12" i="29"/>
  <c r="M12" i="29"/>
  <c r="N12" i="29"/>
  <c r="O12" i="29"/>
  <c r="P12" i="29"/>
  <c r="Q12" i="29"/>
  <c r="Q16" i="29" s="1"/>
  <c r="R12" i="29"/>
  <c r="S12" i="29"/>
  <c r="T12" i="29"/>
  <c r="U12" i="29"/>
  <c r="V12" i="29"/>
  <c r="W12" i="29"/>
  <c r="W16" i="29" s="1"/>
  <c r="X12" i="29"/>
  <c r="Y12" i="29"/>
  <c r="Y16" i="29" s="1"/>
  <c r="Z12" i="29"/>
  <c r="AA12" i="29"/>
  <c r="AB12" i="29"/>
  <c r="AC12" i="29"/>
  <c r="AD12" i="29"/>
  <c r="AE12" i="29"/>
  <c r="F13" i="29"/>
  <c r="F16" i="29" s="1"/>
  <c r="G13" i="29"/>
  <c r="L13" i="29"/>
  <c r="M13" i="29"/>
  <c r="N13" i="29"/>
  <c r="O13" i="29"/>
  <c r="P13" i="29"/>
  <c r="D13" i="29" s="1"/>
  <c r="F13" i="41" s="1"/>
  <c r="Q13" i="29"/>
  <c r="E13" i="29" s="1"/>
  <c r="G13" i="41" s="1"/>
  <c r="I13" i="41" s="1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F14" i="29"/>
  <c r="G14" i="29"/>
  <c r="H14" i="29"/>
  <c r="I14" i="29"/>
  <c r="J14" i="29"/>
  <c r="K14" i="29"/>
  <c r="L14" i="29"/>
  <c r="D14" i="29" s="1"/>
  <c r="F14" i="41" s="1"/>
  <c r="M14" i="29"/>
  <c r="M16" i="29" s="1"/>
  <c r="N14" i="29"/>
  <c r="O14" i="29"/>
  <c r="O16" i="29" s="1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C16" i="29" s="1"/>
  <c r="AD14" i="29"/>
  <c r="AE14" i="29"/>
  <c r="AE16" i="29" s="1"/>
  <c r="F15" i="29"/>
  <c r="H15" i="29"/>
  <c r="J15" i="29"/>
  <c r="J16" i="29" s="1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H16" i="29"/>
  <c r="P16" i="29"/>
  <c r="R16" i="29"/>
  <c r="Z16" i="29"/>
  <c r="F19" i="29"/>
  <c r="G19" i="29"/>
  <c r="L19" i="29"/>
  <c r="M19" i="29"/>
  <c r="E19" i="29" s="1"/>
  <c r="N19" i="29"/>
  <c r="O19" i="29"/>
  <c r="P19" i="29"/>
  <c r="Q19" i="29"/>
  <c r="R19" i="29"/>
  <c r="R24" i="29" s="1"/>
  <c r="S19" i="29"/>
  <c r="T19" i="29"/>
  <c r="U19" i="29"/>
  <c r="U24" i="29" s="1"/>
  <c r="V19" i="29"/>
  <c r="W19" i="29"/>
  <c r="W24" i="29" s="1"/>
  <c r="X19" i="29"/>
  <c r="Y19" i="29"/>
  <c r="Z19" i="29"/>
  <c r="Z24" i="29" s="1"/>
  <c r="AA19" i="29"/>
  <c r="AB19" i="29"/>
  <c r="AC19" i="29"/>
  <c r="AD19" i="29"/>
  <c r="AE19" i="29"/>
  <c r="F20" i="29"/>
  <c r="G20" i="29"/>
  <c r="H20" i="29"/>
  <c r="H24" i="29" s="1"/>
  <c r="I20" i="29"/>
  <c r="I24" i="29" s="1"/>
  <c r="J20" i="29"/>
  <c r="K20" i="29"/>
  <c r="L20" i="29"/>
  <c r="N20" i="29"/>
  <c r="N24" i="29" s="1"/>
  <c r="P20" i="29"/>
  <c r="R20" i="29"/>
  <c r="T20" i="29"/>
  <c r="V20" i="29"/>
  <c r="X20" i="29"/>
  <c r="Y20" i="29"/>
  <c r="Z20" i="29"/>
  <c r="AA20" i="29"/>
  <c r="AB20" i="29"/>
  <c r="AC20" i="29"/>
  <c r="AD20" i="29"/>
  <c r="AE20" i="29"/>
  <c r="F21" i="29"/>
  <c r="D21" i="29" s="1"/>
  <c r="G21" i="29"/>
  <c r="G24" i="29" s="1"/>
  <c r="L21" i="29"/>
  <c r="L24" i="29" s="1"/>
  <c r="M21" i="29"/>
  <c r="N21" i="29"/>
  <c r="O21" i="29"/>
  <c r="E21" i="29" s="1"/>
  <c r="G21" i="41" s="1"/>
  <c r="I21" i="41" s="1"/>
  <c r="P21" i="29"/>
  <c r="Q21" i="29"/>
  <c r="R21" i="29"/>
  <c r="S21" i="29"/>
  <c r="T21" i="29"/>
  <c r="T24" i="29" s="1"/>
  <c r="U21" i="29"/>
  <c r="V21" i="29"/>
  <c r="W21" i="29"/>
  <c r="X21" i="29"/>
  <c r="Y21" i="29"/>
  <c r="Z21" i="29"/>
  <c r="AA21" i="29"/>
  <c r="AB21" i="29"/>
  <c r="AC21" i="29"/>
  <c r="AD21" i="29"/>
  <c r="AE21" i="29"/>
  <c r="F22" i="29"/>
  <c r="G22" i="29"/>
  <c r="H22" i="29"/>
  <c r="I22" i="29"/>
  <c r="J22" i="29"/>
  <c r="K22" i="29"/>
  <c r="E22" i="29" s="1"/>
  <c r="G22" i="41" s="1"/>
  <c r="I22" i="41" s="1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X24" i="29" s="1"/>
  <c r="Y22" i="29"/>
  <c r="Z22" i="29"/>
  <c r="AA22" i="29"/>
  <c r="AA24" i="29" s="1"/>
  <c r="AB22" i="29"/>
  <c r="AC22" i="29"/>
  <c r="AD22" i="29"/>
  <c r="AE22" i="29"/>
  <c r="D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V24" i="29" s="1"/>
  <c r="W23" i="29"/>
  <c r="X23" i="29"/>
  <c r="Y23" i="29"/>
  <c r="Z23" i="29"/>
  <c r="AA23" i="29"/>
  <c r="AB23" i="29"/>
  <c r="AC23" i="29"/>
  <c r="AD23" i="29"/>
  <c r="AD24" i="29" s="1"/>
  <c r="AE23" i="29"/>
  <c r="J24" i="29"/>
  <c r="K24" i="29"/>
  <c r="M24" i="29"/>
  <c r="S24" i="29"/>
  <c r="AB24" i="29"/>
  <c r="AC24" i="29"/>
  <c r="AE24" i="29"/>
  <c r="F27" i="29"/>
  <c r="D27" i="29" s="1"/>
  <c r="G27" i="29"/>
  <c r="H27" i="29"/>
  <c r="I27" i="29"/>
  <c r="J27" i="29"/>
  <c r="K27" i="29"/>
  <c r="L27" i="29"/>
  <c r="M27" i="29"/>
  <c r="N27" i="29"/>
  <c r="O27" i="29"/>
  <c r="P27" i="29"/>
  <c r="Q27" i="29"/>
  <c r="Q29" i="29" s="1"/>
  <c r="R27" i="29"/>
  <c r="S27" i="29"/>
  <c r="T27" i="29"/>
  <c r="U27" i="29"/>
  <c r="V27" i="29"/>
  <c r="W27" i="29"/>
  <c r="X27" i="29"/>
  <c r="Y27" i="29"/>
  <c r="Y29" i="29" s="1"/>
  <c r="Z27" i="29"/>
  <c r="AA27" i="29"/>
  <c r="AB27" i="29"/>
  <c r="AC27" i="29"/>
  <c r="AD27" i="29"/>
  <c r="AE27" i="29"/>
  <c r="F28" i="29"/>
  <c r="G28" i="29"/>
  <c r="G29" i="29" s="1"/>
  <c r="H28" i="29"/>
  <c r="H29" i="29" s="1"/>
  <c r="I28" i="29"/>
  <c r="J28" i="29"/>
  <c r="K28" i="29"/>
  <c r="L28" i="29"/>
  <c r="M28" i="29"/>
  <c r="M29" i="29" s="1"/>
  <c r="N28" i="29"/>
  <c r="N29" i="29" s="1"/>
  <c r="O28" i="29"/>
  <c r="O29" i="29" s="1"/>
  <c r="P28" i="29"/>
  <c r="P29" i="29" s="1"/>
  <c r="Q28" i="29"/>
  <c r="R28" i="29"/>
  <c r="S28" i="29"/>
  <c r="T28" i="29"/>
  <c r="U28" i="29"/>
  <c r="U29" i="29" s="1"/>
  <c r="V28" i="29"/>
  <c r="V29" i="29" s="1"/>
  <c r="W28" i="29"/>
  <c r="W29" i="29" s="1"/>
  <c r="X28" i="29"/>
  <c r="X29" i="29" s="1"/>
  <c r="Y28" i="29"/>
  <c r="Z28" i="29"/>
  <c r="AA28" i="29"/>
  <c r="AB28" i="29"/>
  <c r="AC28" i="29"/>
  <c r="AC29" i="29" s="1"/>
  <c r="AD28" i="29"/>
  <c r="AD29" i="29" s="1"/>
  <c r="AE28" i="29"/>
  <c r="AE29" i="29" s="1"/>
  <c r="I29" i="29"/>
  <c r="J29" i="29"/>
  <c r="K29" i="29"/>
  <c r="L29" i="29"/>
  <c r="R29" i="29"/>
  <c r="S29" i="29"/>
  <c r="T29" i="29"/>
  <c r="Z29" i="29"/>
  <c r="AA29" i="29"/>
  <c r="AB29" i="29"/>
  <c r="F32" i="29"/>
  <c r="G32" i="29"/>
  <c r="G36" i="29" s="1"/>
  <c r="L32" i="29"/>
  <c r="M32" i="29"/>
  <c r="N32" i="29"/>
  <c r="O32" i="29"/>
  <c r="P32" i="29"/>
  <c r="Q32" i="29"/>
  <c r="Q36" i="29" s="1"/>
  <c r="R32" i="29"/>
  <c r="R36" i="29" s="1"/>
  <c r="S32" i="29"/>
  <c r="T32" i="29"/>
  <c r="U32" i="29"/>
  <c r="V32" i="29"/>
  <c r="W32" i="29"/>
  <c r="X32" i="29"/>
  <c r="Y32" i="29"/>
  <c r="Z32" i="29"/>
  <c r="Z36" i="29" s="1"/>
  <c r="AA32" i="29"/>
  <c r="AB32" i="29"/>
  <c r="AC32" i="29"/>
  <c r="AD32" i="29"/>
  <c r="AE32" i="29"/>
  <c r="F33" i="29"/>
  <c r="G33" i="29"/>
  <c r="H33" i="29"/>
  <c r="H36" i="29" s="1"/>
  <c r="I33" i="29"/>
  <c r="J33" i="29"/>
  <c r="K33" i="29"/>
  <c r="L33" i="29"/>
  <c r="M33" i="29"/>
  <c r="M36" i="29" s="1"/>
  <c r="N33" i="29"/>
  <c r="O33" i="29"/>
  <c r="O36" i="29" s="1"/>
  <c r="P33" i="29"/>
  <c r="P36" i="29" s="1"/>
  <c r="Q33" i="29"/>
  <c r="R33" i="29"/>
  <c r="S33" i="29"/>
  <c r="T33" i="29"/>
  <c r="U33" i="29"/>
  <c r="U36" i="29" s="1"/>
  <c r="V33" i="29"/>
  <c r="W33" i="29"/>
  <c r="W36" i="29" s="1"/>
  <c r="X33" i="29"/>
  <c r="X36" i="29" s="1"/>
  <c r="Y33" i="29"/>
  <c r="Z33" i="29"/>
  <c r="AA33" i="29"/>
  <c r="AB33" i="29"/>
  <c r="AC33" i="29"/>
  <c r="AC36" i="29" s="1"/>
  <c r="AD33" i="29"/>
  <c r="AE33" i="29"/>
  <c r="AE36" i="29" s="1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F35" i="29"/>
  <c r="G35" i="29"/>
  <c r="H35" i="29"/>
  <c r="I35" i="29"/>
  <c r="J35" i="29"/>
  <c r="K35" i="29"/>
  <c r="L35" i="29"/>
  <c r="M35" i="29"/>
  <c r="E35" i="29" s="1"/>
  <c r="G35" i="41" s="1"/>
  <c r="I35" i="41" s="1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I36" i="29"/>
  <c r="J36" i="29"/>
  <c r="K36" i="29"/>
  <c r="L36" i="29"/>
  <c r="S36" i="29"/>
  <c r="T36" i="29"/>
  <c r="Y36" i="29"/>
  <c r="AA36" i="29"/>
  <c r="AB36" i="29"/>
  <c r="F39" i="29"/>
  <c r="G39" i="29"/>
  <c r="L39" i="29"/>
  <c r="M39" i="29"/>
  <c r="N39" i="29"/>
  <c r="O39" i="29"/>
  <c r="P39" i="29"/>
  <c r="Q39" i="29"/>
  <c r="E39" i="29" s="1"/>
  <c r="G39" i="41" s="1"/>
  <c r="I39" i="41" s="1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F40" i="29"/>
  <c r="G40" i="29"/>
  <c r="G42" i="29" s="1"/>
  <c r="G43" i="29" s="1"/>
  <c r="L40" i="29"/>
  <c r="M40" i="29"/>
  <c r="N40" i="29"/>
  <c r="O40" i="29"/>
  <c r="P40" i="29"/>
  <c r="Q40" i="29"/>
  <c r="E40" i="29" s="1"/>
  <c r="R40" i="29"/>
  <c r="S40" i="29"/>
  <c r="T40" i="29"/>
  <c r="U40" i="29"/>
  <c r="V40" i="29"/>
  <c r="W40" i="29"/>
  <c r="X40" i="29"/>
  <c r="Y40" i="29"/>
  <c r="Y42" i="29" s="1"/>
  <c r="Y43" i="29" s="1"/>
  <c r="Z40" i="29"/>
  <c r="AA40" i="29"/>
  <c r="AB40" i="29"/>
  <c r="AC40" i="29"/>
  <c r="AD40" i="29"/>
  <c r="AE40" i="29"/>
  <c r="F41" i="29"/>
  <c r="G41" i="29"/>
  <c r="H41" i="29"/>
  <c r="H42" i="29" s="1"/>
  <c r="H43" i="29" s="1"/>
  <c r="H82" i="29" s="1"/>
  <c r="F638" i="44" s="1"/>
  <c r="I41" i="29"/>
  <c r="J41" i="29"/>
  <c r="K41" i="29"/>
  <c r="L41" i="29"/>
  <c r="M41" i="29"/>
  <c r="M42" i="29" s="1"/>
  <c r="M43" i="29" s="1"/>
  <c r="N41" i="29"/>
  <c r="N42" i="29" s="1"/>
  <c r="N43" i="29" s="1"/>
  <c r="O41" i="29"/>
  <c r="O42" i="29" s="1"/>
  <c r="O43" i="29" s="1"/>
  <c r="P41" i="29"/>
  <c r="P42" i="29" s="1"/>
  <c r="P43" i="29" s="1"/>
  <c r="Q41" i="29"/>
  <c r="R41" i="29"/>
  <c r="S41" i="29"/>
  <c r="T41" i="29"/>
  <c r="U41" i="29"/>
  <c r="U42" i="29" s="1"/>
  <c r="V41" i="29"/>
  <c r="V42" i="29" s="1"/>
  <c r="V43" i="29" s="1"/>
  <c r="W41" i="29"/>
  <c r="W42" i="29" s="1"/>
  <c r="W43" i="29" s="1"/>
  <c r="X41" i="29"/>
  <c r="X42" i="29" s="1"/>
  <c r="Y41" i="29"/>
  <c r="Z41" i="29"/>
  <c r="AA41" i="29"/>
  <c r="AB41" i="29"/>
  <c r="AC41" i="29"/>
  <c r="AC42" i="29" s="1"/>
  <c r="AC43" i="29" s="1"/>
  <c r="AD41" i="29"/>
  <c r="AD42" i="29" s="1"/>
  <c r="AD43" i="29" s="1"/>
  <c r="AE41" i="29"/>
  <c r="AE42" i="29" s="1"/>
  <c r="AE43" i="29" s="1"/>
  <c r="I42" i="29"/>
  <c r="I43" i="29" s="1"/>
  <c r="J42" i="29"/>
  <c r="J43" i="29" s="1"/>
  <c r="K42" i="29"/>
  <c r="K43" i="29" s="1"/>
  <c r="L42" i="29"/>
  <c r="L43" i="29" s="1"/>
  <c r="Q42" i="29"/>
  <c r="Q43" i="29" s="1"/>
  <c r="R42" i="29"/>
  <c r="R43" i="29" s="1"/>
  <c r="S42" i="29"/>
  <c r="S43" i="29" s="1"/>
  <c r="T42" i="29"/>
  <c r="T43" i="29" s="1"/>
  <c r="Z42" i="29"/>
  <c r="AA42" i="29"/>
  <c r="AA43" i="29" s="1"/>
  <c r="AB42" i="29"/>
  <c r="AB43" i="29" s="1"/>
  <c r="U43" i="29"/>
  <c r="X43" i="29"/>
  <c r="X82" i="29" s="1"/>
  <c r="V638" i="44" s="1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F47" i="29"/>
  <c r="G47" i="29"/>
  <c r="H47" i="29"/>
  <c r="I47" i="29"/>
  <c r="J47" i="29"/>
  <c r="K47" i="29"/>
  <c r="L47" i="29"/>
  <c r="M47" i="29"/>
  <c r="E47" i="29" s="1"/>
  <c r="G47" i="41" s="1"/>
  <c r="I47" i="41" s="1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F49" i="29"/>
  <c r="G49" i="29"/>
  <c r="H49" i="29"/>
  <c r="I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F54" i="29"/>
  <c r="H54" i="29"/>
  <c r="H56" i="29" s="1"/>
  <c r="I54" i="29"/>
  <c r="I56" i="29" s="1"/>
  <c r="J54" i="29"/>
  <c r="J56" i="29" s="1"/>
  <c r="K54" i="29"/>
  <c r="L54" i="29"/>
  <c r="M54" i="29"/>
  <c r="N54" i="29"/>
  <c r="O54" i="29"/>
  <c r="P54" i="29"/>
  <c r="P56" i="29" s="1"/>
  <c r="Q54" i="29"/>
  <c r="Q56" i="29" s="1"/>
  <c r="R54" i="29"/>
  <c r="R56" i="29" s="1"/>
  <c r="S54" i="29"/>
  <c r="T54" i="29"/>
  <c r="U54" i="29"/>
  <c r="V54" i="29"/>
  <c r="W54" i="29"/>
  <c r="X54" i="29"/>
  <c r="X56" i="29" s="1"/>
  <c r="Z54" i="29"/>
  <c r="AA54" i="29"/>
  <c r="AB54" i="29"/>
  <c r="AC54" i="29"/>
  <c r="AC56" i="29" s="1"/>
  <c r="AD54" i="29"/>
  <c r="AE54" i="29"/>
  <c r="AE56" i="29" s="1"/>
  <c r="F55" i="29"/>
  <c r="I55" i="29"/>
  <c r="K55" i="29"/>
  <c r="L55" i="29"/>
  <c r="M55" i="29"/>
  <c r="N55" i="29"/>
  <c r="D55" i="29" s="1"/>
  <c r="F55" i="41" s="1"/>
  <c r="H55" i="41" s="1"/>
  <c r="O55" i="29"/>
  <c r="P55" i="29"/>
  <c r="Q55" i="29"/>
  <c r="R55" i="29"/>
  <c r="S55" i="29"/>
  <c r="T55" i="29"/>
  <c r="U55" i="29"/>
  <c r="V55" i="29"/>
  <c r="W55" i="29"/>
  <c r="X55" i="29"/>
  <c r="Z55" i="29"/>
  <c r="Z56" i="29" s="1"/>
  <c r="AA55" i="29"/>
  <c r="AB55" i="29"/>
  <c r="AB56" i="29" s="1"/>
  <c r="AC55" i="29"/>
  <c r="AD55" i="29"/>
  <c r="AE55" i="29"/>
  <c r="F56" i="29"/>
  <c r="K56" i="29"/>
  <c r="L56" i="29"/>
  <c r="M56" i="29"/>
  <c r="N56" i="29"/>
  <c r="S56" i="29"/>
  <c r="T56" i="29"/>
  <c r="U56" i="29"/>
  <c r="V56" i="29"/>
  <c r="Y56" i="29"/>
  <c r="AA56" i="29"/>
  <c r="AD56" i="29"/>
  <c r="F59" i="29"/>
  <c r="G59" i="29"/>
  <c r="H59" i="29"/>
  <c r="J59" i="29"/>
  <c r="L59" i="29"/>
  <c r="D59" i="29" s="1"/>
  <c r="M59" i="29"/>
  <c r="N59" i="29"/>
  <c r="O59" i="29"/>
  <c r="P59" i="29"/>
  <c r="Q59" i="29"/>
  <c r="Q61" i="29" s="1"/>
  <c r="R59" i="29"/>
  <c r="S59" i="29"/>
  <c r="T59" i="29"/>
  <c r="U59" i="29"/>
  <c r="V59" i="29"/>
  <c r="W59" i="29"/>
  <c r="X59" i="29"/>
  <c r="Y59" i="29"/>
  <c r="Y61" i="29" s="1"/>
  <c r="Z59" i="29"/>
  <c r="AA59" i="29"/>
  <c r="AB59" i="29"/>
  <c r="AC59" i="29"/>
  <c r="AD59" i="29"/>
  <c r="AE59" i="29"/>
  <c r="F60" i="29"/>
  <c r="G60" i="29"/>
  <c r="H60" i="29"/>
  <c r="J60" i="29"/>
  <c r="L60" i="29"/>
  <c r="M60" i="29"/>
  <c r="N60" i="29"/>
  <c r="O60" i="29"/>
  <c r="O61" i="29" s="1"/>
  <c r="P60" i="29"/>
  <c r="P61" i="29" s="1"/>
  <c r="Q60" i="29"/>
  <c r="R60" i="29"/>
  <c r="S60" i="29"/>
  <c r="T60" i="29"/>
  <c r="U60" i="29"/>
  <c r="V60" i="29"/>
  <c r="W60" i="29"/>
  <c r="W61" i="29" s="1"/>
  <c r="X60" i="29"/>
  <c r="X61" i="29" s="1"/>
  <c r="Y60" i="29"/>
  <c r="Z60" i="29"/>
  <c r="AA60" i="29"/>
  <c r="AB60" i="29"/>
  <c r="AC60" i="29"/>
  <c r="AD60" i="29"/>
  <c r="AE60" i="29"/>
  <c r="AE61" i="29" s="1"/>
  <c r="H61" i="29"/>
  <c r="I61" i="29"/>
  <c r="J61" i="29"/>
  <c r="K61" i="29"/>
  <c r="M61" i="29"/>
  <c r="N61" i="29"/>
  <c r="S61" i="29"/>
  <c r="T61" i="29"/>
  <c r="U61" i="29"/>
  <c r="V61" i="29"/>
  <c r="AA61" i="29"/>
  <c r="AB61" i="29"/>
  <c r="AC61" i="29"/>
  <c r="AD61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R66" i="29" s="1"/>
  <c r="S64" i="29"/>
  <c r="T64" i="29"/>
  <c r="T66" i="29" s="1"/>
  <c r="U64" i="29"/>
  <c r="V64" i="29"/>
  <c r="W64" i="29"/>
  <c r="X64" i="29"/>
  <c r="Y64" i="29"/>
  <c r="Z64" i="29"/>
  <c r="Z66" i="29" s="1"/>
  <c r="AA64" i="29"/>
  <c r="AB64" i="29"/>
  <c r="AB66" i="29" s="1"/>
  <c r="AC64" i="29"/>
  <c r="AD64" i="29"/>
  <c r="AE64" i="29"/>
  <c r="AE66" i="29" s="1"/>
  <c r="F65" i="29"/>
  <c r="G65" i="29"/>
  <c r="H65" i="29"/>
  <c r="H66" i="29" s="1"/>
  <c r="I65" i="29"/>
  <c r="J65" i="29"/>
  <c r="K65" i="29"/>
  <c r="K66" i="29" s="1"/>
  <c r="L65" i="29"/>
  <c r="M65" i="29"/>
  <c r="M66" i="29" s="1"/>
  <c r="N65" i="29"/>
  <c r="N66" i="29" s="1"/>
  <c r="O65" i="29"/>
  <c r="P65" i="29"/>
  <c r="P66" i="29" s="1"/>
  <c r="Q65" i="29"/>
  <c r="R65" i="29"/>
  <c r="S65" i="29"/>
  <c r="S66" i="29" s="1"/>
  <c r="T65" i="29"/>
  <c r="U65" i="29"/>
  <c r="U66" i="29" s="1"/>
  <c r="V65" i="29"/>
  <c r="V66" i="29" s="1"/>
  <c r="W65" i="29"/>
  <c r="X65" i="29"/>
  <c r="Y65" i="29"/>
  <c r="Z65" i="29"/>
  <c r="AA65" i="29"/>
  <c r="AA66" i="29" s="1"/>
  <c r="AB65" i="29"/>
  <c r="AC65" i="29"/>
  <c r="AC66" i="29" s="1"/>
  <c r="AD65" i="29"/>
  <c r="AD66" i="29" s="1"/>
  <c r="AE65" i="29"/>
  <c r="I66" i="29"/>
  <c r="L66" i="29"/>
  <c r="O66" i="29"/>
  <c r="Q66" i="29"/>
  <c r="W66" i="29"/>
  <c r="Y66" i="29"/>
  <c r="F70" i="29"/>
  <c r="G70" i="29"/>
  <c r="H70" i="29"/>
  <c r="D70" i="29" s="1"/>
  <c r="I70" i="29"/>
  <c r="J70" i="29"/>
  <c r="K70" i="29"/>
  <c r="L70" i="29"/>
  <c r="M70" i="29"/>
  <c r="M72" i="29" s="1"/>
  <c r="N70" i="29"/>
  <c r="O70" i="29"/>
  <c r="P70" i="29"/>
  <c r="P72" i="29" s="1"/>
  <c r="Q70" i="29"/>
  <c r="R70" i="29"/>
  <c r="S70" i="29"/>
  <c r="S72" i="29" s="1"/>
  <c r="T70" i="29"/>
  <c r="U70" i="29"/>
  <c r="U72" i="29" s="1"/>
  <c r="V70" i="29"/>
  <c r="W70" i="29"/>
  <c r="X70" i="29"/>
  <c r="Y70" i="29"/>
  <c r="Z70" i="29"/>
  <c r="Z72" i="29" s="1"/>
  <c r="AA70" i="29"/>
  <c r="AB70" i="29"/>
  <c r="AC70" i="29"/>
  <c r="AC72" i="29" s="1"/>
  <c r="AD70" i="29"/>
  <c r="AE70" i="29"/>
  <c r="F71" i="29"/>
  <c r="G71" i="29"/>
  <c r="H71" i="29"/>
  <c r="I71" i="29"/>
  <c r="I72" i="29" s="1"/>
  <c r="J71" i="29"/>
  <c r="K71" i="29"/>
  <c r="L71" i="29"/>
  <c r="M71" i="29"/>
  <c r="N71" i="29"/>
  <c r="O71" i="29"/>
  <c r="O72" i="29" s="1"/>
  <c r="P71" i="29"/>
  <c r="Q71" i="29"/>
  <c r="Q72" i="29" s="1"/>
  <c r="R71" i="29"/>
  <c r="S71" i="29"/>
  <c r="T71" i="29"/>
  <c r="T72" i="29" s="1"/>
  <c r="U71" i="29"/>
  <c r="V71" i="29"/>
  <c r="W71" i="29"/>
  <c r="W72" i="29" s="1"/>
  <c r="X71" i="29"/>
  <c r="Y71" i="29"/>
  <c r="Y72" i="29" s="1"/>
  <c r="Z71" i="29"/>
  <c r="AA71" i="29"/>
  <c r="AB71" i="29"/>
  <c r="AC71" i="29"/>
  <c r="AD71" i="29"/>
  <c r="AE71" i="29"/>
  <c r="AE72" i="29" s="1"/>
  <c r="F72" i="29"/>
  <c r="J72" i="29"/>
  <c r="K72" i="29"/>
  <c r="N72" i="29"/>
  <c r="R72" i="29"/>
  <c r="V72" i="29"/>
  <c r="X72" i="29"/>
  <c r="AA72" i="29"/>
  <c r="AB72" i="29"/>
  <c r="AD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F74" i="29"/>
  <c r="G74" i="29"/>
  <c r="H74" i="29"/>
  <c r="I74" i="29"/>
  <c r="J74" i="29"/>
  <c r="K74" i="29"/>
  <c r="E74" i="29" s="1"/>
  <c r="G74" i="41" s="1"/>
  <c r="I74" i="41" s="1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F75" i="41" s="1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F76" i="29"/>
  <c r="G76" i="29"/>
  <c r="H76" i="29"/>
  <c r="I76" i="29"/>
  <c r="J76" i="29"/>
  <c r="K76" i="29"/>
  <c r="L76" i="29"/>
  <c r="D76" i="29" s="1"/>
  <c r="M76" i="29"/>
  <c r="E76" i="29" s="1"/>
  <c r="G76" i="41" s="1"/>
  <c r="I76" i="41" s="1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F78" i="29"/>
  <c r="G78" i="29"/>
  <c r="H78" i="29"/>
  <c r="I78" i="29"/>
  <c r="J78" i="29"/>
  <c r="K78" i="29"/>
  <c r="L78" i="29"/>
  <c r="M78" i="29"/>
  <c r="E78" i="29" s="1"/>
  <c r="G78" i="41" s="1"/>
  <c r="I78" i="41" s="1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F79" i="41" s="1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F80" i="29"/>
  <c r="D80" i="29" s="1"/>
  <c r="G80" i="29"/>
  <c r="E80" i="29" s="1"/>
  <c r="G80" i="41" s="1"/>
  <c r="I80" i="41" s="1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J82" i="29"/>
  <c r="H638" i="44" s="1"/>
  <c r="R82" i="29"/>
  <c r="P638" i="44" s="1"/>
  <c r="A4" i="41"/>
  <c r="A5" i="41"/>
  <c r="D11" i="41"/>
  <c r="E11" i="41"/>
  <c r="F11" i="41"/>
  <c r="D12" i="41"/>
  <c r="E12" i="41"/>
  <c r="D13" i="41"/>
  <c r="E13" i="41"/>
  <c r="E16" i="41" s="1"/>
  <c r="H13" i="41"/>
  <c r="D14" i="41"/>
  <c r="E14" i="41"/>
  <c r="D15" i="41"/>
  <c r="E15" i="41"/>
  <c r="D19" i="41"/>
  <c r="E19" i="41"/>
  <c r="E24" i="41" s="1"/>
  <c r="G19" i="41"/>
  <c r="I19" i="41" s="1"/>
  <c r="D20" i="41"/>
  <c r="D24" i="41" s="1"/>
  <c r="E20" i="41"/>
  <c r="D21" i="41"/>
  <c r="E21" i="41"/>
  <c r="F21" i="41"/>
  <c r="H21" i="41" s="1"/>
  <c r="D22" i="41"/>
  <c r="E22" i="41"/>
  <c r="D23" i="41"/>
  <c r="E23" i="41"/>
  <c r="F23" i="41"/>
  <c r="H23" i="41"/>
  <c r="D27" i="41"/>
  <c r="D29" i="41" s="1"/>
  <c r="E27" i="41"/>
  <c r="D28" i="41"/>
  <c r="E28" i="41"/>
  <c r="E29" i="41"/>
  <c r="D32" i="41"/>
  <c r="D36" i="41" s="1"/>
  <c r="E32" i="41"/>
  <c r="D33" i="41"/>
  <c r="E33" i="41"/>
  <c r="D34" i="41"/>
  <c r="E34" i="41"/>
  <c r="D35" i="41"/>
  <c r="E35" i="41"/>
  <c r="E36" i="41" s="1"/>
  <c r="D39" i="41"/>
  <c r="D43" i="41" s="1"/>
  <c r="E39" i="41"/>
  <c r="D40" i="41"/>
  <c r="E40" i="41"/>
  <c r="D41" i="41"/>
  <c r="E41" i="41"/>
  <c r="E42" i="41" s="1"/>
  <c r="E43" i="41" s="1"/>
  <c r="D42" i="41"/>
  <c r="D45" i="41"/>
  <c r="E45" i="41"/>
  <c r="D47" i="41"/>
  <c r="E47" i="41"/>
  <c r="D49" i="41"/>
  <c r="E49" i="41"/>
  <c r="D51" i="41"/>
  <c r="E51" i="41"/>
  <c r="D54" i="41"/>
  <c r="E54" i="41"/>
  <c r="F54" i="41"/>
  <c r="D55" i="41"/>
  <c r="E55" i="41"/>
  <c r="E56" i="41" s="1"/>
  <c r="D56" i="41"/>
  <c r="D59" i="41"/>
  <c r="D61" i="41" s="1"/>
  <c r="E59" i="41"/>
  <c r="F59" i="41"/>
  <c r="D60" i="41"/>
  <c r="E60" i="41"/>
  <c r="E61" i="41"/>
  <c r="D64" i="41"/>
  <c r="E64" i="41"/>
  <c r="E66" i="41" s="1"/>
  <c r="D65" i="41"/>
  <c r="E65" i="41"/>
  <c r="D70" i="41"/>
  <c r="E70" i="41"/>
  <c r="E72" i="41" s="1"/>
  <c r="D71" i="41"/>
  <c r="D72" i="41" s="1"/>
  <c r="E71" i="41"/>
  <c r="D73" i="41"/>
  <c r="E73" i="41"/>
  <c r="D74" i="41"/>
  <c r="E74" i="41"/>
  <c r="D75" i="41"/>
  <c r="E75" i="41"/>
  <c r="D76" i="41"/>
  <c r="E76" i="41"/>
  <c r="F76" i="41"/>
  <c r="H76" i="41" s="1"/>
  <c r="D77" i="41"/>
  <c r="E77" i="41"/>
  <c r="D78" i="41"/>
  <c r="E78" i="41"/>
  <c r="D79" i="41"/>
  <c r="E79" i="41"/>
  <c r="D80" i="41"/>
  <c r="E80" i="41"/>
  <c r="F80" i="41"/>
  <c r="H80" i="41" s="1"/>
  <c r="D81" i="41"/>
  <c r="E81" i="41"/>
  <c r="A5" i="20"/>
  <c r="F11" i="20"/>
  <c r="D11" i="20" s="1"/>
  <c r="H11" i="20"/>
  <c r="H16" i="20" s="1"/>
  <c r="I11" i="20"/>
  <c r="I16" i="20" s="1"/>
  <c r="J11" i="20"/>
  <c r="K11" i="20"/>
  <c r="L11" i="20"/>
  <c r="M11" i="20"/>
  <c r="N11" i="20"/>
  <c r="N16" i="20" s="1"/>
  <c r="O11" i="20"/>
  <c r="P11" i="20"/>
  <c r="P16" i="20" s="1"/>
  <c r="Q11" i="20"/>
  <c r="R11" i="20"/>
  <c r="S11" i="20"/>
  <c r="T11" i="20"/>
  <c r="U11" i="20"/>
  <c r="V11" i="20"/>
  <c r="V16" i="20" s="1"/>
  <c r="W11" i="20"/>
  <c r="X11" i="20"/>
  <c r="X16" i="20" s="1"/>
  <c r="Y11" i="20"/>
  <c r="Y16" i="20" s="1"/>
  <c r="AB11" i="20"/>
  <c r="AC11" i="20"/>
  <c r="AD11" i="20"/>
  <c r="AD16" i="20" s="1"/>
  <c r="AE11" i="20"/>
  <c r="F12" i="20"/>
  <c r="G12" i="20"/>
  <c r="H12" i="20"/>
  <c r="I12" i="20"/>
  <c r="J12" i="20"/>
  <c r="K12" i="20"/>
  <c r="L12" i="20"/>
  <c r="D12" i="20" s="1"/>
  <c r="F12" i="32" s="1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F13" i="20"/>
  <c r="D13" i="20" s="1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A16" i="20" s="1"/>
  <c r="AB13" i="20"/>
  <c r="AC13" i="20"/>
  <c r="AD13" i="20"/>
  <c r="AE13" i="20"/>
  <c r="F14" i="20"/>
  <c r="G14" i="20"/>
  <c r="H14" i="20"/>
  <c r="I14" i="20"/>
  <c r="J14" i="20"/>
  <c r="K14" i="20"/>
  <c r="L14" i="20"/>
  <c r="D14" i="20" s="1"/>
  <c r="F14" i="32" s="1"/>
  <c r="M14" i="20"/>
  <c r="N14" i="20"/>
  <c r="O14" i="20"/>
  <c r="O16" i="20" s="1"/>
  <c r="P14" i="20"/>
  <c r="Q14" i="20"/>
  <c r="R14" i="20"/>
  <c r="S14" i="20"/>
  <c r="T14" i="20"/>
  <c r="U14" i="20"/>
  <c r="V14" i="20"/>
  <c r="W14" i="20"/>
  <c r="W16" i="20" s="1"/>
  <c r="X14" i="20"/>
  <c r="Y14" i="20"/>
  <c r="Z14" i="20"/>
  <c r="AA14" i="20"/>
  <c r="AB14" i="20"/>
  <c r="AC14" i="20"/>
  <c r="AD14" i="20"/>
  <c r="AE14" i="20"/>
  <c r="F15" i="20"/>
  <c r="D15" i="20" s="1"/>
  <c r="G15" i="20"/>
  <c r="H15" i="20"/>
  <c r="I15" i="20"/>
  <c r="J15" i="20"/>
  <c r="K15" i="20"/>
  <c r="L15" i="20"/>
  <c r="M15" i="20"/>
  <c r="E15" i="20" s="1"/>
  <c r="G15" i="32" s="1"/>
  <c r="I15" i="32" s="1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J16" i="20"/>
  <c r="L16" i="20"/>
  <c r="R16" i="20"/>
  <c r="T16" i="20"/>
  <c r="Z16" i="20"/>
  <c r="AB16" i="20"/>
  <c r="AE16" i="20"/>
  <c r="AE82" i="20" s="1"/>
  <c r="AC639" i="44" s="1"/>
  <c r="F19" i="20"/>
  <c r="H19" i="20"/>
  <c r="I19" i="20"/>
  <c r="J19" i="20"/>
  <c r="K19" i="20"/>
  <c r="K24" i="20" s="1"/>
  <c r="L19" i="20"/>
  <c r="M19" i="20"/>
  <c r="M24" i="20" s="1"/>
  <c r="N19" i="20"/>
  <c r="O19" i="20"/>
  <c r="P19" i="20"/>
  <c r="Q19" i="20"/>
  <c r="R19" i="20"/>
  <c r="S19" i="20"/>
  <c r="S24" i="20" s="1"/>
  <c r="T19" i="20"/>
  <c r="U19" i="20"/>
  <c r="U24" i="20" s="1"/>
  <c r="V19" i="20"/>
  <c r="W19" i="20"/>
  <c r="X19" i="20"/>
  <c r="Y19" i="20"/>
  <c r="AB19" i="20"/>
  <c r="AC19" i="20"/>
  <c r="AC24" i="20" s="1"/>
  <c r="AD19" i="20"/>
  <c r="AE19" i="20"/>
  <c r="AE24" i="20" s="1"/>
  <c r="F20" i="20"/>
  <c r="D20" i="20" s="1"/>
  <c r="G20" i="20"/>
  <c r="H20" i="20"/>
  <c r="I20" i="20"/>
  <c r="I24" i="20" s="1"/>
  <c r="J20" i="20"/>
  <c r="L20" i="20"/>
  <c r="N20" i="20"/>
  <c r="P20" i="20"/>
  <c r="R20" i="20"/>
  <c r="T20" i="20"/>
  <c r="V20" i="20"/>
  <c r="X20" i="20"/>
  <c r="Y20" i="20"/>
  <c r="Z20" i="20"/>
  <c r="AA20" i="20"/>
  <c r="AA24" i="20" s="1"/>
  <c r="AB20" i="20"/>
  <c r="AC20" i="20"/>
  <c r="AD20" i="20"/>
  <c r="AE20" i="20"/>
  <c r="F21" i="20"/>
  <c r="G21" i="20"/>
  <c r="E21" i="20" s="1"/>
  <c r="H21" i="20"/>
  <c r="I21" i="20"/>
  <c r="J21" i="20"/>
  <c r="K21" i="20"/>
  <c r="L21" i="20"/>
  <c r="M21" i="20"/>
  <c r="N21" i="20"/>
  <c r="O21" i="20"/>
  <c r="P21" i="20"/>
  <c r="Q21" i="20"/>
  <c r="Q24" i="20" s="1"/>
  <c r="R21" i="20"/>
  <c r="S21" i="20"/>
  <c r="T21" i="20"/>
  <c r="T24" i="20" s="1"/>
  <c r="U21" i="20"/>
  <c r="V21" i="20"/>
  <c r="W21" i="20"/>
  <c r="X21" i="20"/>
  <c r="Y21" i="20"/>
  <c r="Y24" i="20" s="1"/>
  <c r="Z21" i="20"/>
  <c r="AA21" i="20"/>
  <c r="AB21" i="20"/>
  <c r="AB24" i="20" s="1"/>
  <c r="AC21" i="20"/>
  <c r="AD21" i="20"/>
  <c r="AE21" i="20"/>
  <c r="F22" i="20"/>
  <c r="G22" i="20"/>
  <c r="H22" i="20"/>
  <c r="I22" i="20"/>
  <c r="J22" i="20"/>
  <c r="K22" i="20"/>
  <c r="L22" i="20"/>
  <c r="M22" i="20"/>
  <c r="E22" i="20" s="1"/>
  <c r="N22" i="20"/>
  <c r="O22" i="20"/>
  <c r="P22" i="20"/>
  <c r="Q22" i="20"/>
  <c r="R22" i="20"/>
  <c r="R24" i="20" s="1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F23" i="20"/>
  <c r="G23" i="20"/>
  <c r="E23" i="20" s="1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Z23" i="20"/>
  <c r="AA23" i="20"/>
  <c r="AB23" i="20"/>
  <c r="AC23" i="20"/>
  <c r="AD23" i="20"/>
  <c r="AE23" i="20"/>
  <c r="J24" i="20"/>
  <c r="O24" i="20"/>
  <c r="W24" i="20"/>
  <c r="Z24" i="20"/>
  <c r="F27" i="20"/>
  <c r="G27" i="20"/>
  <c r="H27" i="20"/>
  <c r="H29" i="20" s="1"/>
  <c r="I27" i="20"/>
  <c r="E27" i="20" s="1"/>
  <c r="E29" i="20" s="1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X29" i="20" s="1"/>
  <c r="Y27" i="20"/>
  <c r="Z27" i="20"/>
  <c r="AA27" i="20"/>
  <c r="AB27" i="20"/>
  <c r="AC27" i="20"/>
  <c r="AD27" i="20"/>
  <c r="AE27" i="20"/>
  <c r="D28" i="20"/>
  <c r="F28" i="32" s="1"/>
  <c r="F28" i="20"/>
  <c r="G28" i="20"/>
  <c r="E28" i="20" s="1"/>
  <c r="H28" i="20"/>
  <c r="I28" i="20"/>
  <c r="J28" i="20"/>
  <c r="J29" i="20" s="1"/>
  <c r="K28" i="20"/>
  <c r="L28" i="20"/>
  <c r="L29" i="20" s="1"/>
  <c r="M28" i="20"/>
  <c r="M29" i="20" s="1"/>
  <c r="N28" i="20"/>
  <c r="O28" i="20"/>
  <c r="O29" i="20" s="1"/>
  <c r="P28" i="20"/>
  <c r="Q28" i="20"/>
  <c r="R28" i="20"/>
  <c r="R29" i="20" s="1"/>
  <c r="S28" i="20"/>
  <c r="T28" i="20"/>
  <c r="T29" i="20" s="1"/>
  <c r="U28" i="20"/>
  <c r="U29" i="20" s="1"/>
  <c r="V28" i="20"/>
  <c r="W28" i="20"/>
  <c r="W29" i="20" s="1"/>
  <c r="X28" i="20"/>
  <c r="Y28" i="20"/>
  <c r="Z28" i="20"/>
  <c r="Z29" i="20" s="1"/>
  <c r="AA28" i="20"/>
  <c r="AB28" i="20"/>
  <c r="AB29" i="20" s="1"/>
  <c r="AC28" i="20"/>
  <c r="AC29" i="20" s="1"/>
  <c r="AD28" i="20"/>
  <c r="AE28" i="20"/>
  <c r="AE29" i="20" s="1"/>
  <c r="F29" i="20"/>
  <c r="I29" i="20"/>
  <c r="K29" i="20"/>
  <c r="N29" i="20"/>
  <c r="P29" i="20"/>
  <c r="Q29" i="20"/>
  <c r="S29" i="20"/>
  <c r="V29" i="20"/>
  <c r="Y29" i="20"/>
  <c r="AA29" i="20"/>
  <c r="AD29" i="20"/>
  <c r="D32" i="20"/>
  <c r="F32" i="20"/>
  <c r="G32" i="20"/>
  <c r="E32" i="20" s="1"/>
  <c r="H32" i="20"/>
  <c r="I32" i="20"/>
  <c r="J32" i="20"/>
  <c r="K32" i="20"/>
  <c r="L32" i="20"/>
  <c r="M32" i="20"/>
  <c r="M36" i="20" s="1"/>
  <c r="N32" i="20"/>
  <c r="O32" i="20"/>
  <c r="P32" i="20"/>
  <c r="Q32" i="20"/>
  <c r="R32" i="20"/>
  <c r="S32" i="20"/>
  <c r="T32" i="20"/>
  <c r="U32" i="20"/>
  <c r="U36" i="20" s="1"/>
  <c r="V32" i="20"/>
  <c r="W32" i="20"/>
  <c r="Z32" i="20"/>
  <c r="AA32" i="20"/>
  <c r="AB32" i="20"/>
  <c r="AC32" i="20"/>
  <c r="AD32" i="20"/>
  <c r="AD36" i="20" s="1"/>
  <c r="AE32" i="20"/>
  <c r="F33" i="20"/>
  <c r="G33" i="20"/>
  <c r="H33" i="20"/>
  <c r="I33" i="20"/>
  <c r="J33" i="20"/>
  <c r="K33" i="20"/>
  <c r="K36" i="20" s="1"/>
  <c r="L33" i="20"/>
  <c r="M33" i="20"/>
  <c r="E33" i="20" s="1"/>
  <c r="G33" i="32" s="1"/>
  <c r="N33" i="20"/>
  <c r="O33" i="20"/>
  <c r="P33" i="20"/>
  <c r="Q33" i="20"/>
  <c r="R33" i="20"/>
  <c r="S33" i="20"/>
  <c r="S36" i="20" s="1"/>
  <c r="T33" i="20"/>
  <c r="U33" i="20"/>
  <c r="V33" i="20"/>
  <c r="W33" i="20"/>
  <c r="X33" i="20"/>
  <c r="X36" i="20" s="1"/>
  <c r="Y33" i="20"/>
  <c r="Z33" i="20"/>
  <c r="Z36" i="20" s="1"/>
  <c r="AA33" i="20"/>
  <c r="AA36" i="20" s="1"/>
  <c r="AB33" i="20"/>
  <c r="AC33" i="20"/>
  <c r="AC36" i="20" s="1"/>
  <c r="AD33" i="20"/>
  <c r="AE33" i="20"/>
  <c r="D34" i="20"/>
  <c r="F34" i="32" s="1"/>
  <c r="F34" i="20"/>
  <c r="F36" i="20" s="1"/>
  <c r="G34" i="20"/>
  <c r="E34" i="20" s="1"/>
  <c r="H34" i="20"/>
  <c r="I34" i="20"/>
  <c r="J34" i="20"/>
  <c r="K34" i="20"/>
  <c r="L34" i="20"/>
  <c r="M34" i="20"/>
  <c r="N34" i="20"/>
  <c r="N36" i="20" s="1"/>
  <c r="O34" i="20"/>
  <c r="P34" i="20"/>
  <c r="Q34" i="20"/>
  <c r="R34" i="20"/>
  <c r="S34" i="20"/>
  <c r="T34" i="20"/>
  <c r="U34" i="20"/>
  <c r="V34" i="20"/>
  <c r="V36" i="20" s="1"/>
  <c r="W34" i="20"/>
  <c r="X34" i="20"/>
  <c r="Y34" i="20"/>
  <c r="Z34" i="20"/>
  <c r="AA34" i="20"/>
  <c r="AB34" i="20"/>
  <c r="AC34" i="20"/>
  <c r="AD34" i="20"/>
  <c r="AE34" i="20"/>
  <c r="F35" i="20"/>
  <c r="G35" i="20"/>
  <c r="H35" i="20"/>
  <c r="I35" i="20"/>
  <c r="J35" i="20"/>
  <c r="K35" i="20"/>
  <c r="L35" i="20"/>
  <c r="M35" i="20"/>
  <c r="E35" i="20" s="1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G36" i="20"/>
  <c r="I36" i="20"/>
  <c r="L36" i="20"/>
  <c r="O36" i="20"/>
  <c r="Q36" i="20"/>
  <c r="T36" i="20"/>
  <c r="W36" i="20"/>
  <c r="Y36" i="20"/>
  <c r="AB36" i="20"/>
  <c r="AE36" i="20"/>
  <c r="F39" i="20"/>
  <c r="G39" i="20"/>
  <c r="H39" i="20"/>
  <c r="I39" i="20"/>
  <c r="J39" i="20"/>
  <c r="K39" i="20"/>
  <c r="L39" i="20"/>
  <c r="M39" i="20"/>
  <c r="E39" i="20" s="1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F40" i="20"/>
  <c r="G40" i="20"/>
  <c r="E40" i="20" s="1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T42" i="20" s="1"/>
  <c r="T43" i="20" s="1"/>
  <c r="U40" i="20"/>
  <c r="V40" i="20"/>
  <c r="W40" i="20"/>
  <c r="X40" i="20"/>
  <c r="Y40" i="20"/>
  <c r="Z40" i="20"/>
  <c r="AA40" i="20"/>
  <c r="AB40" i="20"/>
  <c r="AB42" i="20" s="1"/>
  <c r="AB43" i="20" s="1"/>
  <c r="AB82" i="20" s="1"/>
  <c r="Z639" i="44" s="1"/>
  <c r="AC40" i="20"/>
  <c r="AD40" i="20"/>
  <c r="AE40" i="20"/>
  <c r="F41" i="20"/>
  <c r="G41" i="20"/>
  <c r="H41" i="20"/>
  <c r="H42" i="20" s="1"/>
  <c r="I41" i="20"/>
  <c r="J41" i="20"/>
  <c r="J42" i="20" s="1"/>
  <c r="J43" i="20" s="1"/>
  <c r="K41" i="20"/>
  <c r="K42" i="20" s="1"/>
  <c r="K43" i="20" s="1"/>
  <c r="L41" i="20"/>
  <c r="M41" i="20"/>
  <c r="N41" i="20"/>
  <c r="O41" i="20"/>
  <c r="P41" i="20"/>
  <c r="P42" i="20" s="1"/>
  <c r="P43" i="20" s="1"/>
  <c r="Q41" i="20"/>
  <c r="R41" i="20"/>
  <c r="R42" i="20" s="1"/>
  <c r="R43" i="20" s="1"/>
  <c r="S41" i="20"/>
  <c r="S42" i="20" s="1"/>
  <c r="S43" i="20" s="1"/>
  <c r="T41" i="20"/>
  <c r="U41" i="20"/>
  <c r="U42" i="20" s="1"/>
  <c r="V41" i="20"/>
  <c r="W41" i="20"/>
  <c r="X41" i="20"/>
  <c r="X42" i="20" s="1"/>
  <c r="Y41" i="20"/>
  <c r="Z41" i="20"/>
  <c r="Z42" i="20" s="1"/>
  <c r="Z43" i="20" s="1"/>
  <c r="AA41" i="20"/>
  <c r="AA42" i="20" s="1"/>
  <c r="AA43" i="20" s="1"/>
  <c r="AB41" i="20"/>
  <c r="AC41" i="20"/>
  <c r="AC42" i="20" s="1"/>
  <c r="AC43" i="20" s="1"/>
  <c r="AD41" i="20"/>
  <c r="AE41" i="20"/>
  <c r="F42" i="20"/>
  <c r="F43" i="20" s="1"/>
  <c r="G42" i="20"/>
  <c r="G43" i="20" s="1"/>
  <c r="I42" i="20"/>
  <c r="I43" i="20" s="1"/>
  <c r="N42" i="20"/>
  <c r="N43" i="20" s="1"/>
  <c r="O42" i="20"/>
  <c r="O43" i="20" s="1"/>
  <c r="Q42" i="20"/>
  <c r="Q43" i="20" s="1"/>
  <c r="V42" i="20"/>
  <c r="V43" i="20" s="1"/>
  <c r="W42" i="20"/>
  <c r="W43" i="20" s="1"/>
  <c r="Y42" i="20"/>
  <c r="Y43" i="20" s="1"/>
  <c r="AD42" i="20"/>
  <c r="AD43" i="20" s="1"/>
  <c r="AE42" i="20"/>
  <c r="AE43" i="20" s="1"/>
  <c r="H43" i="20"/>
  <c r="U43" i="20"/>
  <c r="X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F47" i="20"/>
  <c r="D47" i="20" s="1"/>
  <c r="F47" i="32" s="1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F49" i="20"/>
  <c r="D49" i="20" s="1"/>
  <c r="F49" i="32" s="1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AB49" i="20"/>
  <c r="AC49" i="20"/>
  <c r="AD49" i="20"/>
  <c r="AE49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Z51" i="20"/>
  <c r="AA51" i="20"/>
  <c r="AB51" i="20"/>
  <c r="AC51" i="20"/>
  <c r="AD51" i="20"/>
  <c r="AE51" i="20"/>
  <c r="F54" i="20"/>
  <c r="G54" i="20"/>
  <c r="H54" i="20"/>
  <c r="I54" i="20"/>
  <c r="J54" i="20"/>
  <c r="K54" i="20"/>
  <c r="L54" i="20"/>
  <c r="M54" i="20"/>
  <c r="N54" i="20"/>
  <c r="O54" i="20"/>
  <c r="O56" i="20" s="1"/>
  <c r="P54" i="20"/>
  <c r="Q54" i="20"/>
  <c r="R54" i="20"/>
  <c r="S54" i="20"/>
  <c r="T54" i="20"/>
  <c r="U54" i="20"/>
  <c r="V54" i="20"/>
  <c r="W54" i="20"/>
  <c r="W56" i="20" s="1"/>
  <c r="X54" i="20"/>
  <c r="Y54" i="20"/>
  <c r="Z54" i="20"/>
  <c r="AA54" i="20"/>
  <c r="AD54" i="20"/>
  <c r="AE54" i="20"/>
  <c r="AE56" i="20" s="1"/>
  <c r="F55" i="20"/>
  <c r="H55" i="20"/>
  <c r="I55" i="20"/>
  <c r="J55" i="20"/>
  <c r="K55" i="20"/>
  <c r="K56" i="20" s="1"/>
  <c r="L55" i="20"/>
  <c r="M55" i="20"/>
  <c r="N55" i="20"/>
  <c r="O55" i="20"/>
  <c r="P55" i="20"/>
  <c r="Q55" i="20"/>
  <c r="R55" i="20"/>
  <c r="S55" i="20"/>
  <c r="S56" i="20" s="1"/>
  <c r="T55" i="20"/>
  <c r="U55" i="20"/>
  <c r="V55" i="20"/>
  <c r="W55" i="20"/>
  <c r="X55" i="20"/>
  <c r="Y55" i="20"/>
  <c r="Z55" i="20"/>
  <c r="AA55" i="20"/>
  <c r="AA56" i="20" s="1"/>
  <c r="AB55" i="20"/>
  <c r="AC55" i="20"/>
  <c r="AC56" i="20" s="1"/>
  <c r="AD55" i="20"/>
  <c r="AE55" i="20"/>
  <c r="F56" i="20"/>
  <c r="H56" i="20"/>
  <c r="I56" i="20"/>
  <c r="L56" i="20"/>
  <c r="N56" i="20"/>
  <c r="P56" i="20"/>
  <c r="Q56" i="20"/>
  <c r="T56" i="20"/>
  <c r="V56" i="20"/>
  <c r="X56" i="20"/>
  <c r="Y56" i="20"/>
  <c r="AB56" i="20"/>
  <c r="AD56" i="20"/>
  <c r="F59" i="20"/>
  <c r="G59" i="20"/>
  <c r="H59" i="20"/>
  <c r="I59" i="20"/>
  <c r="J59" i="20"/>
  <c r="J61" i="20" s="1"/>
  <c r="K59" i="20"/>
  <c r="L59" i="20"/>
  <c r="L61" i="20" s="1"/>
  <c r="M59" i="20"/>
  <c r="E59" i="20" s="1"/>
  <c r="G59" i="32" s="1"/>
  <c r="N59" i="20"/>
  <c r="O59" i="20"/>
  <c r="P59" i="20"/>
  <c r="P61" i="20" s="1"/>
  <c r="Q59" i="20"/>
  <c r="R59" i="20"/>
  <c r="R61" i="20" s="1"/>
  <c r="S59" i="20"/>
  <c r="T59" i="20"/>
  <c r="T61" i="20" s="1"/>
  <c r="U59" i="20"/>
  <c r="U61" i="20" s="1"/>
  <c r="V59" i="20"/>
  <c r="W59" i="20"/>
  <c r="X59" i="20"/>
  <c r="Y59" i="20"/>
  <c r="Z59" i="20"/>
  <c r="AA59" i="20"/>
  <c r="AB59" i="20"/>
  <c r="AB61" i="20" s="1"/>
  <c r="AC59" i="20"/>
  <c r="AC61" i="20" s="1"/>
  <c r="AD59" i="20"/>
  <c r="AE59" i="20"/>
  <c r="F60" i="20"/>
  <c r="G60" i="20"/>
  <c r="H60" i="20"/>
  <c r="I60" i="20"/>
  <c r="I61" i="20" s="1"/>
  <c r="J60" i="20"/>
  <c r="K60" i="20"/>
  <c r="L60" i="20"/>
  <c r="M60" i="20"/>
  <c r="N60" i="20"/>
  <c r="N61" i="20" s="1"/>
  <c r="O60" i="20"/>
  <c r="O61" i="20" s="1"/>
  <c r="P60" i="20"/>
  <c r="Q60" i="20"/>
  <c r="Q61" i="20" s="1"/>
  <c r="R60" i="20"/>
  <c r="S60" i="20"/>
  <c r="T60" i="20"/>
  <c r="U60" i="20"/>
  <c r="V60" i="20"/>
  <c r="V61" i="20" s="1"/>
  <c r="W60" i="20"/>
  <c r="W61" i="20" s="1"/>
  <c r="X60" i="20"/>
  <c r="Y60" i="20"/>
  <c r="Y61" i="20" s="1"/>
  <c r="Z60" i="20"/>
  <c r="AA60" i="20"/>
  <c r="AB60" i="20"/>
  <c r="AC60" i="20"/>
  <c r="AD60" i="20"/>
  <c r="AD61" i="20" s="1"/>
  <c r="AE60" i="20"/>
  <c r="AE61" i="20" s="1"/>
  <c r="H61" i="20"/>
  <c r="K61" i="20"/>
  <c r="M61" i="20"/>
  <c r="S61" i="20"/>
  <c r="X61" i="20"/>
  <c r="Z61" i="20"/>
  <c r="AA61" i="20"/>
  <c r="D64" i="20"/>
  <c r="F64" i="20"/>
  <c r="G64" i="20"/>
  <c r="H64" i="20"/>
  <c r="H66" i="20" s="1"/>
  <c r="I64" i="20"/>
  <c r="J64" i="20"/>
  <c r="K64" i="20"/>
  <c r="L64" i="20"/>
  <c r="M64" i="20"/>
  <c r="N64" i="20"/>
  <c r="O64" i="20"/>
  <c r="P64" i="20"/>
  <c r="P66" i="20" s="1"/>
  <c r="Q64" i="20"/>
  <c r="R64" i="20"/>
  <c r="S64" i="20"/>
  <c r="T64" i="20"/>
  <c r="U64" i="20"/>
  <c r="V64" i="20"/>
  <c r="V66" i="20" s="1"/>
  <c r="W64" i="20"/>
  <c r="X64" i="20"/>
  <c r="Y64" i="20"/>
  <c r="Z64" i="20"/>
  <c r="AA64" i="20"/>
  <c r="AB64" i="20"/>
  <c r="AC64" i="20"/>
  <c r="AD64" i="20"/>
  <c r="AD66" i="20" s="1"/>
  <c r="AE64" i="20"/>
  <c r="F65" i="20"/>
  <c r="G65" i="20"/>
  <c r="H65" i="20"/>
  <c r="I65" i="20"/>
  <c r="J65" i="20"/>
  <c r="J66" i="20" s="1"/>
  <c r="K65" i="20"/>
  <c r="K66" i="20" s="1"/>
  <c r="L65" i="20"/>
  <c r="M65" i="20"/>
  <c r="M66" i="20" s="1"/>
  <c r="N65" i="20"/>
  <c r="O65" i="20"/>
  <c r="P65" i="20"/>
  <c r="Q65" i="20"/>
  <c r="R65" i="20"/>
  <c r="R66" i="20" s="1"/>
  <c r="S65" i="20"/>
  <c r="S66" i="20" s="1"/>
  <c r="T65" i="20"/>
  <c r="U65" i="20"/>
  <c r="U66" i="20" s="1"/>
  <c r="V65" i="20"/>
  <c r="W65" i="20"/>
  <c r="X65" i="20"/>
  <c r="Y65" i="20"/>
  <c r="Z65" i="20"/>
  <c r="Z66" i="20" s="1"/>
  <c r="AA65" i="20"/>
  <c r="AA66" i="20" s="1"/>
  <c r="AB65" i="20"/>
  <c r="AB66" i="20" s="1"/>
  <c r="AC65" i="20"/>
  <c r="AC66" i="20" s="1"/>
  <c r="AD65" i="20"/>
  <c r="AE65" i="20"/>
  <c r="F66" i="20"/>
  <c r="G66" i="20"/>
  <c r="I66" i="20"/>
  <c r="L66" i="20"/>
  <c r="N66" i="20"/>
  <c r="O66" i="20"/>
  <c r="Q66" i="20"/>
  <c r="T66" i="20"/>
  <c r="W66" i="20"/>
  <c r="X66" i="20"/>
  <c r="Y66" i="20"/>
  <c r="AE66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S72" i="20" s="1"/>
  <c r="T70" i="20"/>
  <c r="T72" i="20" s="1"/>
  <c r="U70" i="20"/>
  <c r="V70" i="20"/>
  <c r="W70" i="20"/>
  <c r="X70" i="20"/>
  <c r="Y70" i="20"/>
  <c r="Z70" i="20"/>
  <c r="AA70" i="20"/>
  <c r="AA72" i="20" s="1"/>
  <c r="AB70" i="20"/>
  <c r="AB72" i="20" s="1"/>
  <c r="AC70" i="20"/>
  <c r="AD70" i="20"/>
  <c r="AE70" i="20"/>
  <c r="F71" i="20"/>
  <c r="F72" i="20" s="1"/>
  <c r="G71" i="20"/>
  <c r="H71" i="20"/>
  <c r="I71" i="20"/>
  <c r="I72" i="20" s="1"/>
  <c r="J71" i="20"/>
  <c r="K71" i="20"/>
  <c r="L71" i="20"/>
  <c r="M71" i="20"/>
  <c r="N71" i="20"/>
  <c r="N72" i="20" s="1"/>
  <c r="O71" i="20"/>
  <c r="O72" i="20" s="1"/>
  <c r="P71" i="20"/>
  <c r="Q71" i="20"/>
  <c r="Q72" i="20" s="1"/>
  <c r="R71" i="20"/>
  <c r="S71" i="20"/>
  <c r="T71" i="20"/>
  <c r="U71" i="20"/>
  <c r="V71" i="20"/>
  <c r="V72" i="20" s="1"/>
  <c r="W71" i="20"/>
  <c r="W72" i="20" s="1"/>
  <c r="X71" i="20"/>
  <c r="Y71" i="20"/>
  <c r="Y72" i="20" s="1"/>
  <c r="Z71" i="20"/>
  <c r="AA71" i="20"/>
  <c r="AB71" i="20"/>
  <c r="AC71" i="20"/>
  <c r="AD71" i="20"/>
  <c r="AD72" i="20" s="1"/>
  <c r="AE71" i="20"/>
  <c r="AE72" i="20" s="1"/>
  <c r="J72" i="20"/>
  <c r="L72" i="20"/>
  <c r="M72" i="20"/>
  <c r="R72" i="20"/>
  <c r="U72" i="20"/>
  <c r="Z72" i="20"/>
  <c r="AC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F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F75" i="20"/>
  <c r="G75" i="20"/>
  <c r="H75" i="20"/>
  <c r="I75" i="20"/>
  <c r="J75" i="20"/>
  <c r="K75" i="20"/>
  <c r="L75" i="20"/>
  <c r="M75" i="20"/>
  <c r="E75" i="20" s="1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F77" i="20"/>
  <c r="G77" i="20"/>
  <c r="H77" i="20"/>
  <c r="D77" i="20" s="1"/>
  <c r="I77" i="20"/>
  <c r="J77" i="20"/>
  <c r="K77" i="20"/>
  <c r="L77" i="20"/>
  <c r="M77" i="20"/>
  <c r="E77" i="20" s="1"/>
  <c r="G77" i="32" s="1"/>
  <c r="I77" i="32" s="1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F79" i="20"/>
  <c r="G79" i="20"/>
  <c r="H79" i="20"/>
  <c r="D79" i="20" s="1"/>
  <c r="F79" i="32" s="1"/>
  <c r="I79" i="20"/>
  <c r="J79" i="20"/>
  <c r="K79" i="20"/>
  <c r="L79" i="20"/>
  <c r="M79" i="20"/>
  <c r="E79" i="20" s="1"/>
  <c r="G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F81" i="20"/>
  <c r="G81" i="20"/>
  <c r="H81" i="20"/>
  <c r="D81" i="20" s="1"/>
  <c r="I81" i="20"/>
  <c r="J81" i="20"/>
  <c r="K81" i="20"/>
  <c r="L81" i="20"/>
  <c r="M81" i="20"/>
  <c r="E81" i="20" s="1"/>
  <c r="G81" i="32" s="1"/>
  <c r="I81" i="32" s="1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4" i="8"/>
  <c r="A5" i="8"/>
  <c r="H11" i="8"/>
  <c r="I11" i="8"/>
  <c r="L11" i="8"/>
  <c r="F12" i="8"/>
  <c r="G12" i="8"/>
  <c r="H12" i="8"/>
  <c r="I12" i="8"/>
  <c r="L12" i="8"/>
  <c r="M12" i="8"/>
  <c r="E12" i="32" s="1"/>
  <c r="F13" i="8"/>
  <c r="H13" i="8"/>
  <c r="L13" i="8" s="1"/>
  <c r="D13" i="32" s="1"/>
  <c r="I13" i="8"/>
  <c r="G13" i="8" s="1"/>
  <c r="M13" i="8"/>
  <c r="E13" i="32" s="1"/>
  <c r="H14" i="8"/>
  <c r="I14" i="8"/>
  <c r="M14" i="8" s="1"/>
  <c r="G15" i="8"/>
  <c r="H15" i="8"/>
  <c r="I15" i="8"/>
  <c r="M15" i="8"/>
  <c r="E15" i="32" s="1"/>
  <c r="J16" i="8"/>
  <c r="K16" i="8"/>
  <c r="K82" i="8" s="1"/>
  <c r="H18" i="8"/>
  <c r="I18" i="8"/>
  <c r="H19" i="8"/>
  <c r="I19" i="8"/>
  <c r="G19" i="8" s="1"/>
  <c r="L19" i="8"/>
  <c r="F20" i="8"/>
  <c r="G20" i="8"/>
  <c r="H20" i="8"/>
  <c r="I20" i="8"/>
  <c r="L20" i="8"/>
  <c r="M20" i="8"/>
  <c r="E20" i="32" s="1"/>
  <c r="F21" i="8"/>
  <c r="H21" i="8"/>
  <c r="L21" i="8" s="1"/>
  <c r="I21" i="8"/>
  <c r="H22" i="8"/>
  <c r="F22" i="8" s="1"/>
  <c r="I22" i="8"/>
  <c r="G23" i="8"/>
  <c r="H23" i="8"/>
  <c r="F23" i="8" s="1"/>
  <c r="I23" i="8"/>
  <c r="M23" i="8"/>
  <c r="E23" i="32" s="1"/>
  <c r="J24" i="8"/>
  <c r="K24" i="8"/>
  <c r="F27" i="8"/>
  <c r="G27" i="8"/>
  <c r="H27" i="8"/>
  <c r="I27" i="8"/>
  <c r="L27" i="8"/>
  <c r="M27" i="8"/>
  <c r="H28" i="8"/>
  <c r="L28" i="8" s="1"/>
  <c r="I28" i="8"/>
  <c r="J29" i="8"/>
  <c r="K29" i="8"/>
  <c r="H32" i="8"/>
  <c r="I32" i="8"/>
  <c r="M32" i="8" s="1"/>
  <c r="G33" i="8"/>
  <c r="H33" i="8"/>
  <c r="I33" i="8"/>
  <c r="M33" i="8"/>
  <c r="E33" i="32" s="1"/>
  <c r="F34" i="8"/>
  <c r="H34" i="8"/>
  <c r="I34" i="8"/>
  <c r="G34" i="8" s="1"/>
  <c r="L34" i="8"/>
  <c r="D34" i="32" s="1"/>
  <c r="G35" i="8"/>
  <c r="H35" i="8"/>
  <c r="L35" i="8" s="1"/>
  <c r="I35" i="8"/>
  <c r="M35" i="8"/>
  <c r="E35" i="32" s="1"/>
  <c r="J36" i="8"/>
  <c r="K36" i="8"/>
  <c r="L37" i="8"/>
  <c r="M37" i="8"/>
  <c r="H38" i="8"/>
  <c r="I38" i="8"/>
  <c r="F39" i="8"/>
  <c r="G39" i="8"/>
  <c r="H39" i="8"/>
  <c r="I39" i="8"/>
  <c r="L39" i="8"/>
  <c r="M39" i="8"/>
  <c r="E39" i="32" s="1"/>
  <c r="F40" i="8"/>
  <c r="H40" i="8"/>
  <c r="L40" i="8" s="1"/>
  <c r="I40" i="8"/>
  <c r="H41" i="8"/>
  <c r="H42" i="8" s="1"/>
  <c r="I41" i="8"/>
  <c r="J42" i="8"/>
  <c r="J43" i="8" s="1"/>
  <c r="J82" i="8" s="1"/>
  <c r="K42" i="8"/>
  <c r="K43" i="8" s="1"/>
  <c r="H43" i="8"/>
  <c r="H45" i="8"/>
  <c r="F45" i="8" s="1"/>
  <c r="I45" i="8"/>
  <c r="L45" i="8"/>
  <c r="D45" i="32" s="1"/>
  <c r="F47" i="8"/>
  <c r="G47" i="8"/>
  <c r="H47" i="8"/>
  <c r="I47" i="8"/>
  <c r="L47" i="8"/>
  <c r="M47" i="8"/>
  <c r="E47" i="32" s="1"/>
  <c r="H49" i="8"/>
  <c r="L49" i="8" s="1"/>
  <c r="D49" i="32" s="1"/>
  <c r="I49" i="8"/>
  <c r="G49" i="8" s="1"/>
  <c r="M49" i="8"/>
  <c r="E49" i="32" s="1"/>
  <c r="H51" i="8"/>
  <c r="I51" i="8"/>
  <c r="G51" i="8" s="1"/>
  <c r="M51" i="8"/>
  <c r="G54" i="8"/>
  <c r="H54" i="8"/>
  <c r="I54" i="8"/>
  <c r="M54" i="8"/>
  <c r="F55" i="8"/>
  <c r="H55" i="8"/>
  <c r="I55" i="8"/>
  <c r="G55" i="8" s="1"/>
  <c r="G56" i="8" s="1"/>
  <c r="L55" i="8"/>
  <c r="D55" i="32" s="1"/>
  <c r="J56" i="8"/>
  <c r="K56" i="8"/>
  <c r="G59" i="8"/>
  <c r="G61" i="8" s="1"/>
  <c r="H59" i="8"/>
  <c r="L59" i="8" s="1"/>
  <c r="I59" i="8"/>
  <c r="M59" i="8"/>
  <c r="F60" i="8"/>
  <c r="G60" i="8"/>
  <c r="H60" i="8"/>
  <c r="I60" i="8"/>
  <c r="L60" i="8"/>
  <c r="D60" i="32" s="1"/>
  <c r="M60" i="8"/>
  <c r="E60" i="32" s="1"/>
  <c r="H61" i="8"/>
  <c r="I61" i="8"/>
  <c r="J61" i="8"/>
  <c r="K61" i="8"/>
  <c r="M61" i="8"/>
  <c r="H64" i="8"/>
  <c r="F64" i="8" s="1"/>
  <c r="I64" i="8"/>
  <c r="G64" i="8" s="1"/>
  <c r="G66" i="8" s="1"/>
  <c r="L64" i="8"/>
  <c r="L66" i="8" s="1"/>
  <c r="M64" i="8"/>
  <c r="F65" i="8"/>
  <c r="H65" i="8"/>
  <c r="I65" i="8"/>
  <c r="G65" i="8" s="1"/>
  <c r="L65" i="8"/>
  <c r="M65" i="8"/>
  <c r="F66" i="8"/>
  <c r="H66" i="8"/>
  <c r="J66" i="8"/>
  <c r="K66" i="8"/>
  <c r="L69" i="8"/>
  <c r="M69" i="8"/>
  <c r="F70" i="8"/>
  <c r="H70" i="8"/>
  <c r="I70" i="8"/>
  <c r="G70" i="8" s="1"/>
  <c r="L70" i="8"/>
  <c r="M70" i="8"/>
  <c r="F71" i="8"/>
  <c r="F72" i="8" s="1"/>
  <c r="G71" i="8"/>
  <c r="H71" i="8"/>
  <c r="L71" i="8" s="1"/>
  <c r="I71" i="8"/>
  <c r="M71" i="8"/>
  <c r="E71" i="32" s="1"/>
  <c r="H72" i="8"/>
  <c r="I72" i="8"/>
  <c r="J72" i="8"/>
  <c r="K72" i="8"/>
  <c r="F73" i="8"/>
  <c r="H73" i="8"/>
  <c r="I73" i="8"/>
  <c r="G73" i="8" s="1"/>
  <c r="L73" i="8"/>
  <c r="D73" i="32" s="1"/>
  <c r="M73" i="8"/>
  <c r="E73" i="32" s="1"/>
  <c r="H74" i="8"/>
  <c r="F74" i="8" s="1"/>
  <c r="I74" i="8"/>
  <c r="L74" i="8"/>
  <c r="F75" i="8"/>
  <c r="G75" i="8"/>
  <c r="H75" i="8"/>
  <c r="I75" i="8"/>
  <c r="L75" i="8"/>
  <c r="M75" i="8"/>
  <c r="E75" i="32" s="1"/>
  <c r="H76" i="8"/>
  <c r="L76" i="8" s="1"/>
  <c r="I76" i="8"/>
  <c r="G76" i="8" s="1"/>
  <c r="M76" i="8"/>
  <c r="E76" i="32" s="1"/>
  <c r="H77" i="8"/>
  <c r="I77" i="8"/>
  <c r="G77" i="8" s="1"/>
  <c r="M77" i="8"/>
  <c r="E77" i="32" s="1"/>
  <c r="G78" i="8"/>
  <c r="H78" i="8"/>
  <c r="I78" i="8"/>
  <c r="M78" i="8"/>
  <c r="F79" i="8"/>
  <c r="H79" i="8"/>
  <c r="I79" i="8"/>
  <c r="G79" i="8" s="1"/>
  <c r="L79" i="8"/>
  <c r="D79" i="32" s="1"/>
  <c r="G80" i="8"/>
  <c r="H80" i="8"/>
  <c r="L80" i="8" s="1"/>
  <c r="I80" i="8"/>
  <c r="M80" i="8"/>
  <c r="F81" i="8"/>
  <c r="G81" i="8"/>
  <c r="H81" i="8"/>
  <c r="I81" i="8"/>
  <c r="L81" i="8"/>
  <c r="D81" i="32" s="1"/>
  <c r="M81" i="8"/>
  <c r="E81" i="32" s="1"/>
  <c r="D82" i="8"/>
  <c r="E82" i="8"/>
  <c r="A5" i="32"/>
  <c r="D11" i="32"/>
  <c r="F11" i="32"/>
  <c r="H11" i="32"/>
  <c r="D12" i="32"/>
  <c r="H12" i="32"/>
  <c r="F13" i="32"/>
  <c r="H13" i="32" s="1"/>
  <c r="E14" i="32"/>
  <c r="F15" i="32"/>
  <c r="F16" i="32"/>
  <c r="D20" i="32"/>
  <c r="F20" i="32"/>
  <c r="H20" i="32" s="1"/>
  <c r="D21" i="32"/>
  <c r="G21" i="32"/>
  <c r="G22" i="32"/>
  <c r="G23" i="32"/>
  <c r="I23" i="32"/>
  <c r="E27" i="32"/>
  <c r="G27" i="32"/>
  <c r="D28" i="32"/>
  <c r="G28" i="32"/>
  <c r="G29" i="32"/>
  <c r="F32" i="32"/>
  <c r="G34" i="32"/>
  <c r="D35" i="32"/>
  <c r="G35" i="32"/>
  <c r="I35" i="32" s="1"/>
  <c r="D39" i="32"/>
  <c r="G39" i="32"/>
  <c r="I39" i="32" s="1"/>
  <c r="D40" i="32"/>
  <c r="G40" i="32"/>
  <c r="D47" i="32"/>
  <c r="H47" i="32"/>
  <c r="E51" i="32"/>
  <c r="D59" i="32"/>
  <c r="E59" i="32"/>
  <c r="I59" i="32"/>
  <c r="E61" i="32"/>
  <c r="D65" i="32"/>
  <c r="E65" i="32"/>
  <c r="D70" i="32"/>
  <c r="E70" i="32"/>
  <c r="D71" i="32"/>
  <c r="D72" i="32"/>
  <c r="D74" i="32"/>
  <c r="D75" i="32"/>
  <c r="G75" i="32"/>
  <c r="I75" i="32" s="1"/>
  <c r="D76" i="32"/>
  <c r="F77" i="32"/>
  <c r="E78" i="32"/>
  <c r="D80" i="32"/>
  <c r="E80" i="32"/>
  <c r="F81" i="32"/>
  <c r="H81" i="32" s="1"/>
  <c r="D11" i="4"/>
  <c r="E11" i="4"/>
  <c r="F11" i="4"/>
  <c r="D12" i="4"/>
  <c r="F12" i="4"/>
  <c r="D13" i="4"/>
  <c r="E13" i="4"/>
  <c r="F13" i="4"/>
  <c r="C14" i="4"/>
  <c r="E14" i="4"/>
  <c r="H14" i="4"/>
  <c r="D15" i="4"/>
  <c r="E15" i="4"/>
  <c r="F15" i="4"/>
  <c r="D16" i="4"/>
  <c r="F16" i="4"/>
  <c r="E16" i="4" s="1"/>
  <c r="D17" i="4"/>
  <c r="E17" i="4"/>
  <c r="F17" i="4"/>
  <c r="D18" i="4"/>
  <c r="F18" i="4"/>
  <c r="E18" i="4" s="1"/>
  <c r="D19" i="4"/>
  <c r="F19" i="4"/>
  <c r="D20" i="4"/>
  <c r="E20" i="4"/>
  <c r="F20" i="4"/>
  <c r="D21" i="4"/>
  <c r="F21" i="4"/>
  <c r="E21" i="4" s="1"/>
  <c r="D22" i="4"/>
  <c r="F22" i="4"/>
  <c r="D23" i="4"/>
  <c r="E23" i="4"/>
  <c r="F23" i="4"/>
  <c r="D24" i="4"/>
  <c r="F24" i="4"/>
  <c r="D25" i="4"/>
  <c r="E25" i="4"/>
  <c r="F25" i="4"/>
  <c r="D26" i="4"/>
  <c r="F26" i="4"/>
  <c r="E26" i="4" s="1"/>
  <c r="D28" i="4"/>
  <c r="E28" i="4"/>
  <c r="F28" i="4"/>
  <c r="H28" i="4"/>
  <c r="A5" i="12"/>
  <c r="D11" i="12"/>
  <c r="E11" i="12"/>
  <c r="J11" i="12"/>
  <c r="K11" i="12"/>
  <c r="D12" i="12"/>
  <c r="D16" i="12" s="1"/>
  <c r="D82" i="12" s="1"/>
  <c r="D91" i="12" s="1"/>
  <c r="E12" i="12"/>
  <c r="E16" i="12" s="1"/>
  <c r="J12" i="12"/>
  <c r="K12" i="12"/>
  <c r="D13" i="12"/>
  <c r="E13" i="12"/>
  <c r="J13" i="12"/>
  <c r="K13" i="12"/>
  <c r="D14" i="12"/>
  <c r="E14" i="12"/>
  <c r="J14" i="12"/>
  <c r="K14" i="12"/>
  <c r="D15" i="12"/>
  <c r="E15" i="12"/>
  <c r="J15" i="12"/>
  <c r="K15" i="12"/>
  <c r="D19" i="12"/>
  <c r="E19" i="12"/>
  <c r="J19" i="12"/>
  <c r="K19" i="12"/>
  <c r="K24" i="12" s="1"/>
  <c r="D20" i="12"/>
  <c r="D24" i="12" s="1"/>
  <c r="E20" i="12"/>
  <c r="J20" i="12"/>
  <c r="K20" i="12"/>
  <c r="D21" i="12"/>
  <c r="E21" i="12"/>
  <c r="J21" i="12"/>
  <c r="K21" i="12"/>
  <c r="D22" i="12"/>
  <c r="E22" i="12"/>
  <c r="E24" i="12" s="1"/>
  <c r="J22" i="12"/>
  <c r="K22" i="12"/>
  <c r="D23" i="12"/>
  <c r="E23" i="12"/>
  <c r="J23" i="12"/>
  <c r="K23" i="12"/>
  <c r="D27" i="12"/>
  <c r="E27" i="12"/>
  <c r="J27" i="12"/>
  <c r="K27" i="12"/>
  <c r="K29" i="12" s="1"/>
  <c r="D28" i="12"/>
  <c r="D29" i="12" s="1"/>
  <c r="E28" i="12"/>
  <c r="J28" i="12"/>
  <c r="K28" i="12"/>
  <c r="E29" i="12"/>
  <c r="J29" i="12"/>
  <c r="D32" i="12"/>
  <c r="D36" i="12" s="1"/>
  <c r="E32" i="12"/>
  <c r="J32" i="12"/>
  <c r="K32" i="12"/>
  <c r="K36" i="12" s="1"/>
  <c r="D33" i="12"/>
  <c r="E33" i="12"/>
  <c r="J33" i="12"/>
  <c r="J36" i="12" s="1"/>
  <c r="K33" i="12"/>
  <c r="D34" i="12"/>
  <c r="E34" i="12"/>
  <c r="J34" i="12"/>
  <c r="K34" i="12"/>
  <c r="D35" i="12"/>
  <c r="E35" i="12"/>
  <c r="J35" i="12"/>
  <c r="K35" i="12"/>
  <c r="E36" i="12"/>
  <c r="L37" i="12"/>
  <c r="M37" i="12"/>
  <c r="D39" i="12"/>
  <c r="E39" i="12"/>
  <c r="J39" i="12"/>
  <c r="K39" i="12"/>
  <c r="D40" i="12"/>
  <c r="E40" i="12"/>
  <c r="E42" i="12" s="1"/>
  <c r="E43" i="12" s="1"/>
  <c r="J40" i="12"/>
  <c r="J42" i="12" s="1"/>
  <c r="J43" i="12" s="1"/>
  <c r="K40" i="12"/>
  <c r="D41" i="12"/>
  <c r="D42" i="12" s="1"/>
  <c r="E41" i="12"/>
  <c r="J41" i="12"/>
  <c r="K41" i="12"/>
  <c r="K42" i="12"/>
  <c r="K43" i="12" s="1"/>
  <c r="D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E56" i="12" s="1"/>
  <c r="J54" i="12"/>
  <c r="K54" i="12"/>
  <c r="K56" i="12" s="1"/>
  <c r="D55" i="12"/>
  <c r="D56" i="12" s="1"/>
  <c r="E55" i="12"/>
  <c r="J55" i="12"/>
  <c r="K55" i="12"/>
  <c r="J56" i="12"/>
  <c r="D59" i="12"/>
  <c r="E59" i="12"/>
  <c r="J59" i="12"/>
  <c r="K59" i="12"/>
  <c r="D60" i="12"/>
  <c r="E60" i="12"/>
  <c r="J60" i="12"/>
  <c r="J61" i="12" s="1"/>
  <c r="K60" i="12"/>
  <c r="K61" i="12" s="1"/>
  <c r="D61" i="12"/>
  <c r="E61" i="12"/>
  <c r="D64" i="12"/>
  <c r="E64" i="12"/>
  <c r="J64" i="12"/>
  <c r="K64" i="12"/>
  <c r="D65" i="12"/>
  <c r="D66" i="12" s="1"/>
  <c r="E65" i="12"/>
  <c r="J65" i="12"/>
  <c r="K65" i="12"/>
  <c r="E66" i="12"/>
  <c r="J66" i="12"/>
  <c r="K66" i="12"/>
  <c r="D70" i="12"/>
  <c r="D72" i="12" s="1"/>
  <c r="E70" i="12"/>
  <c r="J70" i="12"/>
  <c r="K70" i="12"/>
  <c r="D71" i="12"/>
  <c r="E71" i="12"/>
  <c r="J71" i="12"/>
  <c r="J72" i="12" s="1"/>
  <c r="K71" i="12"/>
  <c r="E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D86" i="12"/>
  <c r="E86" i="12"/>
  <c r="F86" i="12"/>
  <c r="G86" i="12"/>
  <c r="G89" i="12" s="1"/>
  <c r="J86" i="12"/>
  <c r="K86" i="12"/>
  <c r="K89" i="12" s="1"/>
  <c r="D87" i="12"/>
  <c r="E87" i="12"/>
  <c r="F87" i="12"/>
  <c r="G87" i="12"/>
  <c r="J87" i="12"/>
  <c r="K87" i="12"/>
  <c r="D88" i="12"/>
  <c r="E88" i="12"/>
  <c r="F88" i="12"/>
  <c r="G88" i="12"/>
  <c r="J88" i="12"/>
  <c r="K88" i="12"/>
  <c r="D89" i="12"/>
  <c r="E89" i="12"/>
  <c r="A5" i="24"/>
  <c r="AD8" i="24"/>
  <c r="F11" i="24"/>
  <c r="F12" i="24"/>
  <c r="G12" i="24"/>
  <c r="F13" i="24"/>
  <c r="G13" i="24"/>
  <c r="F14" i="24"/>
  <c r="G14" i="24"/>
  <c r="F15" i="24"/>
  <c r="F19" i="24"/>
  <c r="F20" i="24"/>
  <c r="G20" i="24"/>
  <c r="F21" i="24"/>
  <c r="G21" i="24"/>
  <c r="F22" i="24"/>
  <c r="G22" i="24"/>
  <c r="F23" i="24"/>
  <c r="G23" i="24"/>
  <c r="F24" i="24"/>
  <c r="F27" i="24"/>
  <c r="G27" i="24"/>
  <c r="F28" i="24"/>
  <c r="G28" i="24"/>
  <c r="G29" i="24"/>
  <c r="F32" i="24"/>
  <c r="G32" i="24"/>
  <c r="AB32" i="24"/>
  <c r="AC32" i="24"/>
  <c r="F33" i="24"/>
  <c r="F36" i="24" s="1"/>
  <c r="G33" i="24"/>
  <c r="F34" i="24"/>
  <c r="G34" i="24"/>
  <c r="F35" i="24"/>
  <c r="G35" i="24"/>
  <c r="F39" i="24"/>
  <c r="G39" i="24"/>
  <c r="F40" i="24"/>
  <c r="G40" i="24"/>
  <c r="F41" i="24"/>
  <c r="G41" i="24"/>
  <c r="F42" i="24"/>
  <c r="G42" i="24"/>
  <c r="G43" i="24" s="1"/>
  <c r="F43" i="24"/>
  <c r="F45" i="24"/>
  <c r="G45" i="24"/>
  <c r="F47" i="24"/>
  <c r="G47" i="24"/>
  <c r="F49" i="24"/>
  <c r="G49" i="24"/>
  <c r="AB49" i="24"/>
  <c r="AC49" i="24"/>
  <c r="F51" i="24"/>
  <c r="G51" i="24"/>
  <c r="F54" i="24"/>
  <c r="F55" i="24"/>
  <c r="F56" i="24" s="1"/>
  <c r="F59" i="24"/>
  <c r="G59" i="24"/>
  <c r="F60" i="24"/>
  <c r="G60" i="24"/>
  <c r="F61" i="24"/>
  <c r="G61" i="24"/>
  <c r="F64" i="24"/>
  <c r="G64" i="24"/>
  <c r="F65" i="24"/>
  <c r="F66" i="24" s="1"/>
  <c r="G65" i="24"/>
  <c r="G66" i="24"/>
  <c r="L66" i="24"/>
  <c r="M66" i="24"/>
  <c r="X66" i="24"/>
  <c r="Y66" i="24"/>
  <c r="Z66" i="24"/>
  <c r="AA66" i="24"/>
  <c r="AB66" i="24"/>
  <c r="AC66" i="24"/>
  <c r="AD66" i="24"/>
  <c r="AE66" i="24"/>
  <c r="F70" i="24"/>
  <c r="G70" i="24"/>
  <c r="F71" i="24"/>
  <c r="G71" i="24"/>
  <c r="G72" i="24" s="1"/>
  <c r="F73" i="24"/>
  <c r="G73" i="24"/>
  <c r="F74" i="24"/>
  <c r="F75" i="24"/>
  <c r="G75" i="24"/>
  <c r="F76" i="24"/>
  <c r="G76" i="24"/>
  <c r="F77" i="24"/>
  <c r="G77" i="24"/>
  <c r="F78" i="24"/>
  <c r="G78" i="24"/>
  <c r="F79" i="24"/>
  <c r="G79" i="24"/>
  <c r="F80" i="24"/>
  <c r="G80" i="24"/>
  <c r="F81" i="24"/>
  <c r="H86" i="24"/>
  <c r="I86" i="24"/>
  <c r="J86" i="24"/>
  <c r="K86" i="24"/>
  <c r="L86" i="24"/>
  <c r="L89" i="24" s="1"/>
  <c r="M86" i="24"/>
  <c r="N86" i="24"/>
  <c r="O86" i="24"/>
  <c r="P86" i="24"/>
  <c r="Q86" i="24"/>
  <c r="R86" i="24"/>
  <c r="S86" i="24"/>
  <c r="T86" i="24"/>
  <c r="T89" i="24" s="1"/>
  <c r="U86" i="24"/>
  <c r="V86" i="24"/>
  <c r="W86" i="24"/>
  <c r="X86" i="24"/>
  <c r="Y86" i="24"/>
  <c r="Z86" i="24"/>
  <c r="AA86" i="24"/>
  <c r="AB86" i="24"/>
  <c r="AB89" i="24" s="1"/>
  <c r="AC86" i="24"/>
  <c r="AD86" i="24"/>
  <c r="AE86" i="24"/>
  <c r="H87" i="24"/>
  <c r="I87" i="24"/>
  <c r="J87" i="24"/>
  <c r="K87" i="24"/>
  <c r="L87" i="24"/>
  <c r="M87" i="24"/>
  <c r="N87" i="24"/>
  <c r="N89" i="24" s="1"/>
  <c r="O87" i="24"/>
  <c r="P87" i="24"/>
  <c r="Q87" i="24"/>
  <c r="R87" i="24"/>
  <c r="S87" i="24"/>
  <c r="T87" i="24"/>
  <c r="U87" i="24"/>
  <c r="V87" i="24"/>
  <c r="V89" i="24" s="1"/>
  <c r="W87" i="24"/>
  <c r="X87" i="24"/>
  <c r="Y87" i="24"/>
  <c r="Z87" i="24"/>
  <c r="AA87" i="24"/>
  <c r="AB87" i="24"/>
  <c r="AC87" i="24"/>
  <c r="AD87" i="24"/>
  <c r="AD89" i="24" s="1"/>
  <c r="AE87" i="24"/>
  <c r="H88" i="24"/>
  <c r="I88" i="24"/>
  <c r="J88" i="24"/>
  <c r="K88" i="24"/>
  <c r="K89" i="24" s="1"/>
  <c r="L88" i="24"/>
  <c r="M88" i="24"/>
  <c r="M89" i="24" s="1"/>
  <c r="N88" i="24"/>
  <c r="O88" i="24"/>
  <c r="P88" i="24"/>
  <c r="Q88" i="24"/>
  <c r="R88" i="24"/>
  <c r="S88" i="24"/>
  <c r="S89" i="24" s="1"/>
  <c r="T88" i="24"/>
  <c r="U88" i="24"/>
  <c r="U89" i="24" s="1"/>
  <c r="V88" i="24"/>
  <c r="W88" i="24"/>
  <c r="X88" i="24"/>
  <c r="Y88" i="24"/>
  <c r="Z88" i="24"/>
  <c r="AA88" i="24"/>
  <c r="AA89" i="24" s="1"/>
  <c r="AB88" i="24"/>
  <c r="AC88" i="24"/>
  <c r="AC89" i="24" s="1"/>
  <c r="AD88" i="24"/>
  <c r="AE88" i="24"/>
  <c r="H89" i="24"/>
  <c r="I89" i="24"/>
  <c r="O89" i="24"/>
  <c r="P89" i="24"/>
  <c r="Q89" i="24"/>
  <c r="W89" i="24"/>
  <c r="X89" i="24"/>
  <c r="Y89" i="24"/>
  <c r="AE89" i="24"/>
  <c r="A4" i="36"/>
  <c r="A5" i="36"/>
  <c r="A4" i="9"/>
  <c r="A5" i="9"/>
  <c r="F11" i="9"/>
  <c r="G11" i="9"/>
  <c r="H11" i="9"/>
  <c r="I11" i="9"/>
  <c r="L11" i="9"/>
  <c r="M11" i="9"/>
  <c r="H12" i="9"/>
  <c r="I12" i="9"/>
  <c r="G13" i="9"/>
  <c r="H13" i="9"/>
  <c r="I13" i="9"/>
  <c r="L13" i="9"/>
  <c r="M13" i="9"/>
  <c r="H14" i="9"/>
  <c r="I14" i="9"/>
  <c r="I16" i="9" s="1"/>
  <c r="L14" i="9"/>
  <c r="F15" i="9"/>
  <c r="G15" i="9"/>
  <c r="H15" i="9"/>
  <c r="I15" i="9"/>
  <c r="L15" i="9"/>
  <c r="M15" i="9"/>
  <c r="H16" i="9"/>
  <c r="J16" i="9"/>
  <c r="K16" i="9"/>
  <c r="H18" i="9"/>
  <c r="I18" i="9"/>
  <c r="F19" i="9"/>
  <c r="G19" i="9"/>
  <c r="H19" i="9"/>
  <c r="I19" i="9"/>
  <c r="L19" i="9"/>
  <c r="M19" i="9"/>
  <c r="H20" i="9"/>
  <c r="I20" i="9"/>
  <c r="G21" i="9"/>
  <c r="H21" i="9"/>
  <c r="I21" i="9"/>
  <c r="L21" i="9"/>
  <c r="D21" i="33" s="1"/>
  <c r="M21" i="9"/>
  <c r="H22" i="9"/>
  <c r="I22" i="9"/>
  <c r="I24" i="9" s="1"/>
  <c r="L22" i="9"/>
  <c r="F23" i="9"/>
  <c r="G23" i="9"/>
  <c r="H23" i="9"/>
  <c r="I23" i="9"/>
  <c r="L23" i="9"/>
  <c r="M23" i="9"/>
  <c r="H24" i="9"/>
  <c r="J24" i="9"/>
  <c r="K24" i="9"/>
  <c r="H27" i="9"/>
  <c r="I27" i="9"/>
  <c r="G28" i="9"/>
  <c r="H28" i="9"/>
  <c r="I28" i="9"/>
  <c r="L28" i="9"/>
  <c r="M28" i="9"/>
  <c r="J29" i="9"/>
  <c r="K29" i="9"/>
  <c r="H32" i="9"/>
  <c r="I32" i="9"/>
  <c r="L32" i="9"/>
  <c r="F33" i="9"/>
  <c r="G33" i="9"/>
  <c r="H33" i="9"/>
  <c r="I33" i="9"/>
  <c r="L33" i="9"/>
  <c r="M33" i="9"/>
  <c r="H34" i="9"/>
  <c r="I34" i="9"/>
  <c r="G35" i="9"/>
  <c r="H35" i="9"/>
  <c r="I35" i="9"/>
  <c r="L35" i="9"/>
  <c r="M35" i="9"/>
  <c r="J36" i="9"/>
  <c r="K36" i="9"/>
  <c r="H38" i="9"/>
  <c r="I38" i="9"/>
  <c r="G39" i="9"/>
  <c r="H39" i="9"/>
  <c r="I39" i="9"/>
  <c r="L39" i="9"/>
  <c r="M39" i="9"/>
  <c r="H40" i="9"/>
  <c r="I40" i="9"/>
  <c r="L40" i="9"/>
  <c r="L42" i="9" s="1"/>
  <c r="F41" i="9"/>
  <c r="G41" i="9"/>
  <c r="H41" i="9"/>
  <c r="I41" i="9"/>
  <c r="L41" i="9"/>
  <c r="M41" i="9"/>
  <c r="E41" i="33" s="1"/>
  <c r="H42" i="9"/>
  <c r="I42" i="9"/>
  <c r="I43" i="9" s="1"/>
  <c r="J42" i="9"/>
  <c r="K42" i="9"/>
  <c r="H43" i="9"/>
  <c r="J43" i="9"/>
  <c r="K43" i="9"/>
  <c r="H45" i="9"/>
  <c r="I45" i="9"/>
  <c r="G47" i="9"/>
  <c r="H47" i="9"/>
  <c r="I47" i="9"/>
  <c r="L47" i="9"/>
  <c r="M47" i="9"/>
  <c r="H49" i="9"/>
  <c r="I49" i="9"/>
  <c r="L49" i="9"/>
  <c r="F51" i="9"/>
  <c r="G51" i="9"/>
  <c r="H51" i="9"/>
  <c r="I51" i="9"/>
  <c r="L51" i="9"/>
  <c r="M51" i="9"/>
  <c r="F54" i="9"/>
  <c r="H54" i="9"/>
  <c r="I54" i="9"/>
  <c r="G55" i="9"/>
  <c r="H55" i="9"/>
  <c r="I55" i="9"/>
  <c r="L55" i="9"/>
  <c r="M55" i="9"/>
  <c r="I56" i="9"/>
  <c r="J56" i="9"/>
  <c r="K56" i="9"/>
  <c r="H59" i="9"/>
  <c r="I59" i="9"/>
  <c r="L59" i="9"/>
  <c r="F60" i="9"/>
  <c r="G60" i="9"/>
  <c r="H60" i="9"/>
  <c r="I60" i="9"/>
  <c r="L60" i="9"/>
  <c r="M60" i="9"/>
  <c r="H61" i="9"/>
  <c r="I61" i="9"/>
  <c r="J61" i="9"/>
  <c r="K61" i="9"/>
  <c r="K82" i="9" s="1"/>
  <c r="K91" i="9" s="1"/>
  <c r="L61" i="9"/>
  <c r="F64" i="9"/>
  <c r="F66" i="9" s="1"/>
  <c r="H64" i="9"/>
  <c r="I64" i="9"/>
  <c r="L64" i="9"/>
  <c r="L66" i="9" s="1"/>
  <c r="F65" i="9"/>
  <c r="G65" i="9"/>
  <c r="H65" i="9"/>
  <c r="I65" i="9"/>
  <c r="L65" i="9"/>
  <c r="M65" i="9"/>
  <c r="H66" i="9"/>
  <c r="I66" i="9"/>
  <c r="J66" i="9"/>
  <c r="K66" i="9"/>
  <c r="F70" i="9"/>
  <c r="H70" i="9"/>
  <c r="L70" i="9" s="1"/>
  <c r="I70" i="9"/>
  <c r="F71" i="9"/>
  <c r="H71" i="9"/>
  <c r="I71" i="9"/>
  <c r="G71" i="9" s="1"/>
  <c r="M71" i="9"/>
  <c r="I72" i="9"/>
  <c r="J72" i="9"/>
  <c r="K72" i="9"/>
  <c r="F73" i="9"/>
  <c r="H73" i="9"/>
  <c r="I73" i="9"/>
  <c r="M73" i="9" s="1"/>
  <c r="L73" i="9"/>
  <c r="F74" i="9"/>
  <c r="G74" i="9"/>
  <c r="H74" i="9"/>
  <c r="I74" i="9"/>
  <c r="L74" i="9"/>
  <c r="M74" i="9"/>
  <c r="F75" i="9"/>
  <c r="H75" i="9"/>
  <c r="I75" i="9"/>
  <c r="M75" i="9" s="1"/>
  <c r="G76" i="9"/>
  <c r="H76" i="9"/>
  <c r="I76" i="9"/>
  <c r="M76" i="9"/>
  <c r="G77" i="9"/>
  <c r="H77" i="9"/>
  <c r="I77" i="9"/>
  <c r="M77" i="9" s="1"/>
  <c r="L77" i="9"/>
  <c r="F78" i="9"/>
  <c r="G78" i="9"/>
  <c r="H78" i="9"/>
  <c r="I78" i="9"/>
  <c r="M78" i="9" s="1"/>
  <c r="L78" i="9"/>
  <c r="F79" i="9"/>
  <c r="H79" i="9"/>
  <c r="I79" i="9"/>
  <c r="M79" i="9" s="1"/>
  <c r="G80" i="9"/>
  <c r="H80" i="9"/>
  <c r="I80" i="9"/>
  <c r="M80" i="9"/>
  <c r="G81" i="9"/>
  <c r="H81" i="9"/>
  <c r="I81" i="9"/>
  <c r="M81" i="9" s="1"/>
  <c r="L81" i="9"/>
  <c r="D82" i="9"/>
  <c r="E82" i="9"/>
  <c r="J82" i="9"/>
  <c r="J91" i="9" s="1"/>
  <c r="H86" i="9"/>
  <c r="H86" i="12" s="1"/>
  <c r="I86" i="9"/>
  <c r="I86" i="12" s="1"/>
  <c r="L86" i="9"/>
  <c r="L86" i="12" s="1"/>
  <c r="D86" i="36" s="1"/>
  <c r="H87" i="9"/>
  <c r="I87" i="9"/>
  <c r="I87" i="12" s="1"/>
  <c r="M87" i="9"/>
  <c r="M87" i="12" s="1"/>
  <c r="E87" i="36" s="1"/>
  <c r="H88" i="9"/>
  <c r="H88" i="12" s="1"/>
  <c r="I88" i="9"/>
  <c r="I88" i="12" s="1"/>
  <c r="L88" i="9"/>
  <c r="L88" i="12" s="1"/>
  <c r="D88" i="36" s="1"/>
  <c r="D89" i="9"/>
  <c r="D91" i="9" s="1"/>
  <c r="E89" i="9"/>
  <c r="F89" i="9"/>
  <c r="G89" i="9"/>
  <c r="I89" i="9"/>
  <c r="J89" i="9"/>
  <c r="K89" i="9"/>
  <c r="E91" i="9"/>
  <c r="A5" i="21"/>
  <c r="AD8" i="21"/>
  <c r="F11" i="21"/>
  <c r="H11" i="21"/>
  <c r="I11" i="21"/>
  <c r="I16" i="21" s="1"/>
  <c r="J11" i="21"/>
  <c r="K11" i="21"/>
  <c r="L11" i="21"/>
  <c r="M11" i="21"/>
  <c r="N11" i="21"/>
  <c r="O11" i="21"/>
  <c r="P11" i="21"/>
  <c r="Q11" i="21"/>
  <c r="Q16" i="21" s="1"/>
  <c r="R11" i="21"/>
  <c r="S11" i="21"/>
  <c r="T11" i="21"/>
  <c r="U11" i="21"/>
  <c r="V11" i="21"/>
  <c r="W11" i="21"/>
  <c r="AB11" i="21"/>
  <c r="AD11" i="21"/>
  <c r="AD16" i="21" s="1"/>
  <c r="AE11" i="21"/>
  <c r="F12" i="21"/>
  <c r="G12" i="21"/>
  <c r="H12" i="21"/>
  <c r="I12" i="21"/>
  <c r="J12" i="21"/>
  <c r="D12" i="21" s="1"/>
  <c r="F12" i="33" s="1"/>
  <c r="K12" i="21"/>
  <c r="L12" i="21"/>
  <c r="M12" i="21"/>
  <c r="N12" i="21"/>
  <c r="O12" i="21"/>
  <c r="O16" i="21" s="1"/>
  <c r="P12" i="21"/>
  <c r="Q12" i="21"/>
  <c r="R12" i="21"/>
  <c r="S12" i="21"/>
  <c r="T12" i="21"/>
  <c r="U12" i="21"/>
  <c r="V12" i="21"/>
  <c r="W12" i="21"/>
  <c r="W16" i="21" s="1"/>
  <c r="X12" i="21"/>
  <c r="Y12" i="21"/>
  <c r="Z12" i="21"/>
  <c r="AA12" i="21"/>
  <c r="AB12" i="21"/>
  <c r="AC12" i="21"/>
  <c r="AD12" i="21"/>
  <c r="AE12" i="21"/>
  <c r="F13" i="21"/>
  <c r="D13" i="21" s="1"/>
  <c r="G13" i="21"/>
  <c r="H13" i="21"/>
  <c r="H16" i="21" s="1"/>
  <c r="I13" i="21"/>
  <c r="E13" i="21" s="1"/>
  <c r="J13" i="21"/>
  <c r="K13" i="21"/>
  <c r="L13" i="21"/>
  <c r="M13" i="21"/>
  <c r="N13" i="21"/>
  <c r="O13" i="21"/>
  <c r="P13" i="21"/>
  <c r="P16" i="21" s="1"/>
  <c r="Q13" i="21"/>
  <c r="R13" i="21"/>
  <c r="S13" i="21"/>
  <c r="T13" i="21"/>
  <c r="U13" i="21"/>
  <c r="V13" i="21"/>
  <c r="W13" i="21"/>
  <c r="X13" i="21"/>
  <c r="X16" i="21" s="1"/>
  <c r="Y13" i="21"/>
  <c r="Z13" i="21"/>
  <c r="AA13" i="21"/>
  <c r="AB13" i="21"/>
  <c r="AC13" i="21"/>
  <c r="AD13" i="21"/>
  <c r="AE13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F15" i="21"/>
  <c r="D15" i="21" s="1"/>
  <c r="F15" i="33" s="1"/>
  <c r="H15" i="33" s="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J16" i="21"/>
  <c r="L16" i="21"/>
  <c r="M16" i="21"/>
  <c r="R16" i="21"/>
  <c r="T16" i="21"/>
  <c r="U16" i="21"/>
  <c r="Y16" i="21"/>
  <c r="Z16" i="21"/>
  <c r="AB16" i="21"/>
  <c r="AC16" i="21"/>
  <c r="AE16" i="21"/>
  <c r="F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D19" i="21"/>
  <c r="AE19" i="21"/>
  <c r="F20" i="21"/>
  <c r="G20" i="21"/>
  <c r="E20" i="21" s="1"/>
  <c r="H20" i="21"/>
  <c r="I20" i="21"/>
  <c r="J20" i="21"/>
  <c r="K20" i="21"/>
  <c r="L20" i="21"/>
  <c r="M20" i="21"/>
  <c r="M24" i="21" s="1"/>
  <c r="N20" i="21"/>
  <c r="P20" i="21"/>
  <c r="R20" i="21"/>
  <c r="R24" i="21" s="1"/>
  <c r="T20" i="21"/>
  <c r="V20" i="21"/>
  <c r="X20" i="21"/>
  <c r="Y20" i="21"/>
  <c r="Z20" i="21"/>
  <c r="Z24" i="21" s="1"/>
  <c r="AA20" i="21"/>
  <c r="AB20" i="21"/>
  <c r="AB24" i="21" s="1"/>
  <c r="AC20" i="21"/>
  <c r="AD20" i="21"/>
  <c r="AE20" i="21"/>
  <c r="F21" i="21"/>
  <c r="D21" i="21" s="1"/>
  <c r="F21" i="33" s="1"/>
  <c r="H21" i="33" s="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T24" i="21" s="1"/>
  <c r="T82" i="21" s="1"/>
  <c r="U22" i="21"/>
  <c r="V22" i="21"/>
  <c r="W22" i="21"/>
  <c r="X22" i="21"/>
  <c r="Y22" i="21"/>
  <c r="Z22" i="21"/>
  <c r="AA22" i="21"/>
  <c r="AB22" i="21"/>
  <c r="AC22" i="21"/>
  <c r="AD22" i="21"/>
  <c r="AE22" i="21"/>
  <c r="F23" i="21"/>
  <c r="D23" i="21" s="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AD23" i="21"/>
  <c r="AE23" i="21"/>
  <c r="F24" i="21"/>
  <c r="H24" i="21"/>
  <c r="I24" i="21"/>
  <c r="K24" i="21"/>
  <c r="N24" i="21"/>
  <c r="P24" i="21"/>
  <c r="Q24" i="21"/>
  <c r="S24" i="21"/>
  <c r="U24" i="21"/>
  <c r="X24" i="21"/>
  <c r="Y24" i="21"/>
  <c r="AA24" i="21"/>
  <c r="AC24" i="21"/>
  <c r="F27" i="21"/>
  <c r="G27" i="21"/>
  <c r="H27" i="21"/>
  <c r="I27" i="21"/>
  <c r="J27" i="21"/>
  <c r="K27" i="21"/>
  <c r="L27" i="21"/>
  <c r="M27" i="21"/>
  <c r="N27" i="21"/>
  <c r="O27" i="21"/>
  <c r="O27" i="24" s="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F28" i="21"/>
  <c r="F29" i="21" s="1"/>
  <c r="G28" i="21"/>
  <c r="H28" i="21"/>
  <c r="H29" i="21" s="1"/>
  <c r="I28" i="21"/>
  <c r="J28" i="21"/>
  <c r="K28" i="21"/>
  <c r="L28" i="21"/>
  <c r="M28" i="21"/>
  <c r="N28" i="21"/>
  <c r="N29" i="21" s="1"/>
  <c r="O28" i="21"/>
  <c r="P28" i="21"/>
  <c r="P29" i="21" s="1"/>
  <c r="Q28" i="21"/>
  <c r="R28" i="21"/>
  <c r="S28" i="21"/>
  <c r="T28" i="21"/>
  <c r="U28" i="21"/>
  <c r="V28" i="21"/>
  <c r="V29" i="21" s="1"/>
  <c r="W28" i="21"/>
  <c r="X28" i="21"/>
  <c r="X29" i="21" s="1"/>
  <c r="Y28" i="21"/>
  <c r="Z28" i="21"/>
  <c r="AA28" i="21"/>
  <c r="AB28" i="21"/>
  <c r="AC28" i="21"/>
  <c r="AD28" i="21"/>
  <c r="AD29" i="21" s="1"/>
  <c r="AE28" i="21"/>
  <c r="I29" i="21"/>
  <c r="J29" i="21"/>
  <c r="L29" i="21"/>
  <c r="M29" i="21"/>
  <c r="O29" i="21"/>
  <c r="Q29" i="21"/>
  <c r="R29" i="21"/>
  <c r="T29" i="21"/>
  <c r="U29" i="21"/>
  <c r="Y29" i="21"/>
  <c r="Z29" i="21"/>
  <c r="AB29" i="21"/>
  <c r="AC29" i="21"/>
  <c r="F32" i="21"/>
  <c r="D32" i="21" s="1"/>
  <c r="G32" i="21"/>
  <c r="H32" i="21"/>
  <c r="H36" i="21" s="1"/>
  <c r="H82" i="21" s="1"/>
  <c r="I32" i="21"/>
  <c r="J32" i="21"/>
  <c r="J36" i="21" s="1"/>
  <c r="K32" i="21"/>
  <c r="L32" i="21"/>
  <c r="M32" i="21"/>
  <c r="N32" i="21"/>
  <c r="O32" i="21"/>
  <c r="P32" i="21"/>
  <c r="P36" i="21" s="1"/>
  <c r="Q32" i="21"/>
  <c r="R32" i="21"/>
  <c r="R36" i="21" s="1"/>
  <c r="S32" i="21"/>
  <c r="T32" i="21"/>
  <c r="U32" i="21"/>
  <c r="V32" i="21"/>
  <c r="W32" i="21"/>
  <c r="AD32" i="21"/>
  <c r="AE32" i="21"/>
  <c r="F33" i="21"/>
  <c r="G33" i="21"/>
  <c r="H33" i="21"/>
  <c r="D33" i="21" s="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V33" i="24" s="1"/>
  <c r="W33" i="21"/>
  <c r="X33" i="21"/>
  <c r="X36" i="21" s="1"/>
  <c r="Y33" i="21"/>
  <c r="Z33" i="21"/>
  <c r="Z36" i="21" s="1"/>
  <c r="Z82" i="21" s="1"/>
  <c r="X640" i="44" s="1"/>
  <c r="AA33" i="21"/>
  <c r="AB33" i="21"/>
  <c r="AC33" i="21"/>
  <c r="AD33" i="21"/>
  <c r="AE33" i="21"/>
  <c r="F34" i="21"/>
  <c r="D34" i="21" s="1"/>
  <c r="F34" i="33" s="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F35" i="21"/>
  <c r="G35" i="21"/>
  <c r="H35" i="21"/>
  <c r="D35" i="21" s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W35" i="24" s="1"/>
  <c r="X35" i="21"/>
  <c r="Y35" i="21"/>
  <c r="Z35" i="21"/>
  <c r="AA35" i="21"/>
  <c r="AB35" i="21"/>
  <c r="AC35" i="21"/>
  <c r="AD35" i="21"/>
  <c r="AE35" i="21"/>
  <c r="F36" i="21"/>
  <c r="G36" i="21"/>
  <c r="L36" i="21"/>
  <c r="N36" i="21"/>
  <c r="O36" i="21"/>
  <c r="Q36" i="21"/>
  <c r="T36" i="21"/>
  <c r="V36" i="21"/>
  <c r="W36" i="21"/>
  <c r="AA36" i="21"/>
  <c r="AB36" i="21"/>
  <c r="AD36" i="21"/>
  <c r="AE36" i="21"/>
  <c r="F39" i="21"/>
  <c r="G39" i="21"/>
  <c r="H39" i="21"/>
  <c r="D39" i="21" s="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E39" i="24" s="1"/>
  <c r="F40" i="21"/>
  <c r="G40" i="21"/>
  <c r="H40" i="21"/>
  <c r="I40" i="21"/>
  <c r="J40" i="21"/>
  <c r="K40" i="21"/>
  <c r="L40" i="21"/>
  <c r="L42" i="21" s="1"/>
  <c r="L43" i="21" s="1"/>
  <c r="M40" i="21"/>
  <c r="N40" i="21"/>
  <c r="O40" i="21"/>
  <c r="P40" i="21"/>
  <c r="Q40" i="21"/>
  <c r="R40" i="21"/>
  <c r="S40" i="21"/>
  <c r="T40" i="21"/>
  <c r="T42" i="21" s="1"/>
  <c r="T43" i="21" s="1"/>
  <c r="U40" i="21"/>
  <c r="V40" i="21"/>
  <c r="W40" i="21"/>
  <c r="X40" i="21"/>
  <c r="Y40" i="21"/>
  <c r="AB40" i="21"/>
  <c r="AC40" i="21"/>
  <c r="AD40" i="21"/>
  <c r="AE40" i="21"/>
  <c r="AE40" i="24" s="1"/>
  <c r="F41" i="21"/>
  <c r="G41" i="21"/>
  <c r="H41" i="21"/>
  <c r="I41" i="21"/>
  <c r="J41" i="21"/>
  <c r="D41" i="21" s="1"/>
  <c r="K41" i="21"/>
  <c r="L41" i="21"/>
  <c r="M41" i="21"/>
  <c r="N41" i="21"/>
  <c r="O41" i="21"/>
  <c r="P41" i="21"/>
  <c r="Q41" i="21"/>
  <c r="R41" i="21"/>
  <c r="R42" i="21" s="1"/>
  <c r="R43" i="21" s="1"/>
  <c r="S41" i="21"/>
  <c r="T41" i="21"/>
  <c r="U41" i="21"/>
  <c r="V41" i="21"/>
  <c r="W41" i="21"/>
  <c r="X41" i="21"/>
  <c r="Y41" i="21"/>
  <c r="Z41" i="21"/>
  <c r="Z42" i="21" s="1"/>
  <c r="Z43" i="21" s="1"/>
  <c r="AA41" i="21"/>
  <c r="AB41" i="21"/>
  <c r="AB42" i="21" s="1"/>
  <c r="AB43" i="21" s="1"/>
  <c r="AC41" i="21"/>
  <c r="AD41" i="21"/>
  <c r="AE41" i="21"/>
  <c r="F42" i="21"/>
  <c r="F43" i="21" s="1"/>
  <c r="H42" i="21"/>
  <c r="H43" i="21" s="1"/>
  <c r="K42" i="21"/>
  <c r="K43" i="21" s="1"/>
  <c r="M42" i="21"/>
  <c r="N42" i="21"/>
  <c r="N43" i="21" s="1"/>
  <c r="P42" i="21"/>
  <c r="P43" i="21" s="1"/>
  <c r="P82" i="21" s="1"/>
  <c r="N640" i="44" s="1"/>
  <c r="S42" i="21"/>
  <c r="S43" i="21" s="1"/>
  <c r="U42" i="21"/>
  <c r="V42" i="21"/>
  <c r="V43" i="21" s="1"/>
  <c r="X42" i="21"/>
  <c r="X43" i="21" s="1"/>
  <c r="AA42" i="21"/>
  <c r="AA43" i="21" s="1"/>
  <c r="AC42" i="21"/>
  <c r="AD42" i="21"/>
  <c r="AD43" i="21" s="1"/>
  <c r="F45" i="21"/>
  <c r="D45" i="21" s="1"/>
  <c r="F45" i="33" s="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F49" i="21"/>
  <c r="D49" i="21" s="1"/>
  <c r="F49" i="33" s="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AD49" i="21"/>
  <c r="AE49" i="21"/>
  <c r="F51" i="21"/>
  <c r="G51" i="21"/>
  <c r="H51" i="21"/>
  <c r="D51" i="21" s="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AD51" i="21"/>
  <c r="AE51" i="21"/>
  <c r="F54" i="21"/>
  <c r="H54" i="21"/>
  <c r="D54" i="21" s="1"/>
  <c r="I54" i="21"/>
  <c r="J54" i="21"/>
  <c r="K54" i="21"/>
  <c r="L54" i="21"/>
  <c r="M54" i="21"/>
  <c r="N54" i="21"/>
  <c r="O54" i="21"/>
  <c r="P54" i="21"/>
  <c r="P56" i="21" s="1"/>
  <c r="Q54" i="21"/>
  <c r="R54" i="21"/>
  <c r="S54" i="21"/>
  <c r="T54" i="21"/>
  <c r="U54" i="21"/>
  <c r="V54" i="21"/>
  <c r="W54" i="21"/>
  <c r="AD54" i="21"/>
  <c r="AE54" i="21"/>
  <c r="AE56" i="21" s="1"/>
  <c r="F55" i="21"/>
  <c r="H55" i="21"/>
  <c r="I55" i="21"/>
  <c r="J55" i="21"/>
  <c r="K55" i="21"/>
  <c r="L55" i="21"/>
  <c r="L56" i="21" s="1"/>
  <c r="M55" i="21"/>
  <c r="N55" i="21"/>
  <c r="O55" i="21"/>
  <c r="O55" i="24" s="1"/>
  <c r="P55" i="21"/>
  <c r="Q55" i="21"/>
  <c r="R55" i="21"/>
  <c r="S55" i="21"/>
  <c r="T55" i="21"/>
  <c r="T56" i="21" s="1"/>
  <c r="U55" i="21"/>
  <c r="V55" i="21"/>
  <c r="W55" i="21"/>
  <c r="W55" i="24" s="1"/>
  <c r="X55" i="21"/>
  <c r="Z55" i="21"/>
  <c r="AB55" i="21"/>
  <c r="AB56" i="21" s="1"/>
  <c r="AD55" i="21"/>
  <c r="AE55" i="21"/>
  <c r="F56" i="21"/>
  <c r="I56" i="21"/>
  <c r="K56" i="21"/>
  <c r="N56" i="21"/>
  <c r="Q56" i="21"/>
  <c r="S56" i="21"/>
  <c r="V56" i="21"/>
  <c r="X56" i="21"/>
  <c r="Y56" i="21"/>
  <c r="AA56" i="21"/>
  <c r="AC56" i="21"/>
  <c r="AD56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R59" i="24" s="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G61" i="21"/>
  <c r="H61" i="21"/>
  <c r="L61" i="21"/>
  <c r="M61" i="21"/>
  <c r="O61" i="21"/>
  <c r="P61" i="21"/>
  <c r="R61" i="21"/>
  <c r="T61" i="21"/>
  <c r="U61" i="21"/>
  <c r="W61" i="21"/>
  <c r="X61" i="21"/>
  <c r="AB61" i="21"/>
  <c r="AC61" i="21"/>
  <c r="AE61" i="21"/>
  <c r="F64" i="21"/>
  <c r="G64" i="21"/>
  <c r="H64" i="21"/>
  <c r="I64" i="21"/>
  <c r="J64" i="21"/>
  <c r="K64" i="21"/>
  <c r="K66" i="21" s="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D66" i="21" s="1"/>
  <c r="AE64" i="21"/>
  <c r="F65" i="21"/>
  <c r="G65" i="21"/>
  <c r="G66" i="21" s="1"/>
  <c r="H65" i="21"/>
  <c r="I65" i="21"/>
  <c r="J65" i="21"/>
  <c r="K65" i="21"/>
  <c r="L65" i="21"/>
  <c r="M65" i="21"/>
  <c r="M66" i="21" s="1"/>
  <c r="N65" i="21"/>
  <c r="O65" i="21"/>
  <c r="O66" i="21" s="1"/>
  <c r="P65" i="21"/>
  <c r="Q65" i="21"/>
  <c r="R65" i="21"/>
  <c r="R66" i="21" s="1"/>
  <c r="S65" i="21"/>
  <c r="T65" i="21"/>
  <c r="U65" i="21"/>
  <c r="U66" i="21" s="1"/>
  <c r="V65" i="21"/>
  <c r="W65" i="21"/>
  <c r="W66" i="21" s="1"/>
  <c r="X65" i="21"/>
  <c r="Y65" i="21"/>
  <c r="Z65" i="21"/>
  <c r="Z66" i="21" s="1"/>
  <c r="AA65" i="21"/>
  <c r="AB65" i="21"/>
  <c r="AC65" i="21"/>
  <c r="AC66" i="21" s="1"/>
  <c r="AD65" i="21"/>
  <c r="AE65" i="21"/>
  <c r="AE66" i="21" s="1"/>
  <c r="F66" i="21"/>
  <c r="H66" i="21"/>
  <c r="I66" i="21"/>
  <c r="L66" i="21"/>
  <c r="N66" i="21"/>
  <c r="P66" i="21"/>
  <c r="Q66" i="21"/>
  <c r="S66" i="21"/>
  <c r="T66" i="21"/>
  <c r="V66" i="21"/>
  <c r="X66" i="21"/>
  <c r="Y66" i="21"/>
  <c r="AA66" i="21"/>
  <c r="AB66" i="21"/>
  <c r="F70" i="21"/>
  <c r="G70" i="21"/>
  <c r="H70" i="21"/>
  <c r="I70" i="21"/>
  <c r="J70" i="21"/>
  <c r="L70" i="21"/>
  <c r="M70" i="21"/>
  <c r="N70" i="21"/>
  <c r="N72" i="21" s="1"/>
  <c r="O70" i="21"/>
  <c r="P70" i="21"/>
  <c r="P70" i="24" s="1"/>
  <c r="Q70" i="21"/>
  <c r="R70" i="21"/>
  <c r="S70" i="21"/>
  <c r="S72" i="21" s="1"/>
  <c r="T70" i="21"/>
  <c r="U70" i="21"/>
  <c r="V70" i="21"/>
  <c r="W70" i="21"/>
  <c r="X70" i="21"/>
  <c r="Y70" i="21"/>
  <c r="Z70" i="21"/>
  <c r="Z70" i="24" s="1"/>
  <c r="AA70" i="21"/>
  <c r="AA72" i="21" s="1"/>
  <c r="AB70" i="21"/>
  <c r="AC70" i="21"/>
  <c r="AD70" i="21"/>
  <c r="AE70" i="21"/>
  <c r="D71" i="21"/>
  <c r="F71" i="33" s="1"/>
  <c r="F71" i="21"/>
  <c r="G71" i="21"/>
  <c r="H71" i="21"/>
  <c r="I71" i="21"/>
  <c r="J71" i="21"/>
  <c r="K71" i="21"/>
  <c r="L71" i="21"/>
  <c r="M71" i="21"/>
  <c r="M71" i="24" s="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C71" i="24" s="1"/>
  <c r="AD71" i="21"/>
  <c r="AE71" i="21"/>
  <c r="F72" i="21"/>
  <c r="H72" i="21"/>
  <c r="I72" i="21"/>
  <c r="K72" i="21"/>
  <c r="P72" i="21"/>
  <c r="Q72" i="21"/>
  <c r="V72" i="21"/>
  <c r="Y72" i="21"/>
  <c r="AC72" i="21"/>
  <c r="F73" i="21"/>
  <c r="G73" i="21"/>
  <c r="E73" i="21" s="1"/>
  <c r="G73" i="33" s="1"/>
  <c r="I73" i="33" s="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F74" i="21"/>
  <c r="H74" i="21"/>
  <c r="H74" i="24" s="1"/>
  <c r="I74" i="21"/>
  <c r="J74" i="21"/>
  <c r="L74" i="21"/>
  <c r="M74" i="21"/>
  <c r="N74" i="21"/>
  <c r="O74" i="21"/>
  <c r="O74" i="24" s="1"/>
  <c r="P74" i="21"/>
  <c r="Q74" i="21"/>
  <c r="Q74" i="24" s="1"/>
  <c r="R74" i="21"/>
  <c r="S74" i="21"/>
  <c r="T74" i="21"/>
  <c r="U74" i="21"/>
  <c r="V74" i="21"/>
  <c r="W74" i="21"/>
  <c r="W74" i="24" s="1"/>
  <c r="X74" i="21"/>
  <c r="Y74" i="21"/>
  <c r="Y74" i="24" s="1"/>
  <c r="Z74" i="21"/>
  <c r="AA74" i="21"/>
  <c r="AB74" i="21"/>
  <c r="AC74" i="21"/>
  <c r="AD74" i="21"/>
  <c r="AE74" i="21"/>
  <c r="AE74" i="24" s="1"/>
  <c r="F75" i="21"/>
  <c r="G75" i="21"/>
  <c r="H75" i="21"/>
  <c r="I75" i="21"/>
  <c r="J75" i="21"/>
  <c r="K75" i="21"/>
  <c r="E75" i="21" s="1"/>
  <c r="G75" i="33" s="1"/>
  <c r="I75" i="33" s="1"/>
  <c r="L75" i="21"/>
  <c r="M75" i="21"/>
  <c r="N75" i="21"/>
  <c r="N75" i="24" s="1"/>
  <c r="O75" i="21"/>
  <c r="P75" i="21"/>
  <c r="Q75" i="21"/>
  <c r="R75" i="21"/>
  <c r="S75" i="21"/>
  <c r="T75" i="21"/>
  <c r="U75" i="21"/>
  <c r="V75" i="21"/>
  <c r="V75" i="24" s="1"/>
  <c r="W75" i="21"/>
  <c r="X75" i="21"/>
  <c r="Y75" i="21"/>
  <c r="Z75" i="21"/>
  <c r="AA75" i="21"/>
  <c r="AB75" i="21"/>
  <c r="AC75" i="21"/>
  <c r="AD75" i="21"/>
  <c r="AD75" i="24" s="1"/>
  <c r="AE75" i="21"/>
  <c r="F76" i="21"/>
  <c r="D76" i="21" s="1"/>
  <c r="G76" i="21"/>
  <c r="H76" i="21"/>
  <c r="I76" i="21"/>
  <c r="I76" i="24" s="1"/>
  <c r="J76" i="21"/>
  <c r="K76" i="21"/>
  <c r="L76" i="21"/>
  <c r="M76" i="21"/>
  <c r="N76" i="21"/>
  <c r="O76" i="21"/>
  <c r="P76" i="21"/>
  <c r="Q76" i="21"/>
  <c r="Q76" i="24" s="1"/>
  <c r="R76" i="21"/>
  <c r="S76" i="21"/>
  <c r="T76" i="21"/>
  <c r="U76" i="21"/>
  <c r="V76" i="21"/>
  <c r="W76" i="21"/>
  <c r="X76" i="21"/>
  <c r="Y76" i="21"/>
  <c r="Y76" i="24" s="1"/>
  <c r="Z76" i="21"/>
  <c r="AA76" i="21"/>
  <c r="AB76" i="21"/>
  <c r="AC76" i="21"/>
  <c r="AD76" i="21"/>
  <c r="AE76" i="21"/>
  <c r="F77" i="21"/>
  <c r="G77" i="21"/>
  <c r="H77" i="21"/>
  <c r="D77" i="21" s="1"/>
  <c r="I77" i="21"/>
  <c r="J77" i="21"/>
  <c r="K77" i="21"/>
  <c r="L77" i="21"/>
  <c r="M77" i="21"/>
  <c r="M77" i="24" s="1"/>
  <c r="N77" i="21"/>
  <c r="O77" i="21"/>
  <c r="P77" i="21"/>
  <c r="Q77" i="21"/>
  <c r="R77" i="21"/>
  <c r="S77" i="21"/>
  <c r="T77" i="21"/>
  <c r="U77" i="21"/>
  <c r="U77" i="24" s="1"/>
  <c r="V77" i="21"/>
  <c r="W77" i="21"/>
  <c r="X77" i="21"/>
  <c r="Y77" i="21"/>
  <c r="Z77" i="21"/>
  <c r="AA77" i="21"/>
  <c r="AB77" i="21"/>
  <c r="AC77" i="21"/>
  <c r="AC77" i="24" s="1"/>
  <c r="AD77" i="21"/>
  <c r="AE77" i="21"/>
  <c r="F78" i="21"/>
  <c r="G78" i="21"/>
  <c r="H78" i="21"/>
  <c r="I78" i="21"/>
  <c r="J78" i="21"/>
  <c r="J78" i="24" s="1"/>
  <c r="K78" i="21"/>
  <c r="L78" i="21"/>
  <c r="M78" i="21"/>
  <c r="N78" i="21"/>
  <c r="O78" i="21"/>
  <c r="P78" i="21"/>
  <c r="Q78" i="21"/>
  <c r="R78" i="21"/>
  <c r="R78" i="24" s="1"/>
  <c r="S78" i="21"/>
  <c r="T78" i="21"/>
  <c r="U78" i="21"/>
  <c r="V78" i="21"/>
  <c r="W78" i="21"/>
  <c r="X78" i="21"/>
  <c r="Y78" i="21"/>
  <c r="Z78" i="21"/>
  <c r="Z78" i="24" s="1"/>
  <c r="AA78" i="21"/>
  <c r="AB78" i="21"/>
  <c r="AC78" i="21"/>
  <c r="AD78" i="21"/>
  <c r="AE78" i="21"/>
  <c r="F79" i="21"/>
  <c r="G79" i="21"/>
  <c r="H79" i="21"/>
  <c r="H79" i="24" s="1"/>
  <c r="I79" i="21"/>
  <c r="J79" i="21"/>
  <c r="K79" i="21"/>
  <c r="L79" i="21"/>
  <c r="M79" i="21"/>
  <c r="N79" i="21"/>
  <c r="N79" i="24" s="1"/>
  <c r="O79" i="21"/>
  <c r="P79" i="21"/>
  <c r="P79" i="24" s="1"/>
  <c r="Q79" i="21"/>
  <c r="R79" i="21"/>
  <c r="S79" i="21"/>
  <c r="T79" i="21"/>
  <c r="U79" i="21"/>
  <c r="V79" i="21"/>
  <c r="V79" i="24" s="1"/>
  <c r="W79" i="21"/>
  <c r="X79" i="21"/>
  <c r="X79" i="24" s="1"/>
  <c r="Y79" i="21"/>
  <c r="Z79" i="21"/>
  <c r="AA79" i="21"/>
  <c r="AB79" i="21"/>
  <c r="AC79" i="21"/>
  <c r="AD79" i="21"/>
  <c r="AD79" i="24" s="1"/>
  <c r="AE79" i="21"/>
  <c r="D80" i="21"/>
  <c r="F80" i="33" s="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F81" i="21"/>
  <c r="D81" i="21" s="1"/>
  <c r="H81" i="21"/>
  <c r="I81" i="21"/>
  <c r="J81" i="21"/>
  <c r="K81" i="21"/>
  <c r="K81" i="24" s="1"/>
  <c r="L81" i="21"/>
  <c r="M81" i="21"/>
  <c r="N81" i="21"/>
  <c r="O81" i="21"/>
  <c r="O81" i="24" s="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R82" i="21"/>
  <c r="P640" i="44" s="1"/>
  <c r="X82" i="21"/>
  <c r="AB82" i="21"/>
  <c r="Z640" i="44" s="1"/>
  <c r="E86" i="21"/>
  <c r="F86" i="21"/>
  <c r="F86" i="24" s="1"/>
  <c r="G86" i="21"/>
  <c r="G86" i="24" s="1"/>
  <c r="F87" i="21"/>
  <c r="F87" i="24" s="1"/>
  <c r="D87" i="24" s="1"/>
  <c r="F87" i="36" s="1"/>
  <c r="G87" i="21"/>
  <c r="F88" i="21"/>
  <c r="F88" i="24" s="1"/>
  <c r="D88" i="24" s="1"/>
  <c r="F88" i="36" s="1"/>
  <c r="H88" i="36" s="1"/>
  <c r="G88" i="21"/>
  <c r="G88" i="24" s="1"/>
  <c r="E88" i="24" s="1"/>
  <c r="G88" i="36" s="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P91" i="21"/>
  <c r="R91" i="21"/>
  <c r="A5" i="33"/>
  <c r="D11" i="33"/>
  <c r="E11" i="33"/>
  <c r="D13" i="33"/>
  <c r="E13" i="33"/>
  <c r="F13" i="33"/>
  <c r="H13" i="33" s="1"/>
  <c r="G13" i="33"/>
  <c r="I13" i="33"/>
  <c r="D14" i="33"/>
  <c r="D15" i="33"/>
  <c r="E15" i="33"/>
  <c r="D19" i="33"/>
  <c r="E19" i="33"/>
  <c r="G20" i="33"/>
  <c r="E21" i="33"/>
  <c r="D22" i="33"/>
  <c r="D23" i="33"/>
  <c r="E23" i="33"/>
  <c r="F23" i="33"/>
  <c r="D28" i="33"/>
  <c r="E28" i="33"/>
  <c r="D32" i="33"/>
  <c r="F32" i="33"/>
  <c r="H32" i="33" s="1"/>
  <c r="D33" i="33"/>
  <c r="E33" i="33"/>
  <c r="F33" i="33"/>
  <c r="H33" i="33"/>
  <c r="D35" i="33"/>
  <c r="E35" i="33"/>
  <c r="F35" i="33"/>
  <c r="D39" i="33"/>
  <c r="E39" i="33"/>
  <c r="F39" i="33"/>
  <c r="H39" i="33" s="1"/>
  <c r="D40" i="33"/>
  <c r="D42" i="33" s="1"/>
  <c r="D43" i="33" s="1"/>
  <c r="D41" i="33"/>
  <c r="F41" i="33"/>
  <c r="H41" i="33" s="1"/>
  <c r="D47" i="33"/>
  <c r="E47" i="33"/>
  <c r="D49" i="33"/>
  <c r="D51" i="33"/>
  <c r="E51" i="33"/>
  <c r="F51" i="33"/>
  <c r="F54" i="33"/>
  <c r="D55" i="33"/>
  <c r="E55" i="33"/>
  <c r="D59" i="33"/>
  <c r="D61" i="33" s="1"/>
  <c r="D60" i="33"/>
  <c r="E60" i="33"/>
  <c r="D64" i="33"/>
  <c r="D66" i="33" s="1"/>
  <c r="D65" i="33"/>
  <c r="E65" i="33"/>
  <c r="E71" i="33"/>
  <c r="D73" i="33"/>
  <c r="E73" i="33"/>
  <c r="D74" i="33"/>
  <c r="E74" i="33"/>
  <c r="E75" i="33"/>
  <c r="E76" i="33"/>
  <c r="F76" i="33"/>
  <c r="D77" i="33"/>
  <c r="E77" i="33"/>
  <c r="F77" i="33"/>
  <c r="H77" i="33" s="1"/>
  <c r="D78" i="33"/>
  <c r="E78" i="33"/>
  <c r="E79" i="33"/>
  <c r="E80" i="33"/>
  <c r="D81" i="33"/>
  <c r="E81" i="33"/>
  <c r="F81" i="33"/>
  <c r="H81" i="33" s="1"/>
  <c r="D86" i="33"/>
  <c r="E87" i="33"/>
  <c r="D88" i="33"/>
  <c r="A4" i="11"/>
  <c r="A5" i="11"/>
  <c r="F11" i="11"/>
  <c r="G11" i="11"/>
  <c r="H11" i="11"/>
  <c r="I11" i="11"/>
  <c r="L11" i="11"/>
  <c r="M11" i="11"/>
  <c r="F12" i="11"/>
  <c r="H12" i="11"/>
  <c r="L12" i="11" s="1"/>
  <c r="I12" i="11"/>
  <c r="M12" i="11" s="1"/>
  <c r="G13" i="11"/>
  <c r="H13" i="11"/>
  <c r="F13" i="11" s="1"/>
  <c r="I13" i="11"/>
  <c r="M13" i="11"/>
  <c r="H14" i="11"/>
  <c r="F14" i="11" s="1"/>
  <c r="I14" i="11"/>
  <c r="G14" i="11" s="1"/>
  <c r="L14" i="11"/>
  <c r="F15" i="11"/>
  <c r="G15" i="11"/>
  <c r="H15" i="11"/>
  <c r="I15" i="11"/>
  <c r="L15" i="11"/>
  <c r="M15" i="11"/>
  <c r="I16" i="11"/>
  <c r="J16" i="11"/>
  <c r="K16" i="11"/>
  <c r="H18" i="11"/>
  <c r="I18" i="11"/>
  <c r="F19" i="11"/>
  <c r="G19" i="11"/>
  <c r="H19" i="11"/>
  <c r="I19" i="11"/>
  <c r="L19" i="11"/>
  <c r="M19" i="11"/>
  <c r="H20" i="11"/>
  <c r="L20" i="11" s="1"/>
  <c r="I20" i="11"/>
  <c r="M20" i="11" s="1"/>
  <c r="G21" i="11"/>
  <c r="H21" i="11"/>
  <c r="F21" i="11" s="1"/>
  <c r="I21" i="11"/>
  <c r="L21" i="11"/>
  <c r="D21" i="35" s="1"/>
  <c r="D24" i="35" s="1"/>
  <c r="M21" i="11"/>
  <c r="H22" i="11"/>
  <c r="F22" i="11" s="1"/>
  <c r="I22" i="11"/>
  <c r="G22" i="11" s="1"/>
  <c r="L22" i="11"/>
  <c r="F23" i="11"/>
  <c r="G23" i="11"/>
  <c r="H23" i="11"/>
  <c r="I23" i="11"/>
  <c r="L23" i="11"/>
  <c r="M23" i="11"/>
  <c r="H24" i="11"/>
  <c r="I24" i="11"/>
  <c r="J24" i="11"/>
  <c r="K24" i="11"/>
  <c r="F27" i="11"/>
  <c r="F29" i="11" s="1"/>
  <c r="H27" i="11"/>
  <c r="I27" i="11"/>
  <c r="M27" i="11" s="1"/>
  <c r="M29" i="11" s="1"/>
  <c r="G28" i="11"/>
  <c r="H28" i="11"/>
  <c r="F28" i="11" s="1"/>
  <c r="I28" i="11"/>
  <c r="M28" i="11"/>
  <c r="I29" i="11"/>
  <c r="J29" i="11"/>
  <c r="K29" i="11"/>
  <c r="H32" i="11"/>
  <c r="F32" i="11" s="1"/>
  <c r="I32" i="11"/>
  <c r="G32" i="11" s="1"/>
  <c r="L32" i="11"/>
  <c r="F33" i="11"/>
  <c r="G33" i="11"/>
  <c r="H33" i="11"/>
  <c r="I33" i="11"/>
  <c r="L33" i="11"/>
  <c r="M33" i="11"/>
  <c r="F34" i="11"/>
  <c r="H34" i="11"/>
  <c r="I34" i="11"/>
  <c r="M34" i="11" s="1"/>
  <c r="E34" i="35" s="1"/>
  <c r="G35" i="11"/>
  <c r="H35" i="11"/>
  <c r="F35" i="11" s="1"/>
  <c r="I35" i="11"/>
  <c r="L35" i="11"/>
  <c r="D35" i="35" s="1"/>
  <c r="M35" i="11"/>
  <c r="I36" i="11"/>
  <c r="J36" i="11"/>
  <c r="K36" i="11"/>
  <c r="L37" i="11"/>
  <c r="M37" i="11"/>
  <c r="H38" i="11"/>
  <c r="I38" i="11"/>
  <c r="F39" i="11"/>
  <c r="H39" i="11"/>
  <c r="L39" i="11" s="1"/>
  <c r="D39" i="35" s="1"/>
  <c r="I39" i="11"/>
  <c r="M39" i="11" s="1"/>
  <c r="E39" i="35" s="1"/>
  <c r="G40" i="11"/>
  <c r="H40" i="11"/>
  <c r="I40" i="11"/>
  <c r="I42" i="11" s="1"/>
  <c r="I43" i="11" s="1"/>
  <c r="L40" i="11"/>
  <c r="M40" i="11"/>
  <c r="H41" i="11"/>
  <c r="F41" i="11" s="1"/>
  <c r="I41" i="11"/>
  <c r="G41" i="11" s="1"/>
  <c r="G42" i="11" s="1"/>
  <c r="L41" i="11"/>
  <c r="J42" i="11"/>
  <c r="K42" i="11"/>
  <c r="J43" i="11"/>
  <c r="K43" i="11"/>
  <c r="F45" i="11"/>
  <c r="G45" i="11"/>
  <c r="H45" i="11"/>
  <c r="I45" i="11"/>
  <c r="L45" i="11"/>
  <c r="M45" i="11"/>
  <c r="H47" i="11"/>
  <c r="I47" i="11"/>
  <c r="M47" i="11" s="1"/>
  <c r="E47" i="35" s="1"/>
  <c r="G49" i="11"/>
  <c r="H49" i="11"/>
  <c r="F49" i="11" s="1"/>
  <c r="I49" i="11"/>
  <c r="L49" i="11"/>
  <c r="M49" i="11"/>
  <c r="H51" i="11"/>
  <c r="F51" i="11" s="1"/>
  <c r="I51" i="11"/>
  <c r="G51" i="11" s="1"/>
  <c r="L51" i="11"/>
  <c r="D51" i="35" s="1"/>
  <c r="F54" i="11"/>
  <c r="G54" i="11"/>
  <c r="H54" i="11"/>
  <c r="I54" i="11"/>
  <c r="L54" i="11"/>
  <c r="M54" i="11"/>
  <c r="M56" i="11" s="1"/>
  <c r="F55" i="11"/>
  <c r="H55" i="11"/>
  <c r="L55" i="11" s="1"/>
  <c r="D55" i="35" s="1"/>
  <c r="D56" i="35" s="1"/>
  <c r="I55" i="11"/>
  <c r="M55" i="11" s="1"/>
  <c r="J56" i="11"/>
  <c r="K56" i="11"/>
  <c r="G59" i="11"/>
  <c r="H59" i="11"/>
  <c r="I59" i="11"/>
  <c r="I61" i="11" s="1"/>
  <c r="L59" i="11"/>
  <c r="D59" i="35" s="1"/>
  <c r="D61" i="35" s="1"/>
  <c r="M59" i="11"/>
  <c r="H60" i="11"/>
  <c r="F60" i="11" s="1"/>
  <c r="I60" i="11"/>
  <c r="G60" i="11" s="1"/>
  <c r="L60" i="11"/>
  <c r="J61" i="11"/>
  <c r="K61" i="11"/>
  <c r="L61" i="11"/>
  <c r="F64" i="11"/>
  <c r="G64" i="11"/>
  <c r="H64" i="11"/>
  <c r="I64" i="11"/>
  <c r="L64" i="11"/>
  <c r="M64" i="11"/>
  <c r="M66" i="11" s="1"/>
  <c r="F65" i="11"/>
  <c r="H65" i="11"/>
  <c r="L65" i="11" s="1"/>
  <c r="D65" i="35" s="1"/>
  <c r="I65" i="11"/>
  <c r="M65" i="11" s="1"/>
  <c r="J66" i="11"/>
  <c r="K66" i="11"/>
  <c r="G70" i="11"/>
  <c r="H70" i="11"/>
  <c r="I70" i="11"/>
  <c r="I72" i="11" s="1"/>
  <c r="L70" i="11"/>
  <c r="M70" i="11"/>
  <c r="H71" i="11"/>
  <c r="F71" i="11" s="1"/>
  <c r="I71" i="11"/>
  <c r="G71" i="11" s="1"/>
  <c r="L71" i="11"/>
  <c r="J72" i="11"/>
  <c r="K72" i="11"/>
  <c r="L72" i="11"/>
  <c r="F73" i="11"/>
  <c r="G73" i="11"/>
  <c r="H73" i="11"/>
  <c r="I73" i="11"/>
  <c r="L73" i="11"/>
  <c r="M73" i="11"/>
  <c r="F74" i="11"/>
  <c r="H74" i="11"/>
  <c r="L74" i="11" s="1"/>
  <c r="D74" i="35" s="1"/>
  <c r="I74" i="11"/>
  <c r="M74" i="11" s="1"/>
  <c r="G75" i="11"/>
  <c r="H75" i="11"/>
  <c r="F75" i="11" s="1"/>
  <c r="I75" i="11"/>
  <c r="M75" i="11"/>
  <c r="H76" i="11"/>
  <c r="F76" i="11" s="1"/>
  <c r="I76" i="11"/>
  <c r="G76" i="11" s="1"/>
  <c r="L76" i="11"/>
  <c r="F77" i="11"/>
  <c r="G77" i="11"/>
  <c r="H77" i="11"/>
  <c r="I77" i="11"/>
  <c r="L77" i="11"/>
  <c r="M77" i="11"/>
  <c r="F78" i="11"/>
  <c r="H78" i="11"/>
  <c r="L78" i="11" s="1"/>
  <c r="I78" i="11"/>
  <c r="M78" i="11" s="1"/>
  <c r="G79" i="11"/>
  <c r="H79" i="11"/>
  <c r="F79" i="11" s="1"/>
  <c r="I79" i="11"/>
  <c r="M79" i="11"/>
  <c r="H80" i="11"/>
  <c r="F80" i="11" s="1"/>
  <c r="I80" i="11"/>
  <c r="G80" i="11" s="1"/>
  <c r="L80" i="11"/>
  <c r="F81" i="11"/>
  <c r="G81" i="11"/>
  <c r="H81" i="11"/>
  <c r="I81" i="11"/>
  <c r="L81" i="11"/>
  <c r="M81" i="11"/>
  <c r="D82" i="11"/>
  <c r="E82" i="11"/>
  <c r="E84" i="12" s="1"/>
  <c r="K82" i="11"/>
  <c r="A5" i="23"/>
  <c r="AD8" i="23"/>
  <c r="F11" i="23"/>
  <c r="D11" i="23" s="1"/>
  <c r="G11" i="23"/>
  <c r="E11" i="23" s="1"/>
  <c r="H11" i="23"/>
  <c r="I11" i="23"/>
  <c r="J11" i="23"/>
  <c r="J16" i="23" s="1"/>
  <c r="K11" i="23"/>
  <c r="L11" i="23"/>
  <c r="M11" i="23"/>
  <c r="N11" i="23"/>
  <c r="O11" i="23"/>
  <c r="P11" i="23"/>
  <c r="Q11" i="23"/>
  <c r="R11" i="23"/>
  <c r="R16" i="23" s="1"/>
  <c r="S11" i="23"/>
  <c r="T11" i="23"/>
  <c r="U11" i="23"/>
  <c r="V11" i="23"/>
  <c r="W11" i="23"/>
  <c r="X11" i="23"/>
  <c r="Y11" i="23"/>
  <c r="Y11" i="24" s="1"/>
  <c r="Z11" i="23"/>
  <c r="AA11" i="23"/>
  <c r="AA11" i="24" s="1"/>
  <c r="AB11" i="23"/>
  <c r="AC11" i="23"/>
  <c r="AC11" i="24" s="1"/>
  <c r="AD11" i="23"/>
  <c r="AE11" i="23"/>
  <c r="F12" i="23"/>
  <c r="D12" i="23" s="1"/>
  <c r="F12" i="35" s="1"/>
  <c r="H12" i="35" s="1"/>
  <c r="G12" i="23"/>
  <c r="E12" i="23" s="1"/>
  <c r="H12" i="23"/>
  <c r="I12" i="23"/>
  <c r="J12" i="23"/>
  <c r="K12" i="23"/>
  <c r="L12" i="23"/>
  <c r="M12" i="23"/>
  <c r="N12" i="23"/>
  <c r="N16" i="23" s="1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F13" i="23"/>
  <c r="G13" i="23"/>
  <c r="E13" i="23" s="1"/>
  <c r="G13" i="35" s="1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F14" i="35" s="1"/>
  <c r="H14" i="35" s="1"/>
  <c r="F14" i="23"/>
  <c r="G14" i="23"/>
  <c r="E14" i="23" s="1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D16" i="23" s="1"/>
  <c r="AE14" i="23"/>
  <c r="F15" i="23"/>
  <c r="G15" i="23"/>
  <c r="G16" i="23" s="1"/>
  <c r="H15" i="23"/>
  <c r="I15" i="23"/>
  <c r="J15" i="23"/>
  <c r="K15" i="23"/>
  <c r="L15" i="23"/>
  <c r="M15" i="23"/>
  <c r="N15" i="23"/>
  <c r="O15" i="23"/>
  <c r="O16" i="23" s="1"/>
  <c r="P15" i="23"/>
  <c r="Q15" i="23"/>
  <c r="R15" i="23"/>
  <c r="S15" i="23"/>
  <c r="T15" i="23"/>
  <c r="U15" i="23"/>
  <c r="V15" i="23"/>
  <c r="W15" i="23"/>
  <c r="W16" i="23" s="1"/>
  <c r="X15" i="23"/>
  <c r="Y15" i="23"/>
  <c r="Z15" i="23"/>
  <c r="AA15" i="23"/>
  <c r="AB15" i="23"/>
  <c r="AC15" i="23"/>
  <c r="AD15" i="23"/>
  <c r="AE15" i="23"/>
  <c r="AE16" i="23" s="1"/>
  <c r="I16" i="23"/>
  <c r="K16" i="23"/>
  <c r="L16" i="23"/>
  <c r="M16" i="23"/>
  <c r="Q16" i="23"/>
  <c r="S16" i="23"/>
  <c r="T16" i="23"/>
  <c r="U16" i="23"/>
  <c r="V16" i="23"/>
  <c r="Y16" i="23"/>
  <c r="AA16" i="23"/>
  <c r="AB16" i="23"/>
  <c r="AC16" i="23"/>
  <c r="F19" i="23"/>
  <c r="G19" i="23"/>
  <c r="E19" i="23" s="1"/>
  <c r="H19" i="23"/>
  <c r="H24" i="23" s="1"/>
  <c r="I19" i="23"/>
  <c r="J19" i="23"/>
  <c r="K19" i="23"/>
  <c r="L19" i="23"/>
  <c r="M19" i="23"/>
  <c r="N19" i="23"/>
  <c r="O19" i="23"/>
  <c r="P19" i="23"/>
  <c r="P24" i="23" s="1"/>
  <c r="Q19" i="23"/>
  <c r="R19" i="23"/>
  <c r="S19" i="23"/>
  <c r="T19" i="23"/>
  <c r="U19" i="23"/>
  <c r="V19" i="23"/>
  <c r="W19" i="23"/>
  <c r="X19" i="23"/>
  <c r="X24" i="23" s="1"/>
  <c r="Y19" i="23"/>
  <c r="Z19" i="23"/>
  <c r="AA19" i="23"/>
  <c r="AA19" i="24" s="1"/>
  <c r="AB19" i="23"/>
  <c r="AB19" i="24" s="1"/>
  <c r="AC19" i="23"/>
  <c r="AC19" i="24" s="1"/>
  <c r="AD19" i="23"/>
  <c r="AE19" i="23"/>
  <c r="D20" i="23"/>
  <c r="F20" i="35" s="1"/>
  <c r="H20" i="35" s="1"/>
  <c r="F20" i="23"/>
  <c r="F24" i="23" s="1"/>
  <c r="G20" i="23"/>
  <c r="E20" i="23" s="1"/>
  <c r="H20" i="23"/>
  <c r="I20" i="23"/>
  <c r="J20" i="23"/>
  <c r="K20" i="23"/>
  <c r="L20" i="23"/>
  <c r="M20" i="23"/>
  <c r="N20" i="23"/>
  <c r="O20" i="23"/>
  <c r="O20" i="24" s="1"/>
  <c r="P20" i="23"/>
  <c r="Q20" i="23"/>
  <c r="Q20" i="24" s="1"/>
  <c r="R20" i="23"/>
  <c r="S20" i="23"/>
  <c r="S20" i="24" s="1"/>
  <c r="T20" i="23"/>
  <c r="U20" i="23"/>
  <c r="U20" i="24" s="1"/>
  <c r="V20" i="23"/>
  <c r="V24" i="23" s="1"/>
  <c r="W20" i="23"/>
  <c r="W20" i="24" s="1"/>
  <c r="X20" i="23"/>
  <c r="Y20" i="23"/>
  <c r="Z20" i="23"/>
  <c r="AA20" i="23"/>
  <c r="AB20" i="23"/>
  <c r="AC20" i="23"/>
  <c r="AD20" i="23"/>
  <c r="AD24" i="23" s="1"/>
  <c r="AE20" i="23"/>
  <c r="F21" i="23"/>
  <c r="G21" i="23"/>
  <c r="E21" i="23" s="1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F22" i="23"/>
  <c r="G22" i="23"/>
  <c r="E22" i="23" s="1"/>
  <c r="H22" i="23"/>
  <c r="I22" i="23"/>
  <c r="J22" i="23"/>
  <c r="K22" i="23"/>
  <c r="L22" i="23"/>
  <c r="D22" i="23" s="1"/>
  <c r="F22" i="35" s="1"/>
  <c r="H22" i="35" s="1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B24" i="23" s="1"/>
  <c r="AC22" i="23"/>
  <c r="AD22" i="23"/>
  <c r="AE22" i="23"/>
  <c r="F23" i="23"/>
  <c r="D23" i="23" s="1"/>
  <c r="F23" i="35" s="1"/>
  <c r="H23" i="35" s="1"/>
  <c r="G23" i="23"/>
  <c r="E23" i="23" s="1"/>
  <c r="G23" i="35" s="1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Z23" i="24" s="1"/>
  <c r="AA23" i="23"/>
  <c r="AA23" i="24" s="1"/>
  <c r="AB23" i="23"/>
  <c r="AB23" i="24" s="1"/>
  <c r="AC23" i="23"/>
  <c r="AC23" i="24" s="1"/>
  <c r="AD23" i="23"/>
  <c r="AE23" i="23"/>
  <c r="G24" i="23"/>
  <c r="I24" i="23"/>
  <c r="I82" i="23" s="1"/>
  <c r="K24" i="23"/>
  <c r="M24" i="23"/>
  <c r="N24" i="23"/>
  <c r="O24" i="23"/>
  <c r="Q24" i="23"/>
  <c r="S24" i="23"/>
  <c r="T24" i="23"/>
  <c r="U24" i="23"/>
  <c r="W24" i="23"/>
  <c r="Y24" i="23"/>
  <c r="Y82" i="23" s="1"/>
  <c r="W641" i="44" s="1"/>
  <c r="AA24" i="23"/>
  <c r="AC24" i="23"/>
  <c r="AE24" i="23"/>
  <c r="F27" i="23"/>
  <c r="G27" i="23"/>
  <c r="E27" i="23" s="1"/>
  <c r="E29" i="23" s="1"/>
  <c r="H27" i="23"/>
  <c r="H29" i="23" s="1"/>
  <c r="I27" i="23"/>
  <c r="J27" i="23"/>
  <c r="K27" i="23"/>
  <c r="L27" i="23"/>
  <c r="M27" i="23"/>
  <c r="N27" i="23"/>
  <c r="O27" i="23"/>
  <c r="P27" i="23"/>
  <c r="P29" i="23" s="1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F28" i="23"/>
  <c r="F29" i="23" s="1"/>
  <c r="G28" i="23"/>
  <c r="E28" i="23" s="1"/>
  <c r="H28" i="23"/>
  <c r="I28" i="23"/>
  <c r="J28" i="23"/>
  <c r="K28" i="23"/>
  <c r="L28" i="23"/>
  <c r="M28" i="23"/>
  <c r="N28" i="23"/>
  <c r="N29" i="23" s="1"/>
  <c r="O28" i="23"/>
  <c r="P28" i="23"/>
  <c r="Q28" i="23"/>
  <c r="R28" i="23"/>
  <c r="S28" i="23"/>
  <c r="T28" i="23"/>
  <c r="T29" i="23" s="1"/>
  <c r="U28" i="23"/>
  <c r="V28" i="23"/>
  <c r="V29" i="23" s="1"/>
  <c r="W28" i="23"/>
  <c r="X28" i="23"/>
  <c r="Y28" i="23"/>
  <c r="Z28" i="23"/>
  <c r="AA28" i="23"/>
  <c r="AB28" i="23"/>
  <c r="AB29" i="23" s="1"/>
  <c r="AC28" i="23"/>
  <c r="AD28" i="23"/>
  <c r="AD29" i="23" s="1"/>
  <c r="AE28" i="23"/>
  <c r="G29" i="23"/>
  <c r="I29" i="23"/>
  <c r="J29" i="23"/>
  <c r="K29" i="23"/>
  <c r="M29" i="23"/>
  <c r="O29" i="23"/>
  <c r="Q29" i="23"/>
  <c r="R29" i="23"/>
  <c r="S29" i="23"/>
  <c r="U29" i="23"/>
  <c r="W29" i="23"/>
  <c r="X29" i="23"/>
  <c r="Y29" i="23"/>
  <c r="Z29" i="23"/>
  <c r="AA29" i="23"/>
  <c r="AC29" i="23"/>
  <c r="AE29" i="23"/>
  <c r="F32" i="23"/>
  <c r="G32" i="23"/>
  <c r="E32" i="23" s="1"/>
  <c r="G32" i="35" s="1"/>
  <c r="H32" i="23"/>
  <c r="I32" i="23"/>
  <c r="J32" i="23"/>
  <c r="K32" i="23"/>
  <c r="K36" i="23" s="1"/>
  <c r="L32" i="23"/>
  <c r="M32" i="23"/>
  <c r="N32" i="23"/>
  <c r="N36" i="23" s="1"/>
  <c r="O32" i="23"/>
  <c r="O36" i="23" s="1"/>
  <c r="P32" i="23"/>
  <c r="Q32" i="23"/>
  <c r="R32" i="23"/>
  <c r="S32" i="23"/>
  <c r="S36" i="23" s="1"/>
  <c r="T32" i="23"/>
  <c r="U32" i="23"/>
  <c r="V32" i="23"/>
  <c r="W32" i="23"/>
  <c r="W36" i="23" s="1"/>
  <c r="X32" i="23"/>
  <c r="X32" i="24" s="1"/>
  <c r="Y32" i="23"/>
  <c r="Y32" i="24" s="1"/>
  <c r="Z32" i="23"/>
  <c r="Z32" i="24" s="1"/>
  <c r="AA32" i="23"/>
  <c r="AA32" i="24" s="1"/>
  <c r="AD32" i="23"/>
  <c r="AE32" i="23"/>
  <c r="D33" i="23"/>
  <c r="F33" i="35" s="1"/>
  <c r="H33" i="35" s="1"/>
  <c r="F33" i="23"/>
  <c r="G33" i="23"/>
  <c r="H33" i="23"/>
  <c r="I33" i="23"/>
  <c r="E33" i="23" s="1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F34" i="23"/>
  <c r="G34" i="23"/>
  <c r="H34" i="23"/>
  <c r="I34" i="23"/>
  <c r="J34" i="23"/>
  <c r="K34" i="23"/>
  <c r="L34" i="23"/>
  <c r="M34" i="23"/>
  <c r="E34" i="23" s="1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F35" i="23"/>
  <c r="G35" i="23"/>
  <c r="H35" i="23"/>
  <c r="I35" i="23"/>
  <c r="E35" i="23" s="1"/>
  <c r="G35" i="35" s="1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F36" i="23"/>
  <c r="H36" i="23"/>
  <c r="I36" i="23"/>
  <c r="M36" i="23"/>
  <c r="P36" i="23"/>
  <c r="Q36" i="23"/>
  <c r="U36" i="23"/>
  <c r="V36" i="23"/>
  <c r="X36" i="23"/>
  <c r="Y36" i="23"/>
  <c r="AC36" i="23"/>
  <c r="AD36" i="23"/>
  <c r="AE36" i="23"/>
  <c r="F39" i="23"/>
  <c r="G39" i="23"/>
  <c r="H39" i="23"/>
  <c r="I39" i="23"/>
  <c r="E39" i="23" s="1"/>
  <c r="J39" i="23"/>
  <c r="K39" i="23"/>
  <c r="L39" i="23"/>
  <c r="D39" i="23" s="1"/>
  <c r="F39" i="35" s="1"/>
  <c r="H39" i="35" s="1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B43" i="23" s="1"/>
  <c r="AC39" i="23"/>
  <c r="AD39" i="23"/>
  <c r="AE39" i="23"/>
  <c r="F40" i="23"/>
  <c r="F42" i="23" s="1"/>
  <c r="F43" i="23" s="1"/>
  <c r="G40" i="23"/>
  <c r="H40" i="23"/>
  <c r="I40" i="23"/>
  <c r="J40" i="23"/>
  <c r="K40" i="23"/>
  <c r="L40" i="23"/>
  <c r="M40" i="23"/>
  <c r="E40" i="23" s="1"/>
  <c r="N40" i="23"/>
  <c r="N42" i="23" s="1"/>
  <c r="N43" i="23" s="1"/>
  <c r="O40" i="23"/>
  <c r="P40" i="23"/>
  <c r="Q40" i="23"/>
  <c r="R40" i="23"/>
  <c r="S40" i="23"/>
  <c r="T40" i="23"/>
  <c r="U40" i="23"/>
  <c r="V40" i="23"/>
  <c r="V42" i="23" s="1"/>
  <c r="V43" i="23" s="1"/>
  <c r="W40" i="23"/>
  <c r="X40" i="23"/>
  <c r="Y40" i="23"/>
  <c r="Z40" i="23"/>
  <c r="Z40" i="24" s="1"/>
  <c r="AA40" i="23"/>
  <c r="AA40" i="24" s="1"/>
  <c r="AB40" i="23"/>
  <c r="AC40" i="23"/>
  <c r="AD40" i="23"/>
  <c r="AE40" i="23"/>
  <c r="F41" i="23"/>
  <c r="G41" i="23"/>
  <c r="H41" i="23"/>
  <c r="I41" i="23"/>
  <c r="E41" i="23" s="1"/>
  <c r="G41" i="35" s="1"/>
  <c r="J41" i="23"/>
  <c r="K41" i="23"/>
  <c r="L41" i="23"/>
  <c r="L42" i="23" s="1"/>
  <c r="M41" i="23"/>
  <c r="N41" i="23"/>
  <c r="O41" i="23"/>
  <c r="P41" i="23"/>
  <c r="Q41" i="23"/>
  <c r="R41" i="23"/>
  <c r="R42" i="23" s="1"/>
  <c r="R43" i="23" s="1"/>
  <c r="S41" i="23"/>
  <c r="T41" i="23"/>
  <c r="T42" i="23" s="1"/>
  <c r="U41" i="23"/>
  <c r="V41" i="23"/>
  <c r="W41" i="23"/>
  <c r="X41" i="23"/>
  <c r="Y41" i="23"/>
  <c r="Z41" i="23"/>
  <c r="Z42" i="23" s="1"/>
  <c r="Z43" i="23" s="1"/>
  <c r="AA41" i="23"/>
  <c r="AB41" i="23"/>
  <c r="AB42" i="23" s="1"/>
  <c r="AC41" i="23"/>
  <c r="AD41" i="23"/>
  <c r="AE41" i="23"/>
  <c r="G42" i="23"/>
  <c r="H42" i="23"/>
  <c r="H43" i="23" s="1"/>
  <c r="I42" i="23"/>
  <c r="K42" i="23"/>
  <c r="M42" i="23"/>
  <c r="O42" i="23"/>
  <c r="P42" i="23"/>
  <c r="P43" i="23" s="1"/>
  <c r="Q42" i="23"/>
  <c r="S42" i="23"/>
  <c r="U42" i="23"/>
  <c r="W42" i="23"/>
  <c r="X42" i="23"/>
  <c r="X43" i="23" s="1"/>
  <c r="Y42" i="23"/>
  <c r="AA42" i="23"/>
  <c r="AC42" i="23"/>
  <c r="AD42" i="23"/>
  <c r="AD43" i="23" s="1"/>
  <c r="AE42" i="23"/>
  <c r="G43" i="23"/>
  <c r="I43" i="23"/>
  <c r="K43" i="23"/>
  <c r="M43" i="23"/>
  <c r="O43" i="23"/>
  <c r="Q43" i="23"/>
  <c r="S43" i="23"/>
  <c r="T43" i="23"/>
  <c r="U43" i="23"/>
  <c r="W43" i="23"/>
  <c r="Y43" i="23"/>
  <c r="AA43" i="23"/>
  <c r="AC43" i="23"/>
  <c r="AE43" i="23"/>
  <c r="F45" i="23"/>
  <c r="G45" i="23"/>
  <c r="H45" i="23"/>
  <c r="I45" i="23"/>
  <c r="J45" i="23"/>
  <c r="K45" i="23"/>
  <c r="L45" i="23"/>
  <c r="M45" i="23"/>
  <c r="E45" i="23" s="1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F47" i="23"/>
  <c r="G47" i="23"/>
  <c r="H47" i="23"/>
  <c r="I47" i="23"/>
  <c r="E47" i="23" s="1"/>
  <c r="G47" i="35" s="1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F49" i="23"/>
  <c r="G49" i="23"/>
  <c r="H49" i="23"/>
  <c r="I49" i="23"/>
  <c r="J49" i="23"/>
  <c r="K49" i="23"/>
  <c r="L49" i="23"/>
  <c r="M49" i="23"/>
  <c r="E49" i="23" s="1"/>
  <c r="N49" i="23"/>
  <c r="O49" i="23"/>
  <c r="P49" i="23"/>
  <c r="Q49" i="23"/>
  <c r="R49" i="23"/>
  <c r="S49" i="23"/>
  <c r="T49" i="23"/>
  <c r="U49" i="23"/>
  <c r="V49" i="23"/>
  <c r="W49" i="23"/>
  <c r="X49" i="23"/>
  <c r="X49" i="24" s="1"/>
  <c r="Y49" i="23"/>
  <c r="Y49" i="24" s="1"/>
  <c r="Z49" i="23"/>
  <c r="Z49" i="24" s="1"/>
  <c r="AA49" i="23"/>
  <c r="AA49" i="24" s="1"/>
  <c r="AD49" i="23"/>
  <c r="AE49" i="23"/>
  <c r="F51" i="23"/>
  <c r="D51" i="23" s="1"/>
  <c r="F51" i="35" s="1"/>
  <c r="H51" i="35" s="1"/>
  <c r="G51" i="23"/>
  <c r="E51" i="23" s="1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Z51" i="24" s="1"/>
  <c r="AA51" i="23"/>
  <c r="AA51" i="24" s="1"/>
  <c r="AB51" i="23"/>
  <c r="AB51" i="24" s="1"/>
  <c r="AC51" i="23"/>
  <c r="AC51" i="24" s="1"/>
  <c r="AD51" i="23"/>
  <c r="AE51" i="23"/>
  <c r="F54" i="23"/>
  <c r="G54" i="23"/>
  <c r="E54" i="23" s="1"/>
  <c r="E56" i="23" s="1"/>
  <c r="H54" i="23"/>
  <c r="H56" i="23" s="1"/>
  <c r="I54" i="23"/>
  <c r="J54" i="23"/>
  <c r="K54" i="23"/>
  <c r="L54" i="23"/>
  <c r="M54" i="23"/>
  <c r="N54" i="23"/>
  <c r="O54" i="23"/>
  <c r="P54" i="23"/>
  <c r="P56" i="23" s="1"/>
  <c r="Q54" i="23"/>
  <c r="R54" i="23"/>
  <c r="S54" i="23"/>
  <c r="T54" i="23"/>
  <c r="U54" i="23"/>
  <c r="V54" i="23"/>
  <c r="W54" i="23"/>
  <c r="X54" i="23"/>
  <c r="Y54" i="23"/>
  <c r="Y54" i="24" s="1"/>
  <c r="Z54" i="23"/>
  <c r="Z54" i="24" s="1"/>
  <c r="AA54" i="23"/>
  <c r="AA54" i="24" s="1"/>
  <c r="AB54" i="23"/>
  <c r="AB54" i="24" s="1"/>
  <c r="AC54" i="23"/>
  <c r="AC54" i="24" s="1"/>
  <c r="AD54" i="23"/>
  <c r="AE54" i="23"/>
  <c r="D55" i="23"/>
  <c r="F55" i="23"/>
  <c r="F56" i="23" s="1"/>
  <c r="G55" i="23"/>
  <c r="E55" i="23" s="1"/>
  <c r="G55" i="35" s="1"/>
  <c r="H55" i="23"/>
  <c r="I55" i="23"/>
  <c r="J55" i="23"/>
  <c r="K55" i="23"/>
  <c r="K56" i="23" s="1"/>
  <c r="L55" i="23"/>
  <c r="L56" i="23" s="1"/>
  <c r="M55" i="23"/>
  <c r="N55" i="23"/>
  <c r="N56" i="23" s="1"/>
  <c r="O55" i="23"/>
  <c r="P55" i="23"/>
  <c r="Q55" i="23"/>
  <c r="R55" i="23"/>
  <c r="S55" i="23"/>
  <c r="S56" i="23" s="1"/>
  <c r="T55" i="23"/>
  <c r="T56" i="23" s="1"/>
  <c r="U55" i="23"/>
  <c r="V55" i="23"/>
  <c r="V56" i="23" s="1"/>
  <c r="W55" i="23"/>
  <c r="X55" i="23"/>
  <c r="Y55" i="23"/>
  <c r="Y55" i="24" s="1"/>
  <c r="Z55" i="23"/>
  <c r="AA55" i="23"/>
  <c r="AA55" i="24" s="1"/>
  <c r="AB55" i="23"/>
  <c r="AB56" i="23" s="1"/>
  <c r="AC55" i="23"/>
  <c r="AC55" i="24" s="1"/>
  <c r="AD55" i="23"/>
  <c r="AD56" i="23" s="1"/>
  <c r="AE55" i="23"/>
  <c r="G56" i="23"/>
  <c r="I56" i="23"/>
  <c r="J56" i="23"/>
  <c r="M56" i="23"/>
  <c r="O56" i="23"/>
  <c r="Q56" i="23"/>
  <c r="R56" i="23"/>
  <c r="U56" i="23"/>
  <c r="W56" i="23"/>
  <c r="Y56" i="23"/>
  <c r="Z56" i="23"/>
  <c r="AC56" i="23"/>
  <c r="AE56" i="23"/>
  <c r="F59" i="23"/>
  <c r="D59" i="23" s="1"/>
  <c r="F59" i="35" s="1"/>
  <c r="G59" i="23"/>
  <c r="E59" i="23" s="1"/>
  <c r="H59" i="23"/>
  <c r="I59" i="23"/>
  <c r="J59" i="23"/>
  <c r="K59" i="23"/>
  <c r="L59" i="23"/>
  <c r="M59" i="23"/>
  <c r="N59" i="23"/>
  <c r="N61" i="23" s="1"/>
  <c r="O59" i="23"/>
  <c r="P59" i="23"/>
  <c r="Q59" i="23"/>
  <c r="R59" i="23"/>
  <c r="S59" i="23"/>
  <c r="T59" i="23"/>
  <c r="U59" i="23"/>
  <c r="V59" i="23"/>
  <c r="V61" i="23" s="1"/>
  <c r="W59" i="23"/>
  <c r="X59" i="23"/>
  <c r="Y59" i="23"/>
  <c r="Z59" i="23"/>
  <c r="AA59" i="23"/>
  <c r="AB59" i="23"/>
  <c r="AC59" i="23"/>
  <c r="AD59" i="23"/>
  <c r="AE59" i="23"/>
  <c r="F60" i="23"/>
  <c r="G60" i="23"/>
  <c r="G61" i="23" s="1"/>
  <c r="H60" i="23"/>
  <c r="H61" i="23" s="1"/>
  <c r="I60" i="23"/>
  <c r="J60" i="23"/>
  <c r="J61" i="23" s="1"/>
  <c r="K60" i="23"/>
  <c r="L60" i="23"/>
  <c r="M60" i="23"/>
  <c r="N60" i="23"/>
  <c r="O60" i="23"/>
  <c r="O61" i="23" s="1"/>
  <c r="P60" i="23"/>
  <c r="P61" i="23" s="1"/>
  <c r="Q60" i="23"/>
  <c r="R60" i="23"/>
  <c r="R61" i="23" s="1"/>
  <c r="S60" i="23"/>
  <c r="T60" i="23"/>
  <c r="U60" i="23"/>
  <c r="V60" i="23"/>
  <c r="W60" i="23"/>
  <c r="W61" i="23" s="1"/>
  <c r="X60" i="23"/>
  <c r="X61" i="23" s="1"/>
  <c r="Y60" i="23"/>
  <c r="Z60" i="23"/>
  <c r="Z61" i="23" s="1"/>
  <c r="AA60" i="23"/>
  <c r="AB60" i="23"/>
  <c r="AC60" i="23"/>
  <c r="AD60" i="23"/>
  <c r="AE60" i="23"/>
  <c r="AE61" i="23" s="1"/>
  <c r="F61" i="23"/>
  <c r="I61" i="23"/>
  <c r="K61" i="23"/>
  <c r="L61" i="23"/>
  <c r="M61" i="23"/>
  <c r="Q61" i="23"/>
  <c r="S61" i="23"/>
  <c r="T61" i="23"/>
  <c r="U61" i="23"/>
  <c r="Y61" i="23"/>
  <c r="AA61" i="23"/>
  <c r="AB61" i="23"/>
  <c r="AC61" i="23"/>
  <c r="AD61" i="23"/>
  <c r="F64" i="23"/>
  <c r="D64" i="23" s="1"/>
  <c r="G64" i="23"/>
  <c r="E64" i="23" s="1"/>
  <c r="H64" i="23"/>
  <c r="H66" i="23" s="1"/>
  <c r="I64" i="23"/>
  <c r="J64" i="23"/>
  <c r="K64" i="23"/>
  <c r="L64" i="23"/>
  <c r="M64" i="23"/>
  <c r="N64" i="23"/>
  <c r="O64" i="23"/>
  <c r="P64" i="23"/>
  <c r="Q64" i="23"/>
  <c r="R64" i="23"/>
  <c r="R66" i="23" s="1"/>
  <c r="S64" i="23"/>
  <c r="T64" i="23"/>
  <c r="U64" i="23"/>
  <c r="V64" i="23"/>
  <c r="W64" i="23"/>
  <c r="X64" i="23"/>
  <c r="Y64" i="23"/>
  <c r="Z64" i="23"/>
  <c r="Z66" i="23" s="1"/>
  <c r="AA64" i="23"/>
  <c r="AB64" i="23"/>
  <c r="AC64" i="23"/>
  <c r="AD64" i="23"/>
  <c r="AE64" i="23"/>
  <c r="F65" i="23"/>
  <c r="F66" i="23" s="1"/>
  <c r="G65" i="23"/>
  <c r="E65" i="23" s="1"/>
  <c r="H65" i="23"/>
  <c r="I65" i="23"/>
  <c r="J65" i="23"/>
  <c r="K65" i="23"/>
  <c r="K66" i="23" s="1"/>
  <c r="L65" i="23"/>
  <c r="L66" i="23" s="1"/>
  <c r="M65" i="23"/>
  <c r="N65" i="23"/>
  <c r="N66" i="23" s="1"/>
  <c r="O65" i="23"/>
  <c r="P65" i="23"/>
  <c r="Q65" i="23"/>
  <c r="R65" i="23"/>
  <c r="S65" i="23"/>
  <c r="S66" i="23" s="1"/>
  <c r="T65" i="23"/>
  <c r="T66" i="23" s="1"/>
  <c r="U65" i="23"/>
  <c r="V65" i="23"/>
  <c r="V66" i="23" s="1"/>
  <c r="W65" i="23"/>
  <c r="X65" i="23"/>
  <c r="Y65" i="23"/>
  <c r="Z65" i="23"/>
  <c r="AA65" i="23"/>
  <c r="AA66" i="23" s="1"/>
  <c r="AB65" i="23"/>
  <c r="AB66" i="23" s="1"/>
  <c r="AC65" i="23"/>
  <c r="AD65" i="23"/>
  <c r="AD66" i="23" s="1"/>
  <c r="AE65" i="23"/>
  <c r="G66" i="23"/>
  <c r="I66" i="23"/>
  <c r="J66" i="23"/>
  <c r="M66" i="23"/>
  <c r="O66" i="23"/>
  <c r="P66" i="23"/>
  <c r="Q66" i="23"/>
  <c r="U66" i="23"/>
  <c r="W66" i="23"/>
  <c r="X66" i="23"/>
  <c r="Y66" i="23"/>
  <c r="AC66" i="23"/>
  <c r="AE66" i="23"/>
  <c r="F70" i="23"/>
  <c r="G70" i="23"/>
  <c r="E70" i="23" s="1"/>
  <c r="H70" i="23"/>
  <c r="I70" i="23"/>
  <c r="J70" i="23"/>
  <c r="K70" i="23"/>
  <c r="K70" i="24" s="1"/>
  <c r="L70" i="23"/>
  <c r="D70" i="23" s="1"/>
  <c r="M70" i="23"/>
  <c r="N70" i="23"/>
  <c r="O70" i="23"/>
  <c r="P70" i="23"/>
  <c r="Q70" i="23"/>
  <c r="R70" i="23"/>
  <c r="S70" i="23"/>
  <c r="T70" i="23"/>
  <c r="T72" i="23" s="1"/>
  <c r="U70" i="23"/>
  <c r="V70" i="23"/>
  <c r="W70" i="23"/>
  <c r="X70" i="23"/>
  <c r="Y70" i="23"/>
  <c r="Z70" i="23"/>
  <c r="AA70" i="23"/>
  <c r="AB70" i="23"/>
  <c r="AC70" i="23"/>
  <c r="AD70" i="23"/>
  <c r="AE70" i="23"/>
  <c r="F71" i="23"/>
  <c r="D71" i="23" s="1"/>
  <c r="F71" i="35" s="1"/>
  <c r="G71" i="23"/>
  <c r="G72" i="23" s="1"/>
  <c r="H71" i="23"/>
  <c r="H72" i="23" s="1"/>
  <c r="I71" i="23"/>
  <c r="J71" i="23"/>
  <c r="J72" i="23" s="1"/>
  <c r="K71" i="23"/>
  <c r="L71" i="23"/>
  <c r="M71" i="23"/>
  <c r="N71" i="23"/>
  <c r="O71" i="23"/>
  <c r="O72" i="23" s="1"/>
  <c r="P71" i="23"/>
  <c r="P72" i="23" s="1"/>
  <c r="Q71" i="23"/>
  <c r="R71" i="23"/>
  <c r="R72" i="23" s="1"/>
  <c r="S71" i="23"/>
  <c r="T71" i="23"/>
  <c r="U71" i="23"/>
  <c r="V71" i="23"/>
  <c r="W71" i="23"/>
  <c r="W72" i="23" s="1"/>
  <c r="X71" i="23"/>
  <c r="X72" i="23" s="1"/>
  <c r="Y71" i="23"/>
  <c r="Z71" i="23"/>
  <c r="Z72" i="23" s="1"/>
  <c r="AA71" i="23"/>
  <c r="AB71" i="23"/>
  <c r="AC71" i="23"/>
  <c r="AD71" i="23"/>
  <c r="AE71" i="23"/>
  <c r="AE72" i="23" s="1"/>
  <c r="F72" i="23"/>
  <c r="I72" i="23"/>
  <c r="K72" i="23"/>
  <c r="M72" i="23"/>
  <c r="N72" i="23"/>
  <c r="Q72" i="23"/>
  <c r="S72" i="23"/>
  <c r="U72" i="23"/>
  <c r="V72" i="23"/>
  <c r="Y72" i="23"/>
  <c r="AA72" i="23"/>
  <c r="AB72" i="23"/>
  <c r="AC72" i="23"/>
  <c r="AD72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F74" i="23"/>
  <c r="G74" i="23"/>
  <c r="E74" i="23" s="1"/>
  <c r="G74" i="35" s="1"/>
  <c r="I74" i="35" s="1"/>
  <c r="H74" i="23"/>
  <c r="I74" i="23"/>
  <c r="J74" i="23"/>
  <c r="K74" i="23"/>
  <c r="K74" i="24" s="1"/>
  <c r="L74" i="23"/>
  <c r="D74" i="23" s="1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F75" i="23"/>
  <c r="D75" i="23" s="1"/>
  <c r="F75" i="35" s="1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F76" i="23"/>
  <c r="D76" i="23" s="1"/>
  <c r="F76" i="35" s="1"/>
  <c r="H76" i="35" s="1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F78" i="35" s="1"/>
  <c r="H78" i="35" s="1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F81" i="23"/>
  <c r="D81" i="23" s="1"/>
  <c r="F81" i="35" s="1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M82" i="23"/>
  <c r="K641" i="44" s="1"/>
  <c r="O82" i="23"/>
  <c r="M641" i="44" s="1"/>
  <c r="U82" i="23"/>
  <c r="S641" i="44" s="1"/>
  <c r="AC82" i="23"/>
  <c r="AA641" i="44" s="1"/>
  <c r="A4" i="35"/>
  <c r="A5" i="35"/>
  <c r="D11" i="35"/>
  <c r="E11" i="35"/>
  <c r="G11" i="35"/>
  <c r="D12" i="35"/>
  <c r="G12" i="35"/>
  <c r="E13" i="35"/>
  <c r="I13" i="35"/>
  <c r="D14" i="35"/>
  <c r="G14" i="35"/>
  <c r="D15" i="35"/>
  <c r="E15" i="35"/>
  <c r="D19" i="35"/>
  <c r="E19" i="35"/>
  <c r="D20" i="35"/>
  <c r="E20" i="35"/>
  <c r="G20" i="35"/>
  <c r="I20" i="35" s="1"/>
  <c r="E21" i="35"/>
  <c r="G21" i="35"/>
  <c r="I21" i="35" s="1"/>
  <c r="D22" i="35"/>
  <c r="G22" i="35"/>
  <c r="D23" i="35"/>
  <c r="E23" i="35"/>
  <c r="I23" i="35"/>
  <c r="E27" i="35"/>
  <c r="G27" i="35"/>
  <c r="E28" i="35"/>
  <c r="G28" i="35"/>
  <c r="I28" i="35" s="1"/>
  <c r="E29" i="35"/>
  <c r="D32" i="35"/>
  <c r="D33" i="35"/>
  <c r="E33" i="35"/>
  <c r="G33" i="35"/>
  <c r="I33" i="35" s="1"/>
  <c r="G34" i="35"/>
  <c r="I34" i="35" s="1"/>
  <c r="E35" i="35"/>
  <c r="F35" i="35"/>
  <c r="H35" i="35" s="1"/>
  <c r="I35" i="35"/>
  <c r="G39" i="35"/>
  <c r="I39" i="35" s="1"/>
  <c r="D40" i="35"/>
  <c r="E40" i="35"/>
  <c r="D45" i="35"/>
  <c r="E45" i="35"/>
  <c r="G45" i="35"/>
  <c r="I45" i="35" s="1"/>
  <c r="F47" i="35"/>
  <c r="I47" i="35"/>
  <c r="D49" i="35"/>
  <c r="E49" i="35"/>
  <c r="G49" i="35"/>
  <c r="I49" i="35" s="1"/>
  <c r="G51" i="35"/>
  <c r="D54" i="35"/>
  <c r="E54" i="35"/>
  <c r="G54" i="35"/>
  <c r="I54" i="35" s="1"/>
  <c r="I56" i="35" s="1"/>
  <c r="E55" i="35"/>
  <c r="F55" i="35"/>
  <c r="H55" i="35" s="1"/>
  <c r="I55" i="35"/>
  <c r="E56" i="35"/>
  <c r="G56" i="35"/>
  <c r="E59" i="35"/>
  <c r="G59" i="35"/>
  <c r="I59" i="35" s="1"/>
  <c r="D60" i="35"/>
  <c r="D64" i="35"/>
  <c r="E64" i="35"/>
  <c r="G64" i="35"/>
  <c r="I64" i="35" s="1"/>
  <c r="E65" i="35"/>
  <c r="G65" i="35"/>
  <c r="D70" i="35"/>
  <c r="D72" i="35" s="1"/>
  <c r="E70" i="35"/>
  <c r="D71" i="35"/>
  <c r="H71" i="35"/>
  <c r="D73" i="35"/>
  <c r="E73" i="35"/>
  <c r="E74" i="35"/>
  <c r="F74" i="35"/>
  <c r="H74" i="35" s="1"/>
  <c r="E75" i="35"/>
  <c r="D76" i="35"/>
  <c r="D77" i="35"/>
  <c r="E77" i="35"/>
  <c r="D78" i="35"/>
  <c r="E78" i="35"/>
  <c r="E79" i="35"/>
  <c r="D80" i="35"/>
  <c r="F80" i="35"/>
  <c r="H80" i="35" s="1"/>
  <c r="D81" i="35"/>
  <c r="E81" i="35"/>
  <c r="H81" i="35"/>
  <c r="A5" i="19"/>
  <c r="F11" i="19"/>
  <c r="G11" i="19"/>
  <c r="H11" i="19"/>
  <c r="L11" i="19" s="1"/>
  <c r="I11" i="19"/>
  <c r="M11" i="19"/>
  <c r="F12" i="19"/>
  <c r="H12" i="19"/>
  <c r="I12" i="19"/>
  <c r="L12" i="19"/>
  <c r="D12" i="43" s="1"/>
  <c r="H13" i="19"/>
  <c r="F13" i="19" s="1"/>
  <c r="I13" i="19"/>
  <c r="G13" i="19" s="1"/>
  <c r="F14" i="19"/>
  <c r="G14" i="19"/>
  <c r="H14" i="19"/>
  <c r="I14" i="19"/>
  <c r="L14" i="19"/>
  <c r="M14" i="19"/>
  <c r="H15" i="19"/>
  <c r="I15" i="19"/>
  <c r="J16" i="19"/>
  <c r="K16" i="19"/>
  <c r="H18" i="19"/>
  <c r="I18" i="19"/>
  <c r="F19" i="19"/>
  <c r="G19" i="19"/>
  <c r="H19" i="19"/>
  <c r="L19" i="19" s="1"/>
  <c r="I19" i="19"/>
  <c r="I24" i="19" s="1"/>
  <c r="M19" i="19"/>
  <c r="F20" i="19"/>
  <c r="H20" i="19"/>
  <c r="I20" i="19"/>
  <c r="G20" i="19" s="1"/>
  <c r="L20" i="19"/>
  <c r="H21" i="19"/>
  <c r="H24" i="19" s="1"/>
  <c r="I21" i="19"/>
  <c r="F22" i="19"/>
  <c r="G22" i="19"/>
  <c r="H22" i="19"/>
  <c r="I22" i="19"/>
  <c r="L22" i="19"/>
  <c r="D22" i="43" s="1"/>
  <c r="M22" i="19"/>
  <c r="E22" i="43" s="1"/>
  <c r="H23" i="19"/>
  <c r="L23" i="19" s="1"/>
  <c r="I23" i="19"/>
  <c r="G23" i="19" s="1"/>
  <c r="J24" i="19"/>
  <c r="K24" i="19"/>
  <c r="H27" i="19"/>
  <c r="I27" i="19"/>
  <c r="G28" i="19"/>
  <c r="H28" i="19"/>
  <c r="F28" i="19" s="1"/>
  <c r="I28" i="19"/>
  <c r="M28" i="19"/>
  <c r="E28" i="43" s="1"/>
  <c r="J29" i="19"/>
  <c r="K29" i="19"/>
  <c r="F32" i="19"/>
  <c r="G32" i="19"/>
  <c r="H32" i="19"/>
  <c r="I32" i="19"/>
  <c r="L32" i="19"/>
  <c r="M32" i="19"/>
  <c r="H33" i="19"/>
  <c r="I33" i="19"/>
  <c r="I36" i="19" s="1"/>
  <c r="G34" i="19"/>
  <c r="H34" i="19"/>
  <c r="F34" i="19" s="1"/>
  <c r="I34" i="19"/>
  <c r="M34" i="19"/>
  <c r="E34" i="43" s="1"/>
  <c r="G35" i="19"/>
  <c r="H35" i="19"/>
  <c r="F35" i="19" s="1"/>
  <c r="I35" i="19"/>
  <c r="L35" i="19"/>
  <c r="M35" i="19"/>
  <c r="J36" i="19"/>
  <c r="K36" i="19"/>
  <c r="L37" i="19"/>
  <c r="M37" i="19"/>
  <c r="H38" i="19"/>
  <c r="I38" i="19"/>
  <c r="F39" i="19"/>
  <c r="H39" i="19"/>
  <c r="I39" i="19"/>
  <c r="G39" i="19" s="1"/>
  <c r="L39" i="19"/>
  <c r="H40" i="19"/>
  <c r="I40" i="19"/>
  <c r="F41" i="19"/>
  <c r="G41" i="19"/>
  <c r="H41" i="19"/>
  <c r="I41" i="19"/>
  <c r="L41" i="19"/>
  <c r="D41" i="43" s="1"/>
  <c r="M41" i="19"/>
  <c r="E41" i="43" s="1"/>
  <c r="J42" i="19"/>
  <c r="K42" i="19"/>
  <c r="J43" i="19"/>
  <c r="K43" i="19"/>
  <c r="H45" i="19"/>
  <c r="L45" i="19" s="1"/>
  <c r="I45" i="19"/>
  <c r="G45" i="19" s="1"/>
  <c r="G47" i="19"/>
  <c r="H47" i="19"/>
  <c r="I47" i="19"/>
  <c r="M47" i="19"/>
  <c r="G49" i="19"/>
  <c r="H49" i="19"/>
  <c r="F49" i="19" s="1"/>
  <c r="I49" i="19"/>
  <c r="L49" i="19"/>
  <c r="D49" i="43" s="1"/>
  <c r="M49" i="19"/>
  <c r="E49" i="43" s="1"/>
  <c r="F51" i="19"/>
  <c r="H51" i="19"/>
  <c r="I51" i="19"/>
  <c r="G51" i="19" s="1"/>
  <c r="L51" i="19"/>
  <c r="F54" i="19"/>
  <c r="F56" i="19" s="1"/>
  <c r="G54" i="19"/>
  <c r="H54" i="19"/>
  <c r="L54" i="19" s="1"/>
  <c r="I54" i="19"/>
  <c r="M54" i="19"/>
  <c r="F55" i="19"/>
  <c r="H55" i="19"/>
  <c r="I55" i="19"/>
  <c r="L55" i="19"/>
  <c r="L56" i="19" s="1"/>
  <c r="H56" i="19"/>
  <c r="J56" i="19"/>
  <c r="K56" i="19"/>
  <c r="H59" i="19"/>
  <c r="F59" i="19" s="1"/>
  <c r="I59" i="19"/>
  <c r="G59" i="19" s="1"/>
  <c r="L59" i="19"/>
  <c r="L61" i="19" s="1"/>
  <c r="F60" i="19"/>
  <c r="G60" i="19"/>
  <c r="H60" i="19"/>
  <c r="I60" i="19"/>
  <c r="L60" i="19"/>
  <c r="M60" i="19"/>
  <c r="F61" i="19"/>
  <c r="H61" i="19"/>
  <c r="I61" i="19"/>
  <c r="J61" i="19"/>
  <c r="K61" i="19"/>
  <c r="F64" i="19"/>
  <c r="H64" i="19"/>
  <c r="L64" i="19" s="1"/>
  <c r="I64" i="19"/>
  <c r="M64" i="19"/>
  <c r="H65" i="19"/>
  <c r="F65" i="19" s="1"/>
  <c r="I65" i="19"/>
  <c r="G65" i="19" s="1"/>
  <c r="H66" i="19"/>
  <c r="J66" i="19"/>
  <c r="K66" i="19"/>
  <c r="L69" i="19"/>
  <c r="M69" i="19"/>
  <c r="F70" i="19"/>
  <c r="H70" i="19"/>
  <c r="I70" i="19"/>
  <c r="G70" i="19" s="1"/>
  <c r="L70" i="19"/>
  <c r="H71" i="19"/>
  <c r="I71" i="19"/>
  <c r="J72" i="19"/>
  <c r="K72" i="19"/>
  <c r="F73" i="19"/>
  <c r="G73" i="19"/>
  <c r="H73" i="19"/>
  <c r="I73" i="19"/>
  <c r="L73" i="19"/>
  <c r="M73" i="19"/>
  <c r="E73" i="43" s="1"/>
  <c r="F74" i="19"/>
  <c r="H74" i="19"/>
  <c r="L74" i="19" s="1"/>
  <c r="I74" i="19"/>
  <c r="G74" i="19" s="1"/>
  <c r="H75" i="19"/>
  <c r="I75" i="19"/>
  <c r="G76" i="19"/>
  <c r="H76" i="19"/>
  <c r="F76" i="19" s="1"/>
  <c r="I76" i="19"/>
  <c r="M76" i="19"/>
  <c r="E76" i="43" s="1"/>
  <c r="F77" i="19"/>
  <c r="H77" i="19"/>
  <c r="I77" i="19"/>
  <c r="G77" i="19" s="1"/>
  <c r="L77" i="19"/>
  <c r="G78" i="19"/>
  <c r="H78" i="19"/>
  <c r="I78" i="19"/>
  <c r="M78" i="19"/>
  <c r="F79" i="19"/>
  <c r="G79" i="19"/>
  <c r="H79" i="19"/>
  <c r="I79" i="19"/>
  <c r="L79" i="19"/>
  <c r="D79" i="43" s="1"/>
  <c r="M79" i="19"/>
  <c r="E79" i="43" s="1"/>
  <c r="H80" i="19"/>
  <c r="F80" i="19" s="1"/>
  <c r="I80" i="19"/>
  <c r="G80" i="19" s="1"/>
  <c r="L80" i="19"/>
  <c r="F81" i="19"/>
  <c r="G81" i="19"/>
  <c r="H81" i="19"/>
  <c r="I81" i="19"/>
  <c r="L81" i="19"/>
  <c r="M81" i="19"/>
  <c r="D82" i="19"/>
  <c r="E82" i="19"/>
  <c r="F86" i="19"/>
  <c r="H86" i="19"/>
  <c r="I86" i="19"/>
  <c r="L86" i="19"/>
  <c r="F87" i="19"/>
  <c r="G87" i="19"/>
  <c r="H87" i="19"/>
  <c r="L87" i="19" s="1"/>
  <c r="I87" i="19"/>
  <c r="M87" i="19"/>
  <c r="E87" i="43" s="1"/>
  <c r="F88" i="19"/>
  <c r="H88" i="19"/>
  <c r="I88" i="19"/>
  <c r="G88" i="19" s="1"/>
  <c r="L88" i="19"/>
  <c r="D89" i="19"/>
  <c r="E89" i="19"/>
  <c r="F89" i="19"/>
  <c r="J89" i="19"/>
  <c r="K89" i="19"/>
  <c r="D91" i="19"/>
  <c r="E91" i="19"/>
  <c r="A5" i="31"/>
  <c r="AD8" i="31"/>
  <c r="F11" i="31"/>
  <c r="G11" i="31"/>
  <c r="H11" i="31"/>
  <c r="H16" i="31" s="1"/>
  <c r="H82" i="31" s="1"/>
  <c r="I11" i="31"/>
  <c r="K11" i="31"/>
  <c r="K16" i="31" s="1"/>
  <c r="L11" i="31"/>
  <c r="M11" i="31"/>
  <c r="N11" i="31"/>
  <c r="O11" i="31"/>
  <c r="P11" i="31"/>
  <c r="Q11" i="31"/>
  <c r="Q16" i="31" s="1"/>
  <c r="R11" i="31"/>
  <c r="S11" i="31"/>
  <c r="T11" i="31"/>
  <c r="U11" i="31"/>
  <c r="V11" i="31"/>
  <c r="V16" i="31" s="1"/>
  <c r="W11" i="31"/>
  <c r="F12" i="31"/>
  <c r="G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F13" i="31"/>
  <c r="G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F14" i="31"/>
  <c r="G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F15" i="31"/>
  <c r="G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J16" i="31"/>
  <c r="L16" i="31"/>
  <c r="M16" i="31"/>
  <c r="O16" i="31"/>
  <c r="P16" i="31"/>
  <c r="T16" i="31"/>
  <c r="U16" i="31"/>
  <c r="W16" i="31"/>
  <c r="X16" i="31"/>
  <c r="Y16" i="31"/>
  <c r="Z16" i="31"/>
  <c r="AA16" i="31"/>
  <c r="AB16" i="31"/>
  <c r="AC16" i="31"/>
  <c r="AD16" i="31"/>
  <c r="AE16" i="31"/>
  <c r="D19" i="31"/>
  <c r="F19" i="31"/>
  <c r="G19" i="31"/>
  <c r="H19" i="31"/>
  <c r="H24" i="31" s="1"/>
  <c r="I19" i="31"/>
  <c r="I24" i="31" s="1"/>
  <c r="K19" i="31"/>
  <c r="L19" i="31"/>
  <c r="M19" i="31"/>
  <c r="M24" i="31" s="1"/>
  <c r="N19" i="31"/>
  <c r="O19" i="31"/>
  <c r="P19" i="31"/>
  <c r="Q19" i="31"/>
  <c r="R19" i="31"/>
  <c r="R24" i="31" s="1"/>
  <c r="S19" i="31"/>
  <c r="T19" i="31"/>
  <c r="U19" i="31"/>
  <c r="U24" i="31" s="1"/>
  <c r="V19" i="31"/>
  <c r="W19" i="31"/>
  <c r="F20" i="31"/>
  <c r="G20" i="31"/>
  <c r="L20" i="31"/>
  <c r="M20" i="31"/>
  <c r="N20" i="31"/>
  <c r="O20" i="31"/>
  <c r="O24" i="31" s="1"/>
  <c r="P20" i="31"/>
  <c r="Q20" i="31"/>
  <c r="R20" i="31"/>
  <c r="S20" i="31"/>
  <c r="T20" i="31"/>
  <c r="U20" i="31"/>
  <c r="V20" i="31"/>
  <c r="W20" i="31"/>
  <c r="F21" i="31"/>
  <c r="G21" i="31"/>
  <c r="E21" i="31" s="1"/>
  <c r="G21" i="43" s="1"/>
  <c r="L21" i="31"/>
  <c r="M21" i="31"/>
  <c r="N21" i="31"/>
  <c r="O21" i="31"/>
  <c r="P21" i="31"/>
  <c r="Q21" i="31"/>
  <c r="R21" i="31"/>
  <c r="S21" i="31"/>
  <c r="T21" i="31"/>
  <c r="U21" i="31"/>
  <c r="V21" i="31"/>
  <c r="W21" i="31"/>
  <c r="F22" i="31"/>
  <c r="G22" i="31"/>
  <c r="L22" i="31"/>
  <c r="M22" i="31"/>
  <c r="N22" i="31"/>
  <c r="O22" i="31"/>
  <c r="P22" i="31"/>
  <c r="Q22" i="31"/>
  <c r="E22" i="31" s="1"/>
  <c r="G22" i="43" s="1"/>
  <c r="I22" i="43" s="1"/>
  <c r="R22" i="31"/>
  <c r="S22" i="31"/>
  <c r="T22" i="31"/>
  <c r="U22" i="31"/>
  <c r="V22" i="31"/>
  <c r="W22" i="31"/>
  <c r="F23" i="31"/>
  <c r="G23" i="31"/>
  <c r="L23" i="31"/>
  <c r="M23" i="31"/>
  <c r="N23" i="31"/>
  <c r="O23" i="31"/>
  <c r="P23" i="31"/>
  <c r="Q23" i="31"/>
  <c r="E23" i="31" s="1"/>
  <c r="G23" i="43" s="1"/>
  <c r="R23" i="31"/>
  <c r="S23" i="31"/>
  <c r="T23" i="31"/>
  <c r="U23" i="31"/>
  <c r="V23" i="31"/>
  <c r="W23" i="31"/>
  <c r="F24" i="31"/>
  <c r="G24" i="31"/>
  <c r="J24" i="31"/>
  <c r="K24" i="31"/>
  <c r="P24" i="31"/>
  <c r="S24" i="31"/>
  <c r="X24" i="31"/>
  <c r="Y24" i="31"/>
  <c r="Y82" i="31" s="1"/>
  <c r="Z24" i="31"/>
  <c r="AA24" i="31"/>
  <c r="AB24" i="31"/>
  <c r="AC24" i="31"/>
  <c r="AD24" i="31"/>
  <c r="AE24" i="31"/>
  <c r="F27" i="31"/>
  <c r="G27" i="31"/>
  <c r="L27" i="31"/>
  <c r="M27" i="31"/>
  <c r="N27" i="31"/>
  <c r="N29" i="31" s="1"/>
  <c r="O27" i="31"/>
  <c r="P27" i="31"/>
  <c r="Q27" i="31"/>
  <c r="R27" i="31"/>
  <c r="S27" i="31"/>
  <c r="T27" i="31"/>
  <c r="U27" i="31"/>
  <c r="V27" i="31"/>
  <c r="W27" i="31"/>
  <c r="W29" i="31" s="1"/>
  <c r="F28" i="31"/>
  <c r="G28" i="31"/>
  <c r="L28" i="31"/>
  <c r="M28" i="31"/>
  <c r="N28" i="31"/>
  <c r="O28" i="31"/>
  <c r="P28" i="31"/>
  <c r="D28" i="31" s="1"/>
  <c r="F28" i="43" s="1"/>
  <c r="Q28" i="31"/>
  <c r="E28" i="31" s="1"/>
  <c r="G28" i="43" s="1"/>
  <c r="R28" i="31"/>
  <c r="S28" i="31"/>
  <c r="T28" i="31"/>
  <c r="U28" i="31"/>
  <c r="V28" i="31"/>
  <c r="W28" i="31"/>
  <c r="F29" i="31"/>
  <c r="G29" i="31"/>
  <c r="H29" i="31"/>
  <c r="I29" i="31"/>
  <c r="J29" i="31"/>
  <c r="K29" i="31"/>
  <c r="L29" i="31"/>
  <c r="M29" i="31"/>
  <c r="O29" i="31"/>
  <c r="R29" i="31"/>
  <c r="S29" i="31"/>
  <c r="T29" i="31"/>
  <c r="U29" i="31"/>
  <c r="V29" i="31"/>
  <c r="X29" i="31"/>
  <c r="Y29" i="31"/>
  <c r="Z29" i="31"/>
  <c r="AA29" i="31"/>
  <c r="AB29" i="31"/>
  <c r="AC29" i="31"/>
  <c r="AD29" i="31"/>
  <c r="AE29" i="31"/>
  <c r="F32" i="31"/>
  <c r="G32" i="31"/>
  <c r="E32" i="31" s="1"/>
  <c r="L32" i="31"/>
  <c r="M32" i="31"/>
  <c r="N32" i="31"/>
  <c r="N36" i="31" s="1"/>
  <c r="O32" i="31"/>
  <c r="O36" i="31" s="1"/>
  <c r="P32" i="31"/>
  <c r="Q32" i="31"/>
  <c r="Q36" i="31" s="1"/>
  <c r="R32" i="31"/>
  <c r="S32" i="31"/>
  <c r="T32" i="31"/>
  <c r="U32" i="31"/>
  <c r="V32" i="31"/>
  <c r="V36" i="31" s="1"/>
  <c r="W32" i="31"/>
  <c r="F33" i="31"/>
  <c r="G33" i="31"/>
  <c r="E33" i="31" s="1"/>
  <c r="G33" i="43" s="1"/>
  <c r="L33" i="31"/>
  <c r="M33" i="31"/>
  <c r="N33" i="31"/>
  <c r="O33" i="31"/>
  <c r="P33" i="31"/>
  <c r="Q33" i="31"/>
  <c r="R33" i="31"/>
  <c r="S33" i="31"/>
  <c r="T33" i="31"/>
  <c r="U33" i="31"/>
  <c r="V33" i="31"/>
  <c r="W33" i="31"/>
  <c r="F34" i="31"/>
  <c r="G34" i="31"/>
  <c r="L34" i="31"/>
  <c r="M34" i="31"/>
  <c r="M36" i="31" s="1"/>
  <c r="N34" i="31"/>
  <c r="O34" i="31"/>
  <c r="P34" i="31"/>
  <c r="Q34" i="31"/>
  <c r="E34" i="31" s="1"/>
  <c r="G34" i="43" s="1"/>
  <c r="I34" i="43" s="1"/>
  <c r="R34" i="31"/>
  <c r="S34" i="31"/>
  <c r="T34" i="31"/>
  <c r="U34" i="31"/>
  <c r="V34" i="31"/>
  <c r="W34" i="31"/>
  <c r="F35" i="31"/>
  <c r="G35" i="31"/>
  <c r="L35" i="31"/>
  <c r="M35" i="31"/>
  <c r="N35" i="31"/>
  <c r="O35" i="31"/>
  <c r="P35" i="31"/>
  <c r="Q35" i="31"/>
  <c r="E35" i="31" s="1"/>
  <c r="G35" i="43" s="1"/>
  <c r="I35" i="43" s="1"/>
  <c r="R35" i="31"/>
  <c r="S35" i="31"/>
  <c r="T35" i="31"/>
  <c r="U35" i="31"/>
  <c r="U36" i="31" s="1"/>
  <c r="V35" i="31"/>
  <c r="W35" i="31"/>
  <c r="F36" i="31"/>
  <c r="G36" i="31"/>
  <c r="H36" i="31"/>
  <c r="I36" i="31"/>
  <c r="J36" i="31"/>
  <c r="K36" i="31"/>
  <c r="P36" i="31"/>
  <c r="S36" i="31"/>
  <c r="X36" i="31"/>
  <c r="Y36" i="31"/>
  <c r="Z36" i="31"/>
  <c r="AA36" i="31"/>
  <c r="AB36" i="31"/>
  <c r="AC36" i="31"/>
  <c r="AD36" i="31"/>
  <c r="AE36" i="31"/>
  <c r="F39" i="31"/>
  <c r="G39" i="31"/>
  <c r="L39" i="31"/>
  <c r="M39" i="31"/>
  <c r="N39" i="31"/>
  <c r="O39" i="31"/>
  <c r="P39" i="31"/>
  <c r="D39" i="31" s="1"/>
  <c r="F39" i="43" s="1"/>
  <c r="Q39" i="31"/>
  <c r="E39" i="31" s="1"/>
  <c r="G39" i="43" s="1"/>
  <c r="R39" i="31"/>
  <c r="S39" i="31"/>
  <c r="T39" i="31"/>
  <c r="U39" i="31"/>
  <c r="V39" i="31"/>
  <c r="W39" i="31"/>
  <c r="F40" i="31"/>
  <c r="G40" i="31"/>
  <c r="L40" i="31"/>
  <c r="M40" i="31"/>
  <c r="N40" i="31"/>
  <c r="N42" i="31" s="1"/>
  <c r="N43" i="31" s="1"/>
  <c r="O40" i="31"/>
  <c r="P40" i="31"/>
  <c r="Q40" i="31"/>
  <c r="R40" i="31"/>
  <c r="S40" i="31"/>
  <c r="T40" i="31"/>
  <c r="U40" i="31"/>
  <c r="V40" i="31"/>
  <c r="W40" i="31"/>
  <c r="W42" i="31" s="1"/>
  <c r="W43" i="31" s="1"/>
  <c r="F41" i="31"/>
  <c r="G41" i="31"/>
  <c r="L41" i="31"/>
  <c r="M41" i="31"/>
  <c r="N41" i="31"/>
  <c r="O41" i="31"/>
  <c r="P41" i="31"/>
  <c r="D41" i="31" s="1"/>
  <c r="F41" i="43" s="1"/>
  <c r="H41" i="43" s="1"/>
  <c r="Q41" i="31"/>
  <c r="E41" i="31" s="1"/>
  <c r="G41" i="43" s="1"/>
  <c r="I41" i="43" s="1"/>
  <c r="R41" i="31"/>
  <c r="S41" i="31"/>
  <c r="T41" i="31"/>
  <c r="U41" i="31"/>
  <c r="V41" i="31"/>
  <c r="W41" i="31"/>
  <c r="F42" i="31"/>
  <c r="G42" i="31"/>
  <c r="H42" i="31"/>
  <c r="I42" i="31"/>
  <c r="I43" i="31" s="1"/>
  <c r="J42" i="31"/>
  <c r="K42" i="31"/>
  <c r="L42" i="31"/>
  <c r="L43" i="31" s="1"/>
  <c r="M42" i="31"/>
  <c r="M43" i="31" s="1"/>
  <c r="O42" i="31"/>
  <c r="R42" i="31"/>
  <c r="R43" i="31" s="1"/>
  <c r="S42" i="31"/>
  <c r="T42" i="31"/>
  <c r="T43" i="31" s="1"/>
  <c r="U42" i="31"/>
  <c r="U43" i="31" s="1"/>
  <c r="V42" i="31"/>
  <c r="V43" i="31" s="1"/>
  <c r="X42" i="31"/>
  <c r="Y42" i="31"/>
  <c r="Y43" i="31" s="1"/>
  <c r="Z42" i="31"/>
  <c r="Z43" i="31" s="1"/>
  <c r="AA42" i="31"/>
  <c r="AA43" i="31" s="1"/>
  <c r="AB42" i="31"/>
  <c r="AB43" i="31" s="1"/>
  <c r="AC42" i="31"/>
  <c r="AD42" i="31"/>
  <c r="AD43" i="31" s="1"/>
  <c r="AE42" i="31"/>
  <c r="F43" i="31"/>
  <c r="G43" i="31"/>
  <c r="H43" i="31"/>
  <c r="J43" i="31"/>
  <c r="J82" i="31" s="1"/>
  <c r="K43" i="31"/>
  <c r="O43" i="31"/>
  <c r="S43" i="31"/>
  <c r="X43" i="31"/>
  <c r="AC43" i="31"/>
  <c r="AE43" i="31"/>
  <c r="F45" i="31"/>
  <c r="D45" i="31" s="1"/>
  <c r="F45" i="43" s="1"/>
  <c r="H45" i="43" s="1"/>
  <c r="G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F47" i="31"/>
  <c r="G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F49" i="31"/>
  <c r="G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F51" i="31"/>
  <c r="D51" i="31" s="1"/>
  <c r="F51" i="43" s="1"/>
  <c r="H51" i="43" s="1"/>
  <c r="G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F54" i="31"/>
  <c r="D54" i="31" s="1"/>
  <c r="G54" i="31"/>
  <c r="L54" i="31"/>
  <c r="M54" i="31"/>
  <c r="N54" i="31"/>
  <c r="O54" i="31"/>
  <c r="P54" i="31"/>
  <c r="Q54" i="31"/>
  <c r="Q56" i="31" s="1"/>
  <c r="R54" i="31"/>
  <c r="S54" i="31"/>
  <c r="T54" i="31"/>
  <c r="U54" i="31"/>
  <c r="U56" i="31" s="1"/>
  <c r="V54" i="31"/>
  <c r="W54" i="31"/>
  <c r="F55" i="31"/>
  <c r="G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F56" i="31"/>
  <c r="G56" i="31"/>
  <c r="H56" i="31"/>
  <c r="I56" i="31"/>
  <c r="J56" i="31"/>
  <c r="K56" i="31"/>
  <c r="L56" i="31"/>
  <c r="O56" i="31"/>
  <c r="R56" i="31"/>
  <c r="S56" i="31"/>
  <c r="T56" i="31"/>
  <c r="W56" i="31"/>
  <c r="X56" i="31"/>
  <c r="Y56" i="31"/>
  <c r="Z56" i="31"/>
  <c r="AA56" i="31"/>
  <c r="AB56" i="31"/>
  <c r="AC56" i="31"/>
  <c r="AD56" i="31"/>
  <c r="AE56" i="31"/>
  <c r="F59" i="31"/>
  <c r="G59" i="31"/>
  <c r="L59" i="31"/>
  <c r="M59" i="31"/>
  <c r="M61" i="31" s="1"/>
  <c r="N59" i="31"/>
  <c r="O59" i="31"/>
  <c r="P59" i="31"/>
  <c r="P61" i="31" s="1"/>
  <c r="Q59" i="31"/>
  <c r="R59" i="31"/>
  <c r="R61" i="31" s="1"/>
  <c r="S59" i="31"/>
  <c r="T59" i="31"/>
  <c r="U59" i="31"/>
  <c r="U61" i="31" s="1"/>
  <c r="V59" i="31"/>
  <c r="W59" i="31"/>
  <c r="F60" i="31"/>
  <c r="G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H61" i="31"/>
  <c r="I61" i="31"/>
  <c r="J61" i="31"/>
  <c r="K61" i="31"/>
  <c r="L61" i="31"/>
  <c r="N61" i="31"/>
  <c r="O61" i="31"/>
  <c r="Q61" i="31"/>
  <c r="T61" i="31"/>
  <c r="V61" i="31"/>
  <c r="W61" i="31"/>
  <c r="X61" i="31"/>
  <c r="Y61" i="31"/>
  <c r="Z61" i="31"/>
  <c r="AA61" i="31"/>
  <c r="AB61" i="31"/>
  <c r="AC61" i="31"/>
  <c r="AD61" i="31"/>
  <c r="AE61" i="31"/>
  <c r="F64" i="31"/>
  <c r="G64" i="31"/>
  <c r="E64" i="31" s="1"/>
  <c r="L64" i="31"/>
  <c r="L66" i="31" s="1"/>
  <c r="M64" i="31"/>
  <c r="N64" i="31"/>
  <c r="N66" i="31" s="1"/>
  <c r="O64" i="31"/>
  <c r="P64" i="31"/>
  <c r="Q64" i="31"/>
  <c r="Q66" i="31" s="1"/>
  <c r="R64" i="31"/>
  <c r="S64" i="31"/>
  <c r="T64" i="31"/>
  <c r="T66" i="31" s="1"/>
  <c r="U64" i="31"/>
  <c r="V64" i="31"/>
  <c r="V66" i="31" s="1"/>
  <c r="W64" i="31"/>
  <c r="F65" i="31"/>
  <c r="D65" i="31" s="1"/>
  <c r="F65" i="43" s="1"/>
  <c r="G65" i="31"/>
  <c r="E65" i="31" s="1"/>
  <c r="G65" i="43" s="1"/>
  <c r="L65" i="31"/>
  <c r="M65" i="31"/>
  <c r="N65" i="31"/>
  <c r="O65" i="31"/>
  <c r="P65" i="31"/>
  <c r="Q65" i="31"/>
  <c r="R65" i="31"/>
  <c r="S65" i="31"/>
  <c r="T65" i="31"/>
  <c r="U65" i="31"/>
  <c r="V65" i="31"/>
  <c r="W65" i="31"/>
  <c r="F66" i="31"/>
  <c r="G66" i="31"/>
  <c r="H66" i="31"/>
  <c r="I66" i="31"/>
  <c r="J66" i="31"/>
  <c r="K66" i="31"/>
  <c r="M66" i="31"/>
  <c r="P66" i="31"/>
  <c r="R66" i="31"/>
  <c r="S66" i="31"/>
  <c r="U66" i="31"/>
  <c r="X66" i="31"/>
  <c r="Y66" i="31"/>
  <c r="Z66" i="31"/>
  <c r="AA66" i="31"/>
  <c r="AB66" i="31"/>
  <c r="AC66" i="31"/>
  <c r="AD66" i="31"/>
  <c r="AE66" i="31"/>
  <c r="F70" i="31"/>
  <c r="G70" i="31"/>
  <c r="L70" i="31"/>
  <c r="M70" i="31"/>
  <c r="M72" i="31" s="1"/>
  <c r="N70" i="31"/>
  <c r="O70" i="31"/>
  <c r="P70" i="31"/>
  <c r="P72" i="31" s="1"/>
  <c r="Q70" i="31"/>
  <c r="R70" i="31"/>
  <c r="R72" i="31" s="1"/>
  <c r="S70" i="31"/>
  <c r="T70" i="31"/>
  <c r="U70" i="31"/>
  <c r="U72" i="31" s="1"/>
  <c r="V70" i="31"/>
  <c r="W70" i="31"/>
  <c r="F71" i="31"/>
  <c r="G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H72" i="31"/>
  <c r="I72" i="31"/>
  <c r="J72" i="31"/>
  <c r="K72" i="31"/>
  <c r="L72" i="31"/>
  <c r="N72" i="31"/>
  <c r="O72" i="31"/>
  <c r="Q72" i="31"/>
  <c r="T72" i="31"/>
  <c r="V72" i="31"/>
  <c r="W72" i="31"/>
  <c r="X72" i="31"/>
  <c r="Y72" i="31"/>
  <c r="Z72" i="31"/>
  <c r="AA72" i="31"/>
  <c r="AB72" i="31"/>
  <c r="AC72" i="31"/>
  <c r="AD72" i="31"/>
  <c r="AE72" i="31"/>
  <c r="F73" i="31"/>
  <c r="G73" i="31"/>
  <c r="E73" i="31" s="1"/>
  <c r="G73" i="43" s="1"/>
  <c r="I73" i="43" s="1"/>
  <c r="L73" i="31"/>
  <c r="M73" i="31"/>
  <c r="N73" i="31"/>
  <c r="O73" i="31"/>
  <c r="P73" i="31"/>
  <c r="Q73" i="31"/>
  <c r="R73" i="31"/>
  <c r="S73" i="31"/>
  <c r="T73" i="31"/>
  <c r="U73" i="31"/>
  <c r="V73" i="31"/>
  <c r="W73" i="31"/>
  <c r="F74" i="31"/>
  <c r="D74" i="31" s="1"/>
  <c r="F74" i="43" s="1"/>
  <c r="H74" i="43" s="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F75" i="31"/>
  <c r="D75" i="31" s="1"/>
  <c r="G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F76" i="31"/>
  <c r="G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F77" i="31"/>
  <c r="G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F78" i="31"/>
  <c r="D78" i="31" s="1"/>
  <c r="F78" i="43" s="1"/>
  <c r="G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F79" i="31"/>
  <c r="D79" i="31" s="1"/>
  <c r="G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F80" i="31"/>
  <c r="G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F81" i="31"/>
  <c r="G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Z82" i="31"/>
  <c r="AB82" i="31"/>
  <c r="Z650" i="44" s="1"/>
  <c r="E86" i="31"/>
  <c r="F86" i="31"/>
  <c r="G86" i="31"/>
  <c r="D87" i="31"/>
  <c r="E87" i="31"/>
  <c r="G87" i="43" s="1"/>
  <c r="I87" i="43" s="1"/>
  <c r="F87" i="31"/>
  <c r="G87" i="31"/>
  <c r="E88" i="31"/>
  <c r="G88" i="43" s="1"/>
  <c r="F88" i="31"/>
  <c r="D88" i="31" s="1"/>
  <c r="F88" i="43" s="1"/>
  <c r="H88" i="43" s="1"/>
  <c r="G88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5" i="43"/>
  <c r="D11" i="43"/>
  <c r="E11" i="43"/>
  <c r="D14" i="43"/>
  <c r="E14" i="43"/>
  <c r="D19" i="43"/>
  <c r="E19" i="43"/>
  <c r="D20" i="43"/>
  <c r="D23" i="43"/>
  <c r="D32" i="43"/>
  <c r="E32" i="43"/>
  <c r="G32" i="43"/>
  <c r="D35" i="43"/>
  <c r="E35" i="43"/>
  <c r="D39" i="43"/>
  <c r="H39" i="43"/>
  <c r="D45" i="43"/>
  <c r="E47" i="43"/>
  <c r="D51" i="43"/>
  <c r="D54" i="43"/>
  <c r="E54" i="43"/>
  <c r="D59" i="43"/>
  <c r="D60" i="43"/>
  <c r="E60" i="43"/>
  <c r="D61" i="43"/>
  <c r="D64" i="43"/>
  <c r="D70" i="43"/>
  <c r="D73" i="43"/>
  <c r="D74" i="43"/>
  <c r="F75" i="43"/>
  <c r="D77" i="43"/>
  <c r="E78" i="43"/>
  <c r="F79" i="43"/>
  <c r="H79" i="43" s="1"/>
  <c r="D80" i="43"/>
  <c r="D81" i="43"/>
  <c r="E81" i="43"/>
  <c r="D86" i="43"/>
  <c r="G86" i="43"/>
  <c r="D87" i="43"/>
  <c r="F87" i="43"/>
  <c r="H87" i="43"/>
  <c r="D88" i="43"/>
  <c r="D89" i="43"/>
  <c r="A5" i="6"/>
  <c r="D11" i="6"/>
  <c r="G11" i="6"/>
  <c r="G11" i="20" s="1"/>
  <c r="I11" i="6"/>
  <c r="AC11" i="6"/>
  <c r="G11" i="54" s="1"/>
  <c r="AE11" i="6"/>
  <c r="G11" i="29" s="1"/>
  <c r="D12" i="6"/>
  <c r="E12" i="6"/>
  <c r="U12" i="6"/>
  <c r="D13" i="6"/>
  <c r="E13" i="6"/>
  <c r="D14" i="6"/>
  <c r="E14" i="6"/>
  <c r="D15" i="6"/>
  <c r="I15" i="6"/>
  <c r="U15" i="6"/>
  <c r="AE15" i="6"/>
  <c r="G15" i="29" s="1"/>
  <c r="E15" i="29" s="1"/>
  <c r="G15" i="41" s="1"/>
  <c r="I15" i="41" s="1"/>
  <c r="F16" i="6"/>
  <c r="H16" i="6"/>
  <c r="H82" i="6" s="1"/>
  <c r="J16" i="6"/>
  <c r="K16" i="6"/>
  <c r="L16" i="6"/>
  <c r="M16" i="6"/>
  <c r="N16" i="6"/>
  <c r="O16" i="6"/>
  <c r="P16" i="6"/>
  <c r="P82" i="6" s="1"/>
  <c r="Q16" i="6"/>
  <c r="R16" i="6"/>
  <c r="S16" i="6"/>
  <c r="T16" i="6"/>
  <c r="U16" i="6"/>
  <c r="V16" i="6"/>
  <c r="V82" i="6" s="1"/>
  <c r="W16" i="6"/>
  <c r="X16" i="6"/>
  <c r="X82" i="6" s="1"/>
  <c r="Y16" i="6"/>
  <c r="Z16" i="6"/>
  <c r="AA16" i="6"/>
  <c r="AB16" i="6"/>
  <c r="AD16" i="6"/>
  <c r="AD82" i="6" s="1"/>
  <c r="D19" i="6"/>
  <c r="D24" i="6" s="1"/>
  <c r="E19" i="6"/>
  <c r="G19" i="6"/>
  <c r="G19" i="20" s="1"/>
  <c r="I19" i="6"/>
  <c r="D20" i="6"/>
  <c r="E20" i="6"/>
  <c r="E24" i="6" s="1"/>
  <c r="D21" i="6"/>
  <c r="E21" i="6"/>
  <c r="D22" i="6"/>
  <c r="E22" i="6"/>
  <c r="D23" i="6"/>
  <c r="E23" i="6"/>
  <c r="F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D27" i="6"/>
  <c r="D29" i="6" s="1"/>
  <c r="E27" i="6"/>
  <c r="D28" i="6"/>
  <c r="E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D32" i="6"/>
  <c r="E32" i="6"/>
  <c r="D33" i="6"/>
  <c r="E33" i="6"/>
  <c r="D34" i="6"/>
  <c r="E34" i="6"/>
  <c r="E36" i="6" s="1"/>
  <c r="D35" i="6"/>
  <c r="D36" i="6" s="1"/>
  <c r="E35" i="6"/>
  <c r="F36" i="6"/>
  <c r="G36" i="6"/>
  <c r="H36" i="6"/>
  <c r="I36" i="6"/>
  <c r="J36" i="6"/>
  <c r="K36" i="6"/>
  <c r="L36" i="6"/>
  <c r="M36" i="6"/>
  <c r="N36" i="6"/>
  <c r="O36" i="6"/>
  <c r="P36" i="6"/>
  <c r="Q36" i="6"/>
  <c r="Q82" i="6" s="1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D39" i="6"/>
  <c r="E39" i="6"/>
  <c r="D40" i="6"/>
  <c r="D42" i="6" s="1"/>
  <c r="D43" i="6" s="1"/>
  <c r="E40" i="6"/>
  <c r="D41" i="6"/>
  <c r="E41" i="6"/>
  <c r="E42" i="6" s="1"/>
  <c r="U41" i="6"/>
  <c r="U42" i="6" s="1"/>
  <c r="U43" i="6" s="1"/>
  <c r="F42" i="6"/>
  <c r="F43" i="6" s="1"/>
  <c r="G42" i="6"/>
  <c r="G43" i="6" s="1"/>
  <c r="H42" i="6"/>
  <c r="I42" i="6"/>
  <c r="I43" i="6" s="1"/>
  <c r="J42" i="6"/>
  <c r="K42" i="6"/>
  <c r="L42" i="6"/>
  <c r="L43" i="6" s="1"/>
  <c r="L82" i="6" s="1"/>
  <c r="M42" i="6"/>
  <c r="N42" i="6"/>
  <c r="N43" i="6" s="1"/>
  <c r="O42" i="6"/>
  <c r="O43" i="6" s="1"/>
  <c r="O82" i="6" s="1"/>
  <c r="P42" i="6"/>
  <c r="Q42" i="6"/>
  <c r="Q43" i="6" s="1"/>
  <c r="R42" i="6"/>
  <c r="S42" i="6"/>
  <c r="T42" i="6"/>
  <c r="T43" i="6" s="1"/>
  <c r="T82" i="6" s="1"/>
  <c r="V42" i="6"/>
  <c r="V43" i="6" s="1"/>
  <c r="W42" i="6"/>
  <c r="W43" i="6" s="1"/>
  <c r="X42" i="6"/>
  <c r="Y42" i="6"/>
  <c r="Y43" i="6" s="1"/>
  <c r="Z42" i="6"/>
  <c r="AA42" i="6"/>
  <c r="AB42" i="6"/>
  <c r="AB43" i="6" s="1"/>
  <c r="AB82" i="6" s="1"/>
  <c r="AC42" i="6"/>
  <c r="AD42" i="6"/>
  <c r="AD43" i="6" s="1"/>
  <c r="AE42" i="6"/>
  <c r="AE43" i="6" s="1"/>
  <c r="H43" i="6"/>
  <c r="J43" i="6"/>
  <c r="K43" i="6"/>
  <c r="K82" i="6" s="1"/>
  <c r="M43" i="6"/>
  <c r="P43" i="6"/>
  <c r="R43" i="6"/>
  <c r="S43" i="6"/>
  <c r="S82" i="6" s="1"/>
  <c r="X43" i="6"/>
  <c r="Z43" i="6"/>
  <c r="Z82" i="6" s="1"/>
  <c r="AA43" i="6"/>
  <c r="AC43" i="6"/>
  <c r="D45" i="6"/>
  <c r="E45" i="6"/>
  <c r="D47" i="6"/>
  <c r="E47" i="6"/>
  <c r="D49" i="6"/>
  <c r="E49" i="6"/>
  <c r="D51" i="6"/>
  <c r="E51" i="6"/>
  <c r="D54" i="6"/>
  <c r="I54" i="6"/>
  <c r="AA54" i="6"/>
  <c r="AE54" i="6"/>
  <c r="G54" i="29" s="1"/>
  <c r="D55" i="6"/>
  <c r="E55" i="6"/>
  <c r="G55" i="6"/>
  <c r="G55" i="20" s="1"/>
  <c r="E55" i="20" s="1"/>
  <c r="G55" i="32" s="1"/>
  <c r="I55" i="6"/>
  <c r="G55" i="24" s="1"/>
  <c r="AE55" i="6"/>
  <c r="G55" i="29" s="1"/>
  <c r="E55" i="29" s="1"/>
  <c r="G55" i="41" s="1"/>
  <c r="I55" i="41" s="1"/>
  <c r="D56" i="6"/>
  <c r="F56" i="6"/>
  <c r="G56" i="6"/>
  <c r="H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B56" i="6"/>
  <c r="AC56" i="6"/>
  <c r="AD56" i="6"/>
  <c r="AE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D73" i="6"/>
  <c r="E73" i="6"/>
  <c r="D74" i="6"/>
  <c r="G74" i="6"/>
  <c r="I74" i="6"/>
  <c r="U74" i="6"/>
  <c r="W74" i="6"/>
  <c r="Y74" i="6"/>
  <c r="G74" i="31" s="1"/>
  <c r="AA74" i="6"/>
  <c r="G74" i="48" s="1"/>
  <c r="E74" i="48" s="1"/>
  <c r="G74" i="50" s="1"/>
  <c r="I74" i="50" s="1"/>
  <c r="D75" i="6"/>
  <c r="E75" i="6"/>
  <c r="D76" i="6"/>
  <c r="E76" i="6"/>
  <c r="D77" i="6"/>
  <c r="U77" i="6"/>
  <c r="E77" i="6" s="1"/>
  <c r="D78" i="6"/>
  <c r="E78" i="6"/>
  <c r="D79" i="6"/>
  <c r="E79" i="6"/>
  <c r="D80" i="6"/>
  <c r="E80" i="6"/>
  <c r="D81" i="6"/>
  <c r="E81" i="6"/>
  <c r="I81" i="6"/>
  <c r="G81" i="24" s="1"/>
  <c r="F82" i="6"/>
  <c r="J82" i="6"/>
  <c r="N82" i="6"/>
  <c r="R82" i="6"/>
  <c r="W82" i="6"/>
  <c r="A5" i="54"/>
  <c r="F11" i="54"/>
  <c r="L11" i="54"/>
  <c r="L16" i="54" s="1"/>
  <c r="M11" i="54"/>
  <c r="N11" i="54"/>
  <c r="N16" i="54" s="1"/>
  <c r="O11" i="54"/>
  <c r="P11" i="54"/>
  <c r="Q11" i="54"/>
  <c r="R11" i="54"/>
  <c r="S11" i="54"/>
  <c r="T11" i="54"/>
  <c r="T16" i="54" s="1"/>
  <c r="U11" i="54"/>
  <c r="V11" i="54"/>
  <c r="V16" i="54" s="1"/>
  <c r="W11" i="54"/>
  <c r="X11" i="54"/>
  <c r="Y11" i="54"/>
  <c r="Y16" i="54" s="1"/>
  <c r="Z11" i="54"/>
  <c r="Z16" i="54" s="1"/>
  <c r="AA11" i="54"/>
  <c r="AB11" i="54"/>
  <c r="AB16" i="54" s="1"/>
  <c r="AD11" i="54"/>
  <c r="AD16" i="54" s="1"/>
  <c r="AE11" i="54"/>
  <c r="F12" i="54"/>
  <c r="G12" i="54"/>
  <c r="L12" i="54"/>
  <c r="N12" i="54"/>
  <c r="P12" i="54"/>
  <c r="R12" i="54"/>
  <c r="T12" i="54"/>
  <c r="V12" i="54"/>
  <c r="X12" i="54"/>
  <c r="Y12" i="54"/>
  <c r="Z12" i="54"/>
  <c r="AA12" i="54"/>
  <c r="AB12" i="54"/>
  <c r="AC12" i="54"/>
  <c r="AD12" i="54"/>
  <c r="AE12" i="54"/>
  <c r="F13" i="54"/>
  <c r="G13" i="54"/>
  <c r="L13" i="54"/>
  <c r="M13" i="54"/>
  <c r="N13" i="54"/>
  <c r="O13" i="54"/>
  <c r="P13" i="54"/>
  <c r="D13" i="54" s="1"/>
  <c r="F13" i="52" s="1"/>
  <c r="H13" i="52" s="1"/>
  <c r="Q13" i="54"/>
  <c r="R13" i="54"/>
  <c r="S13" i="54"/>
  <c r="T13" i="54"/>
  <c r="U13" i="54"/>
  <c r="V13" i="54"/>
  <c r="W13" i="54"/>
  <c r="X13" i="54"/>
  <c r="Y13" i="54"/>
  <c r="Z13" i="54"/>
  <c r="AA13" i="54"/>
  <c r="AB13" i="54"/>
  <c r="AC13" i="54"/>
  <c r="AD13" i="54"/>
  <c r="AE13" i="54"/>
  <c r="D14" i="54"/>
  <c r="F14" i="52" s="1"/>
  <c r="F14" i="54"/>
  <c r="G14" i="54"/>
  <c r="L14" i="54"/>
  <c r="M14" i="54"/>
  <c r="N14" i="54"/>
  <c r="O14" i="54"/>
  <c r="P14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AC14" i="54"/>
  <c r="AD14" i="54"/>
  <c r="AE14" i="54"/>
  <c r="F15" i="54"/>
  <c r="G15" i="54"/>
  <c r="L15" i="54"/>
  <c r="M15" i="54"/>
  <c r="M16" i="54" s="1"/>
  <c r="N15" i="54"/>
  <c r="O15" i="54"/>
  <c r="P15" i="54"/>
  <c r="D15" i="54" s="1"/>
  <c r="F15" i="52" s="1"/>
  <c r="Q15" i="54"/>
  <c r="R15" i="54"/>
  <c r="S15" i="54"/>
  <c r="T15" i="54"/>
  <c r="U15" i="54"/>
  <c r="V15" i="54"/>
  <c r="W15" i="54"/>
  <c r="X15" i="54"/>
  <c r="Y15" i="54"/>
  <c r="Z15" i="54"/>
  <c r="AA15" i="54"/>
  <c r="AB15" i="54"/>
  <c r="AC15" i="54"/>
  <c r="AD15" i="54"/>
  <c r="AE15" i="54"/>
  <c r="G16" i="54"/>
  <c r="H16" i="54"/>
  <c r="I16" i="54"/>
  <c r="J16" i="54"/>
  <c r="K16" i="54"/>
  <c r="O16" i="54"/>
  <c r="Q16" i="54"/>
  <c r="U16" i="54"/>
  <c r="W16" i="54"/>
  <c r="AC16" i="54"/>
  <c r="AE16" i="54"/>
  <c r="F19" i="54"/>
  <c r="G19" i="54"/>
  <c r="L19" i="54"/>
  <c r="L24" i="54" s="1"/>
  <c r="M19" i="54"/>
  <c r="N19" i="54"/>
  <c r="O19" i="54"/>
  <c r="P19" i="54"/>
  <c r="Q19" i="54"/>
  <c r="R19" i="54"/>
  <c r="S19" i="54"/>
  <c r="T19" i="54"/>
  <c r="U19" i="54"/>
  <c r="V19" i="54"/>
  <c r="W19" i="54"/>
  <c r="W24" i="54" s="1"/>
  <c r="Z19" i="54"/>
  <c r="AA19" i="54"/>
  <c r="AA24" i="54" s="1"/>
  <c r="AB19" i="54"/>
  <c r="AC19" i="54"/>
  <c r="AD19" i="54"/>
  <c r="AD24" i="54" s="1"/>
  <c r="AE19" i="54"/>
  <c r="F20" i="54"/>
  <c r="G20" i="54"/>
  <c r="L20" i="54"/>
  <c r="M20" i="54"/>
  <c r="N20" i="54"/>
  <c r="N24" i="54" s="1"/>
  <c r="O20" i="54"/>
  <c r="P20" i="54"/>
  <c r="Q20" i="54"/>
  <c r="E20" i="54" s="1"/>
  <c r="G20" i="52" s="1"/>
  <c r="R20" i="54"/>
  <c r="R24" i="54" s="1"/>
  <c r="S20" i="54"/>
  <c r="T20" i="54"/>
  <c r="U20" i="54"/>
  <c r="V20" i="54"/>
  <c r="W20" i="54"/>
  <c r="X20" i="54"/>
  <c r="Y20" i="54"/>
  <c r="Z20" i="54"/>
  <c r="AA20" i="54"/>
  <c r="AB20" i="54"/>
  <c r="AC20" i="54"/>
  <c r="AD20" i="54"/>
  <c r="AE20" i="54"/>
  <c r="F21" i="54"/>
  <c r="G21" i="54"/>
  <c r="L21" i="54"/>
  <c r="M21" i="54"/>
  <c r="N21" i="54"/>
  <c r="O21" i="54"/>
  <c r="P21" i="54"/>
  <c r="Q21" i="54"/>
  <c r="E21" i="54" s="1"/>
  <c r="G21" i="52" s="1"/>
  <c r="I21" i="52" s="1"/>
  <c r="R21" i="54"/>
  <c r="S21" i="54"/>
  <c r="T21" i="54"/>
  <c r="U21" i="54"/>
  <c r="V21" i="54"/>
  <c r="W21" i="54"/>
  <c r="X21" i="54"/>
  <c r="Y21" i="54"/>
  <c r="Y24" i="54" s="1"/>
  <c r="Z21" i="54"/>
  <c r="AA21" i="54"/>
  <c r="AB21" i="54"/>
  <c r="AC21" i="54"/>
  <c r="AD21" i="54"/>
  <c r="AE21" i="54"/>
  <c r="F22" i="54"/>
  <c r="G22" i="54"/>
  <c r="L22" i="54"/>
  <c r="M22" i="54"/>
  <c r="N22" i="54"/>
  <c r="O22" i="54"/>
  <c r="P22" i="54"/>
  <c r="Q22" i="54"/>
  <c r="E22" i="54" s="1"/>
  <c r="G22" i="52" s="1"/>
  <c r="I22" i="52" s="1"/>
  <c r="R22" i="54"/>
  <c r="S22" i="54"/>
  <c r="T22" i="54"/>
  <c r="U22" i="54"/>
  <c r="V22" i="54"/>
  <c r="W22" i="54"/>
  <c r="X22" i="54"/>
  <c r="Y22" i="54"/>
  <c r="Z22" i="54"/>
  <c r="AA22" i="54"/>
  <c r="AB22" i="54"/>
  <c r="AC22" i="54"/>
  <c r="AD22" i="54"/>
  <c r="AE22" i="54"/>
  <c r="F23" i="54"/>
  <c r="G23" i="54"/>
  <c r="L23" i="54"/>
  <c r="M23" i="54"/>
  <c r="N23" i="54"/>
  <c r="O23" i="54"/>
  <c r="P23" i="54"/>
  <c r="Q23" i="54"/>
  <c r="E23" i="54" s="1"/>
  <c r="R23" i="54"/>
  <c r="S23" i="54"/>
  <c r="T23" i="54"/>
  <c r="U23" i="54"/>
  <c r="U24" i="54" s="1"/>
  <c r="V23" i="54"/>
  <c r="W23" i="54"/>
  <c r="Z23" i="54"/>
  <c r="AA23" i="54"/>
  <c r="AB23" i="54"/>
  <c r="AC23" i="54"/>
  <c r="AD23" i="54"/>
  <c r="AE23" i="54"/>
  <c r="G24" i="54"/>
  <c r="H24" i="54"/>
  <c r="I24" i="54"/>
  <c r="J24" i="54"/>
  <c r="K24" i="54"/>
  <c r="M24" i="54"/>
  <c r="P24" i="54"/>
  <c r="S24" i="54"/>
  <c r="T24" i="54"/>
  <c r="V24" i="54"/>
  <c r="X24" i="54"/>
  <c r="AB24" i="54"/>
  <c r="AC24" i="54"/>
  <c r="AE24" i="54"/>
  <c r="F27" i="54"/>
  <c r="G27" i="54"/>
  <c r="L27" i="54"/>
  <c r="M27" i="54"/>
  <c r="N27" i="54"/>
  <c r="O27" i="54"/>
  <c r="P27" i="54"/>
  <c r="P29" i="54" s="1"/>
  <c r="Q27" i="54"/>
  <c r="E27" i="54" s="1"/>
  <c r="R27" i="54"/>
  <c r="S27" i="54"/>
  <c r="T27" i="54"/>
  <c r="U27" i="54"/>
  <c r="U29" i="54" s="1"/>
  <c r="V27" i="54"/>
  <c r="W27" i="54"/>
  <c r="X27" i="54"/>
  <c r="Y27" i="54"/>
  <c r="Z27" i="54"/>
  <c r="AA27" i="54"/>
  <c r="AB27" i="54"/>
  <c r="AC27" i="54"/>
  <c r="AD27" i="54"/>
  <c r="AE27" i="54"/>
  <c r="AE29" i="54" s="1"/>
  <c r="F28" i="54"/>
  <c r="G28" i="54"/>
  <c r="L28" i="54"/>
  <c r="M28" i="54"/>
  <c r="N28" i="54"/>
  <c r="O28" i="54"/>
  <c r="P28" i="54"/>
  <c r="Q28" i="54"/>
  <c r="Q29" i="54" s="1"/>
  <c r="R28" i="54"/>
  <c r="S28" i="54"/>
  <c r="T28" i="54"/>
  <c r="U28" i="54"/>
  <c r="V28" i="54"/>
  <c r="W28" i="54"/>
  <c r="X28" i="54"/>
  <c r="Y28" i="54"/>
  <c r="Z28" i="54"/>
  <c r="AA28" i="54"/>
  <c r="AB28" i="54"/>
  <c r="AC28" i="54"/>
  <c r="AD28" i="54"/>
  <c r="AE28" i="54"/>
  <c r="F29" i="54"/>
  <c r="G29" i="54"/>
  <c r="H29" i="54"/>
  <c r="I29" i="54"/>
  <c r="J29" i="54"/>
  <c r="K29" i="54"/>
  <c r="M29" i="54"/>
  <c r="O29" i="54"/>
  <c r="R29" i="54"/>
  <c r="S29" i="54"/>
  <c r="W29" i="54"/>
  <c r="X29" i="54"/>
  <c r="Z29" i="54"/>
  <c r="AA29" i="54"/>
  <c r="AC29" i="54"/>
  <c r="F32" i="54"/>
  <c r="G32" i="54"/>
  <c r="E32" i="54" s="1"/>
  <c r="L32" i="54"/>
  <c r="M32" i="54"/>
  <c r="N32" i="54"/>
  <c r="O32" i="54"/>
  <c r="P32" i="54"/>
  <c r="Q32" i="54"/>
  <c r="R32" i="54"/>
  <c r="S32" i="54"/>
  <c r="T32" i="54"/>
  <c r="T36" i="54" s="1"/>
  <c r="U32" i="54"/>
  <c r="V32" i="54"/>
  <c r="W32" i="54"/>
  <c r="W36" i="54" s="1"/>
  <c r="X32" i="54"/>
  <c r="Y32" i="54"/>
  <c r="Z32" i="54"/>
  <c r="AA32" i="54"/>
  <c r="AB32" i="54"/>
  <c r="AC32" i="54"/>
  <c r="AC36" i="54" s="1"/>
  <c r="AD32" i="54"/>
  <c r="AE32" i="54"/>
  <c r="F33" i="54"/>
  <c r="G33" i="54"/>
  <c r="E33" i="54" s="1"/>
  <c r="G33" i="52" s="1"/>
  <c r="L33" i="54"/>
  <c r="M33" i="54"/>
  <c r="N33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AB33" i="54"/>
  <c r="AC33" i="54"/>
  <c r="AD33" i="54"/>
  <c r="AE33" i="54"/>
  <c r="D34" i="54"/>
  <c r="F34" i="52" s="1"/>
  <c r="H34" i="52" s="1"/>
  <c r="F34" i="54"/>
  <c r="G34" i="54"/>
  <c r="E34" i="54" s="1"/>
  <c r="G34" i="52" s="1"/>
  <c r="L34" i="54"/>
  <c r="M34" i="54"/>
  <c r="N34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AB34" i="54"/>
  <c r="AC34" i="54"/>
  <c r="AD34" i="54"/>
  <c r="AE34" i="54"/>
  <c r="D35" i="54"/>
  <c r="F35" i="52" s="1"/>
  <c r="H35" i="52" s="1"/>
  <c r="F35" i="54"/>
  <c r="G35" i="54"/>
  <c r="E35" i="54" s="1"/>
  <c r="G35" i="52" s="1"/>
  <c r="I35" i="52" s="1"/>
  <c r="L35" i="54"/>
  <c r="M35" i="54"/>
  <c r="N35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AB35" i="54"/>
  <c r="AC35" i="54"/>
  <c r="AD35" i="54"/>
  <c r="AE35" i="54"/>
  <c r="F36" i="54"/>
  <c r="G36" i="54"/>
  <c r="H36" i="54"/>
  <c r="I36" i="54"/>
  <c r="J36" i="54"/>
  <c r="K36" i="54"/>
  <c r="L36" i="54"/>
  <c r="M36" i="54"/>
  <c r="N36" i="54"/>
  <c r="O36" i="54"/>
  <c r="U36" i="54"/>
  <c r="V36" i="54"/>
  <c r="AB36" i="54"/>
  <c r="AD36" i="54"/>
  <c r="AE36" i="54"/>
  <c r="F39" i="54"/>
  <c r="G39" i="54"/>
  <c r="L39" i="54"/>
  <c r="D39" i="54" s="1"/>
  <c r="F39" i="52" s="1"/>
  <c r="H39" i="52" s="1"/>
  <c r="M39" i="54"/>
  <c r="N39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AB39" i="54"/>
  <c r="AC39" i="54"/>
  <c r="AD39" i="54"/>
  <c r="AE39" i="54"/>
  <c r="F40" i="54"/>
  <c r="G40" i="54"/>
  <c r="L40" i="54"/>
  <c r="M40" i="54"/>
  <c r="N40" i="54"/>
  <c r="N42" i="54" s="1"/>
  <c r="N43" i="54" s="1"/>
  <c r="O40" i="54"/>
  <c r="P40" i="54"/>
  <c r="Q40" i="54"/>
  <c r="Q42" i="54" s="1"/>
  <c r="Q43" i="54" s="1"/>
  <c r="R40" i="54"/>
  <c r="S40" i="54"/>
  <c r="T40" i="54"/>
  <c r="T42" i="54" s="1"/>
  <c r="T43" i="54" s="1"/>
  <c r="U40" i="54"/>
  <c r="V40" i="54"/>
  <c r="V42" i="54" s="1"/>
  <c r="V43" i="54" s="1"/>
  <c r="W40" i="54"/>
  <c r="W42" i="54" s="1"/>
  <c r="X40" i="54"/>
  <c r="Y40" i="54"/>
  <c r="Y42" i="54" s="1"/>
  <c r="Y43" i="54" s="1"/>
  <c r="Z40" i="54"/>
  <c r="AA40" i="54"/>
  <c r="AD40" i="54"/>
  <c r="AE40" i="54"/>
  <c r="D41" i="54"/>
  <c r="F41" i="52" s="1"/>
  <c r="H41" i="52" s="1"/>
  <c r="F41" i="54"/>
  <c r="G41" i="54"/>
  <c r="E41" i="54" s="1"/>
  <c r="G41" i="52" s="1"/>
  <c r="I41" i="52" s="1"/>
  <c r="L41" i="54"/>
  <c r="M41" i="54"/>
  <c r="N41" i="54"/>
  <c r="O41" i="54"/>
  <c r="P41" i="54"/>
  <c r="Q41" i="54"/>
  <c r="R41" i="54"/>
  <c r="S41" i="54"/>
  <c r="S42" i="54" s="1"/>
  <c r="S43" i="54" s="1"/>
  <c r="T41" i="54"/>
  <c r="U41" i="54"/>
  <c r="V41" i="54"/>
  <c r="W41" i="54"/>
  <c r="X41" i="54"/>
  <c r="Y41" i="54"/>
  <c r="Z41" i="54"/>
  <c r="AA41" i="54"/>
  <c r="AA42" i="54" s="1"/>
  <c r="AA43" i="54" s="1"/>
  <c r="AB41" i="54"/>
  <c r="AC41" i="54"/>
  <c r="AC42" i="54" s="1"/>
  <c r="AD41" i="54"/>
  <c r="AE41" i="54"/>
  <c r="F42" i="54"/>
  <c r="G42" i="54"/>
  <c r="H42" i="54"/>
  <c r="I42" i="54"/>
  <c r="J42" i="54"/>
  <c r="J43" i="54" s="1"/>
  <c r="K42" i="54"/>
  <c r="L42" i="54"/>
  <c r="L43" i="54" s="1"/>
  <c r="M42" i="54"/>
  <c r="O42" i="54"/>
  <c r="O43" i="54" s="1"/>
  <c r="R42" i="54"/>
  <c r="U42" i="54"/>
  <c r="Z42" i="54"/>
  <c r="Z43" i="54" s="1"/>
  <c r="AB42" i="54"/>
  <c r="AB43" i="54" s="1"/>
  <c r="AD42" i="54"/>
  <c r="AE42" i="54"/>
  <c r="F43" i="54"/>
  <c r="H43" i="54"/>
  <c r="I43" i="54"/>
  <c r="K43" i="54"/>
  <c r="M43" i="54"/>
  <c r="R43" i="54"/>
  <c r="U43" i="54"/>
  <c r="AD43" i="54"/>
  <c r="F45" i="54"/>
  <c r="D45" i="54" s="1"/>
  <c r="F45" i="52" s="1"/>
  <c r="G45" i="54"/>
  <c r="L45" i="54"/>
  <c r="M45" i="54"/>
  <c r="N45" i="54"/>
  <c r="O45" i="54"/>
  <c r="E45" i="54" s="1"/>
  <c r="G45" i="52" s="1"/>
  <c r="P45" i="54"/>
  <c r="Q45" i="54"/>
  <c r="R45" i="54"/>
  <c r="S45" i="54"/>
  <c r="T45" i="54"/>
  <c r="U45" i="54"/>
  <c r="V45" i="54"/>
  <c r="W45" i="54"/>
  <c r="X45" i="54"/>
  <c r="Y45" i="54"/>
  <c r="Z45" i="54"/>
  <c r="AA45" i="54"/>
  <c r="AB45" i="54"/>
  <c r="AC45" i="54"/>
  <c r="AD45" i="54"/>
  <c r="AE45" i="54"/>
  <c r="F47" i="54"/>
  <c r="D47" i="54" s="1"/>
  <c r="F47" i="52" s="1"/>
  <c r="G47" i="54"/>
  <c r="L47" i="54"/>
  <c r="M47" i="54"/>
  <c r="N47" i="54"/>
  <c r="O47" i="54"/>
  <c r="E47" i="54" s="1"/>
  <c r="G47" i="52" s="1"/>
  <c r="I47" i="52" s="1"/>
  <c r="P47" i="54"/>
  <c r="Q47" i="54"/>
  <c r="R47" i="54"/>
  <c r="S47" i="54"/>
  <c r="T47" i="54"/>
  <c r="U47" i="54"/>
  <c r="V47" i="54"/>
  <c r="W47" i="54"/>
  <c r="X47" i="54"/>
  <c r="Y47" i="54"/>
  <c r="Z47" i="54"/>
  <c r="AA47" i="54"/>
  <c r="AB47" i="54"/>
  <c r="AC47" i="54"/>
  <c r="AD47" i="54"/>
  <c r="AE47" i="54"/>
  <c r="F49" i="54"/>
  <c r="G49" i="54"/>
  <c r="L49" i="54"/>
  <c r="M49" i="54"/>
  <c r="N49" i="54"/>
  <c r="O49" i="54"/>
  <c r="P49" i="54"/>
  <c r="Q49" i="54"/>
  <c r="E49" i="54" s="1"/>
  <c r="G49" i="52" s="1"/>
  <c r="R49" i="54"/>
  <c r="S49" i="54"/>
  <c r="T49" i="54"/>
  <c r="U49" i="54"/>
  <c r="V49" i="54"/>
  <c r="W49" i="54"/>
  <c r="Z49" i="54"/>
  <c r="AA49" i="54"/>
  <c r="AD49" i="54"/>
  <c r="AE49" i="54"/>
  <c r="F51" i="54"/>
  <c r="G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Z51" i="54"/>
  <c r="AA51" i="54"/>
  <c r="AD51" i="54"/>
  <c r="AE51" i="54"/>
  <c r="D54" i="54"/>
  <c r="F54" i="54"/>
  <c r="G54" i="54"/>
  <c r="L54" i="54"/>
  <c r="M54" i="54"/>
  <c r="M56" i="54" s="1"/>
  <c r="N54" i="54"/>
  <c r="O54" i="54"/>
  <c r="O56" i="54" s="1"/>
  <c r="P54" i="54"/>
  <c r="P56" i="54" s="1"/>
  <c r="Q54" i="54"/>
  <c r="R54" i="54"/>
  <c r="S54" i="54"/>
  <c r="S56" i="54" s="1"/>
  <c r="T54" i="54"/>
  <c r="U54" i="54"/>
  <c r="V54" i="54"/>
  <c r="W54" i="54"/>
  <c r="W56" i="54" s="1"/>
  <c r="X54" i="54"/>
  <c r="Y54" i="54"/>
  <c r="Z54" i="54"/>
  <c r="AA54" i="54"/>
  <c r="AA56" i="54" s="1"/>
  <c r="AD54" i="54"/>
  <c r="AE54" i="54"/>
  <c r="AE56" i="54" s="1"/>
  <c r="F55" i="54"/>
  <c r="G55" i="54"/>
  <c r="L55" i="54"/>
  <c r="L56" i="54" s="1"/>
  <c r="M55" i="54"/>
  <c r="N55" i="54"/>
  <c r="O55" i="54"/>
  <c r="P55" i="54"/>
  <c r="Q55" i="54"/>
  <c r="Q56" i="54" s="1"/>
  <c r="R55" i="54"/>
  <c r="S55" i="54"/>
  <c r="T55" i="54"/>
  <c r="T56" i="54" s="1"/>
  <c r="U55" i="54"/>
  <c r="V55" i="54"/>
  <c r="W55" i="54"/>
  <c r="X55" i="54"/>
  <c r="Y55" i="54"/>
  <c r="Y56" i="54" s="1"/>
  <c r="Z55" i="54"/>
  <c r="Z56" i="54" s="1"/>
  <c r="AA55" i="54"/>
  <c r="AB55" i="54"/>
  <c r="AB56" i="54" s="1"/>
  <c r="AD55" i="54"/>
  <c r="AE55" i="54"/>
  <c r="G56" i="54"/>
  <c r="H56" i="54"/>
  <c r="I56" i="54"/>
  <c r="J56" i="54"/>
  <c r="K56" i="54"/>
  <c r="N56" i="54"/>
  <c r="U56" i="54"/>
  <c r="V56" i="54"/>
  <c r="X56" i="54"/>
  <c r="AC56" i="54"/>
  <c r="AD56" i="54"/>
  <c r="F59" i="54"/>
  <c r="G59" i="54"/>
  <c r="L59" i="54"/>
  <c r="M59" i="54"/>
  <c r="N59" i="54"/>
  <c r="N61" i="54" s="1"/>
  <c r="O59" i="54"/>
  <c r="P59" i="54"/>
  <c r="D59" i="54" s="1"/>
  <c r="Q59" i="54"/>
  <c r="R59" i="54"/>
  <c r="S59" i="54"/>
  <c r="T59" i="54"/>
  <c r="T61" i="54" s="1"/>
  <c r="U59" i="54"/>
  <c r="V59" i="54"/>
  <c r="W59" i="54"/>
  <c r="X59" i="54"/>
  <c r="Y59" i="54"/>
  <c r="Z59" i="54"/>
  <c r="AA59" i="54"/>
  <c r="AB59" i="54"/>
  <c r="AC59" i="54"/>
  <c r="AD59" i="54"/>
  <c r="AE59" i="54"/>
  <c r="F60" i="54"/>
  <c r="G60" i="54"/>
  <c r="L60" i="54"/>
  <c r="M60" i="54"/>
  <c r="N60" i="54"/>
  <c r="O60" i="54"/>
  <c r="P60" i="54"/>
  <c r="D60" i="54" s="1"/>
  <c r="F60" i="52" s="1"/>
  <c r="H60" i="52" s="1"/>
  <c r="Q60" i="54"/>
  <c r="E60" i="54" s="1"/>
  <c r="G60" i="52" s="1"/>
  <c r="R60" i="54"/>
  <c r="S60" i="54"/>
  <c r="T60" i="54"/>
  <c r="U60" i="54"/>
  <c r="V60" i="54"/>
  <c r="W60" i="54"/>
  <c r="X60" i="54"/>
  <c r="Y60" i="54"/>
  <c r="Z60" i="54"/>
  <c r="AA60" i="54"/>
  <c r="AB60" i="54"/>
  <c r="AC60" i="54"/>
  <c r="AC61" i="54" s="1"/>
  <c r="AD60" i="54"/>
  <c r="AE60" i="54"/>
  <c r="F61" i="54"/>
  <c r="G61" i="54"/>
  <c r="H61" i="54"/>
  <c r="I61" i="54"/>
  <c r="J61" i="54"/>
  <c r="K61" i="54"/>
  <c r="L61" i="54"/>
  <c r="M61" i="54"/>
  <c r="R61" i="54"/>
  <c r="S61" i="54"/>
  <c r="U61" i="54"/>
  <c r="V61" i="54"/>
  <c r="Y61" i="54"/>
  <c r="Z61" i="54"/>
  <c r="AA61" i="54"/>
  <c r="AB61" i="54"/>
  <c r="AD61" i="54"/>
  <c r="F64" i="54"/>
  <c r="G64" i="54"/>
  <c r="E64" i="54" s="1"/>
  <c r="L64" i="54"/>
  <c r="M64" i="54"/>
  <c r="M66" i="54" s="1"/>
  <c r="N64" i="54"/>
  <c r="O64" i="54"/>
  <c r="P64" i="54"/>
  <c r="P66" i="54" s="1"/>
  <c r="Q64" i="54"/>
  <c r="R64" i="54"/>
  <c r="R66" i="54" s="1"/>
  <c r="S64" i="54"/>
  <c r="T64" i="54"/>
  <c r="U64" i="54"/>
  <c r="V64" i="54"/>
  <c r="V66" i="54" s="1"/>
  <c r="W64" i="54"/>
  <c r="X64" i="54"/>
  <c r="X66" i="54" s="1"/>
  <c r="Y64" i="54"/>
  <c r="Z64" i="54"/>
  <c r="Z66" i="54" s="1"/>
  <c r="AA64" i="54"/>
  <c r="AB64" i="54"/>
  <c r="AB66" i="54" s="1"/>
  <c r="AC64" i="54"/>
  <c r="AD64" i="54"/>
  <c r="AE64" i="54"/>
  <c r="D65" i="54"/>
  <c r="F65" i="52" s="1"/>
  <c r="F65" i="54"/>
  <c r="G65" i="54"/>
  <c r="E65" i="54" s="1"/>
  <c r="G65" i="52" s="1"/>
  <c r="L65" i="54"/>
  <c r="M65" i="54"/>
  <c r="N65" i="54"/>
  <c r="O65" i="54"/>
  <c r="P65" i="54"/>
  <c r="Q65" i="54"/>
  <c r="R65" i="54"/>
  <c r="S65" i="54"/>
  <c r="T65" i="54"/>
  <c r="U65" i="54"/>
  <c r="V65" i="54"/>
  <c r="W65" i="54"/>
  <c r="X65" i="54"/>
  <c r="Y65" i="54"/>
  <c r="Z65" i="54"/>
  <c r="AA65" i="54"/>
  <c r="AB65" i="54"/>
  <c r="AC65" i="54"/>
  <c r="AD65" i="54"/>
  <c r="AE65" i="54"/>
  <c r="G66" i="54"/>
  <c r="H66" i="54"/>
  <c r="I66" i="54"/>
  <c r="J66" i="54"/>
  <c r="K66" i="54"/>
  <c r="L66" i="54"/>
  <c r="N66" i="54"/>
  <c r="O66" i="54"/>
  <c r="Q66" i="54"/>
  <c r="T66" i="54"/>
  <c r="U66" i="54"/>
  <c r="W66" i="54"/>
  <c r="Y66" i="54"/>
  <c r="AC66" i="54"/>
  <c r="AD66" i="54"/>
  <c r="AE66" i="54"/>
  <c r="F70" i="54"/>
  <c r="G70" i="54"/>
  <c r="L70" i="54"/>
  <c r="M70" i="54"/>
  <c r="N70" i="54"/>
  <c r="O70" i="54"/>
  <c r="P70" i="54"/>
  <c r="Q70" i="54"/>
  <c r="Q72" i="54" s="1"/>
  <c r="R70" i="54"/>
  <c r="S70" i="54"/>
  <c r="T70" i="54"/>
  <c r="T72" i="54" s="1"/>
  <c r="U70" i="54"/>
  <c r="U72" i="54" s="1"/>
  <c r="V70" i="54"/>
  <c r="W70" i="54"/>
  <c r="X70" i="54"/>
  <c r="X72" i="54" s="1"/>
  <c r="Y70" i="54"/>
  <c r="Y72" i="54" s="1"/>
  <c r="Z70" i="54"/>
  <c r="Z72" i="54" s="1"/>
  <c r="AA70" i="54"/>
  <c r="AB70" i="54"/>
  <c r="AC70" i="54"/>
  <c r="AC72" i="54" s="1"/>
  <c r="AD70" i="54"/>
  <c r="AE70" i="54"/>
  <c r="D71" i="54"/>
  <c r="F71" i="52" s="1"/>
  <c r="H71" i="52" s="1"/>
  <c r="F71" i="54"/>
  <c r="G71" i="54"/>
  <c r="L71" i="54"/>
  <c r="M71" i="54"/>
  <c r="N71" i="54"/>
  <c r="O71" i="54"/>
  <c r="P71" i="54"/>
  <c r="Q71" i="54"/>
  <c r="R71" i="54"/>
  <c r="S71" i="54"/>
  <c r="T71" i="54"/>
  <c r="U71" i="54"/>
  <c r="V71" i="54"/>
  <c r="W71" i="54"/>
  <c r="X71" i="54"/>
  <c r="Y71" i="54"/>
  <c r="Z71" i="54"/>
  <c r="AA71" i="54"/>
  <c r="AB71" i="54"/>
  <c r="AC71" i="54"/>
  <c r="AD71" i="54"/>
  <c r="AD72" i="54" s="1"/>
  <c r="AE71" i="54"/>
  <c r="F72" i="54"/>
  <c r="G72" i="54"/>
  <c r="H72" i="54"/>
  <c r="I72" i="54"/>
  <c r="J72" i="54"/>
  <c r="K72" i="54"/>
  <c r="L72" i="54"/>
  <c r="R72" i="54"/>
  <c r="S72" i="54"/>
  <c r="AA72" i="54"/>
  <c r="AB72" i="54"/>
  <c r="F73" i="54"/>
  <c r="G73" i="54"/>
  <c r="L73" i="54"/>
  <c r="M73" i="54"/>
  <c r="N73" i="54"/>
  <c r="O73" i="54"/>
  <c r="P73" i="54"/>
  <c r="Q73" i="54"/>
  <c r="R73" i="54"/>
  <c r="S73" i="54"/>
  <c r="T73" i="54"/>
  <c r="U73" i="54"/>
  <c r="V73" i="54"/>
  <c r="W73" i="54"/>
  <c r="X73" i="54"/>
  <c r="Y73" i="54"/>
  <c r="Z73" i="54"/>
  <c r="AA73" i="54"/>
  <c r="AB73" i="54"/>
  <c r="AC73" i="54"/>
  <c r="AD73" i="54"/>
  <c r="AE73" i="54"/>
  <c r="F74" i="54"/>
  <c r="G74" i="54"/>
  <c r="L74" i="54"/>
  <c r="M74" i="54"/>
  <c r="N74" i="54"/>
  <c r="O74" i="54"/>
  <c r="P74" i="54"/>
  <c r="Q74" i="54"/>
  <c r="R74" i="54"/>
  <c r="S74" i="54"/>
  <c r="T74" i="54"/>
  <c r="U74" i="54"/>
  <c r="V74" i="54"/>
  <c r="W74" i="54"/>
  <c r="X74" i="54"/>
  <c r="Y74" i="54"/>
  <c r="Z74" i="54"/>
  <c r="AA74" i="54"/>
  <c r="AB74" i="54"/>
  <c r="AC74" i="54"/>
  <c r="AD74" i="54"/>
  <c r="AE74" i="54"/>
  <c r="F75" i="54"/>
  <c r="G75" i="54"/>
  <c r="L75" i="54"/>
  <c r="M75" i="54"/>
  <c r="N75" i="54"/>
  <c r="O75" i="54"/>
  <c r="P75" i="54"/>
  <c r="Q75" i="54"/>
  <c r="R75" i="54"/>
  <c r="S75" i="54"/>
  <c r="T75" i="54"/>
  <c r="U75" i="54"/>
  <c r="V75" i="54"/>
  <c r="W75" i="54"/>
  <c r="X75" i="54"/>
  <c r="Y75" i="54"/>
  <c r="Z75" i="54"/>
  <c r="AA75" i="54"/>
  <c r="AB75" i="54"/>
  <c r="AC75" i="54"/>
  <c r="AD75" i="54"/>
  <c r="AE75" i="54"/>
  <c r="F76" i="54"/>
  <c r="G76" i="54"/>
  <c r="L76" i="54"/>
  <c r="M76" i="54"/>
  <c r="N76" i="54"/>
  <c r="O76" i="54"/>
  <c r="P76" i="54"/>
  <c r="Q76" i="54"/>
  <c r="R76" i="54"/>
  <c r="S76" i="54"/>
  <c r="T76" i="54"/>
  <c r="U76" i="54"/>
  <c r="V76" i="54"/>
  <c r="W76" i="54"/>
  <c r="X76" i="54"/>
  <c r="Y76" i="54"/>
  <c r="Z76" i="54"/>
  <c r="AA76" i="54"/>
  <c r="AB76" i="54"/>
  <c r="AC76" i="54"/>
  <c r="AD76" i="54"/>
  <c r="AE76" i="54"/>
  <c r="F77" i="54"/>
  <c r="G77" i="54"/>
  <c r="L77" i="54"/>
  <c r="M77" i="54"/>
  <c r="N77" i="54"/>
  <c r="O77" i="54"/>
  <c r="P77" i="54"/>
  <c r="Q77" i="54"/>
  <c r="R77" i="54"/>
  <c r="S77" i="54"/>
  <c r="T77" i="54"/>
  <c r="U77" i="54"/>
  <c r="V77" i="54"/>
  <c r="W77" i="54"/>
  <c r="X77" i="54"/>
  <c r="Y77" i="54"/>
  <c r="Z77" i="54"/>
  <c r="AA77" i="54"/>
  <c r="AB77" i="54"/>
  <c r="AC77" i="54"/>
  <c r="AD77" i="54"/>
  <c r="AE77" i="54"/>
  <c r="F78" i="54"/>
  <c r="G78" i="54"/>
  <c r="L78" i="54"/>
  <c r="M78" i="54"/>
  <c r="N78" i="54"/>
  <c r="O78" i="54"/>
  <c r="P78" i="54"/>
  <c r="Q78" i="54"/>
  <c r="R78" i="54"/>
  <c r="S78" i="54"/>
  <c r="T78" i="54"/>
  <c r="U78" i="54"/>
  <c r="V78" i="54"/>
  <c r="W78" i="54"/>
  <c r="X78" i="54"/>
  <c r="Y78" i="54"/>
  <c r="Z78" i="54"/>
  <c r="AA78" i="54"/>
  <c r="AB78" i="54"/>
  <c r="AC78" i="54"/>
  <c r="AD78" i="54"/>
  <c r="AE78" i="54"/>
  <c r="F79" i="54"/>
  <c r="G79" i="54"/>
  <c r="L79" i="54"/>
  <c r="M79" i="54"/>
  <c r="N79" i="54"/>
  <c r="O79" i="54"/>
  <c r="P79" i="54"/>
  <c r="Q79" i="54"/>
  <c r="R79" i="54"/>
  <c r="S79" i="54"/>
  <c r="T79" i="54"/>
  <c r="U79" i="54"/>
  <c r="V79" i="54"/>
  <c r="W79" i="54"/>
  <c r="X79" i="54"/>
  <c r="Y79" i="54"/>
  <c r="Z79" i="54"/>
  <c r="AA79" i="54"/>
  <c r="AB79" i="54"/>
  <c r="AC79" i="54"/>
  <c r="AD79" i="54"/>
  <c r="AE79" i="54"/>
  <c r="F80" i="54"/>
  <c r="G80" i="54"/>
  <c r="L80" i="54"/>
  <c r="M80" i="54"/>
  <c r="N80" i="54"/>
  <c r="O80" i="54"/>
  <c r="P80" i="54"/>
  <c r="Q80" i="54"/>
  <c r="R80" i="54"/>
  <c r="S80" i="54"/>
  <c r="T80" i="54"/>
  <c r="U80" i="54"/>
  <c r="V80" i="54"/>
  <c r="W80" i="54"/>
  <c r="X80" i="54"/>
  <c r="Y80" i="54"/>
  <c r="Z80" i="54"/>
  <c r="AA80" i="54"/>
  <c r="AB80" i="54"/>
  <c r="AC80" i="54"/>
  <c r="AD80" i="54"/>
  <c r="AE80" i="54"/>
  <c r="F81" i="54"/>
  <c r="G81" i="54"/>
  <c r="L81" i="54"/>
  <c r="M81" i="54"/>
  <c r="N81" i="54"/>
  <c r="O81" i="54"/>
  <c r="P81" i="54"/>
  <c r="Q81" i="54"/>
  <c r="R81" i="54"/>
  <c r="S81" i="54"/>
  <c r="T81" i="54"/>
  <c r="U81" i="54"/>
  <c r="V81" i="54"/>
  <c r="W81" i="54"/>
  <c r="X81" i="54"/>
  <c r="Y81" i="54"/>
  <c r="Z81" i="54"/>
  <c r="AA81" i="54"/>
  <c r="AB81" i="54"/>
  <c r="AC81" i="54"/>
  <c r="AD81" i="54"/>
  <c r="AE81" i="54"/>
  <c r="H82" i="54"/>
  <c r="F652" i="44" s="1"/>
  <c r="I82" i="54"/>
  <c r="G652" i="44" s="1"/>
  <c r="A5" i="53"/>
  <c r="F11" i="53"/>
  <c r="H11" i="53"/>
  <c r="I11" i="53"/>
  <c r="M11" i="53" s="1"/>
  <c r="L11" i="53"/>
  <c r="F12" i="53"/>
  <c r="G12" i="53"/>
  <c r="H12" i="53"/>
  <c r="I12" i="53"/>
  <c r="L12" i="53"/>
  <c r="M12" i="53"/>
  <c r="G13" i="53"/>
  <c r="H13" i="53"/>
  <c r="L13" i="53" s="1"/>
  <c r="D13" i="52" s="1"/>
  <c r="I13" i="53"/>
  <c r="M13" i="53" s="1"/>
  <c r="E13" i="52" s="1"/>
  <c r="F14" i="53"/>
  <c r="G14" i="53"/>
  <c r="H14" i="53"/>
  <c r="I14" i="53"/>
  <c r="M14" i="53" s="1"/>
  <c r="E14" i="52" s="1"/>
  <c r="L14" i="53"/>
  <c r="H15" i="53"/>
  <c r="I15" i="53"/>
  <c r="G15" i="53" s="1"/>
  <c r="M15" i="53"/>
  <c r="E15" i="52" s="1"/>
  <c r="J16" i="53"/>
  <c r="J82" i="53" s="1"/>
  <c r="K16" i="53"/>
  <c r="H18" i="53"/>
  <c r="I18" i="53"/>
  <c r="H19" i="53"/>
  <c r="I19" i="53"/>
  <c r="M19" i="53"/>
  <c r="F20" i="53"/>
  <c r="G20" i="53"/>
  <c r="H20" i="53"/>
  <c r="I20" i="53"/>
  <c r="L20" i="53"/>
  <c r="D20" i="52" s="1"/>
  <c r="M20" i="53"/>
  <c r="E20" i="52" s="1"/>
  <c r="G21" i="53"/>
  <c r="H21" i="53"/>
  <c r="L21" i="53" s="1"/>
  <c r="D21" i="52" s="1"/>
  <c r="I21" i="53"/>
  <c r="M21" i="53" s="1"/>
  <c r="E21" i="52" s="1"/>
  <c r="F22" i="53"/>
  <c r="G22" i="53"/>
  <c r="H22" i="53"/>
  <c r="I22" i="53"/>
  <c r="M22" i="53" s="1"/>
  <c r="L22" i="53"/>
  <c r="D22" i="52" s="1"/>
  <c r="H23" i="53"/>
  <c r="I23" i="53"/>
  <c r="J24" i="53"/>
  <c r="K24" i="53"/>
  <c r="F27" i="53"/>
  <c r="G27" i="53"/>
  <c r="H27" i="53"/>
  <c r="H29" i="53" s="1"/>
  <c r="I27" i="53"/>
  <c r="L27" i="53"/>
  <c r="L29" i="53" s="1"/>
  <c r="M27" i="53"/>
  <c r="G28" i="53"/>
  <c r="G29" i="53" s="1"/>
  <c r="H28" i="53"/>
  <c r="L28" i="53" s="1"/>
  <c r="D28" i="52" s="1"/>
  <c r="I28" i="53"/>
  <c r="M28" i="53" s="1"/>
  <c r="I29" i="53"/>
  <c r="J29" i="53"/>
  <c r="K29" i="53"/>
  <c r="F32" i="53"/>
  <c r="H32" i="53"/>
  <c r="I32" i="53"/>
  <c r="L32" i="53"/>
  <c r="H33" i="53"/>
  <c r="I33" i="53"/>
  <c r="G33" i="53" s="1"/>
  <c r="F34" i="53"/>
  <c r="G34" i="53"/>
  <c r="H34" i="53"/>
  <c r="I34" i="53"/>
  <c r="L34" i="53"/>
  <c r="D34" i="52" s="1"/>
  <c r="M34" i="53"/>
  <c r="E34" i="52" s="1"/>
  <c r="G35" i="53"/>
  <c r="H35" i="53"/>
  <c r="L35" i="53" s="1"/>
  <c r="D35" i="52" s="1"/>
  <c r="I35" i="53"/>
  <c r="M35" i="53" s="1"/>
  <c r="E35" i="52" s="1"/>
  <c r="I36" i="53"/>
  <c r="J36" i="53"/>
  <c r="K36" i="53"/>
  <c r="L37" i="53"/>
  <c r="M37" i="53"/>
  <c r="H38" i="53"/>
  <c r="I38" i="53"/>
  <c r="F39" i="53"/>
  <c r="G39" i="53"/>
  <c r="H39" i="53"/>
  <c r="I39" i="53"/>
  <c r="L39" i="53"/>
  <c r="M39" i="53"/>
  <c r="E39" i="52" s="1"/>
  <c r="G40" i="53"/>
  <c r="H40" i="53"/>
  <c r="L40" i="53" s="1"/>
  <c r="I40" i="53"/>
  <c r="M40" i="53" s="1"/>
  <c r="M42" i="53" s="1"/>
  <c r="M43" i="53" s="1"/>
  <c r="F41" i="53"/>
  <c r="H41" i="53"/>
  <c r="I41" i="53"/>
  <c r="M41" i="53" s="1"/>
  <c r="E41" i="52" s="1"/>
  <c r="L41" i="53"/>
  <c r="H42" i="53"/>
  <c r="H43" i="53" s="1"/>
  <c r="J42" i="53"/>
  <c r="K42" i="53"/>
  <c r="K43" i="53" s="1"/>
  <c r="J43" i="53"/>
  <c r="H45" i="53"/>
  <c r="I45" i="53"/>
  <c r="G45" i="53" s="1"/>
  <c r="M45" i="53"/>
  <c r="E45" i="52" s="1"/>
  <c r="F47" i="53"/>
  <c r="G47" i="53"/>
  <c r="H47" i="53"/>
  <c r="I47" i="53"/>
  <c r="L47" i="53"/>
  <c r="D47" i="52" s="1"/>
  <c r="M47" i="53"/>
  <c r="E47" i="52" s="1"/>
  <c r="G49" i="53"/>
  <c r="H49" i="53"/>
  <c r="L49" i="53" s="1"/>
  <c r="D49" i="52" s="1"/>
  <c r="I49" i="53"/>
  <c r="M49" i="53" s="1"/>
  <c r="E49" i="52" s="1"/>
  <c r="F51" i="53"/>
  <c r="G51" i="53"/>
  <c r="H51" i="53"/>
  <c r="I51" i="53"/>
  <c r="M51" i="53" s="1"/>
  <c r="E51" i="52" s="1"/>
  <c r="L51" i="53"/>
  <c r="H54" i="53"/>
  <c r="I54" i="53"/>
  <c r="M54" i="53"/>
  <c r="F55" i="53"/>
  <c r="G55" i="53"/>
  <c r="H55" i="53"/>
  <c r="I55" i="53"/>
  <c r="L55" i="53"/>
  <c r="D55" i="52" s="1"/>
  <c r="M55" i="53"/>
  <c r="E55" i="52" s="1"/>
  <c r="J56" i="53"/>
  <c r="K56" i="53"/>
  <c r="G59" i="53"/>
  <c r="H59" i="53"/>
  <c r="L59" i="53" s="1"/>
  <c r="L61" i="53" s="1"/>
  <c r="I59" i="53"/>
  <c r="M59" i="53" s="1"/>
  <c r="F60" i="53"/>
  <c r="H60" i="53"/>
  <c r="I60" i="53"/>
  <c r="L60" i="53"/>
  <c r="D60" i="52" s="1"/>
  <c r="H61" i="53"/>
  <c r="J61" i="53"/>
  <c r="K61" i="53"/>
  <c r="H64" i="53"/>
  <c r="I64" i="53"/>
  <c r="M64" i="53"/>
  <c r="F65" i="53"/>
  <c r="G65" i="53"/>
  <c r="H65" i="53"/>
  <c r="I65" i="53"/>
  <c r="L65" i="53"/>
  <c r="M65" i="53"/>
  <c r="E65" i="52" s="1"/>
  <c r="J66" i="53"/>
  <c r="K66" i="53"/>
  <c r="L69" i="53"/>
  <c r="M69" i="53"/>
  <c r="F70" i="53"/>
  <c r="G70" i="53"/>
  <c r="H70" i="53"/>
  <c r="H72" i="53" s="1"/>
  <c r="I70" i="53"/>
  <c r="L70" i="53"/>
  <c r="M70" i="53"/>
  <c r="G71" i="53"/>
  <c r="H71" i="53"/>
  <c r="L71" i="53" s="1"/>
  <c r="I71" i="53"/>
  <c r="M71" i="53" s="1"/>
  <c r="E71" i="52" s="1"/>
  <c r="G72" i="53"/>
  <c r="I72" i="53"/>
  <c r="J72" i="53"/>
  <c r="K72" i="53"/>
  <c r="F73" i="53"/>
  <c r="G73" i="53"/>
  <c r="H73" i="53"/>
  <c r="I73" i="53"/>
  <c r="M73" i="53" s="1"/>
  <c r="L73" i="53"/>
  <c r="D73" i="52" s="1"/>
  <c r="H74" i="53"/>
  <c r="I74" i="53"/>
  <c r="G74" i="53" s="1"/>
  <c r="M74" i="53"/>
  <c r="E74" i="52" s="1"/>
  <c r="F75" i="53"/>
  <c r="G75" i="53"/>
  <c r="H75" i="53"/>
  <c r="I75" i="53"/>
  <c r="L75" i="53"/>
  <c r="D75" i="52" s="1"/>
  <c r="M75" i="53"/>
  <c r="G76" i="53"/>
  <c r="H76" i="53"/>
  <c r="L76" i="53" s="1"/>
  <c r="I76" i="53"/>
  <c r="M76" i="53" s="1"/>
  <c r="E76" i="52" s="1"/>
  <c r="F77" i="53"/>
  <c r="H77" i="53"/>
  <c r="I77" i="53"/>
  <c r="M77" i="53" s="1"/>
  <c r="E77" i="52" s="1"/>
  <c r="L77" i="53"/>
  <c r="D77" i="52" s="1"/>
  <c r="H78" i="53"/>
  <c r="I78" i="53"/>
  <c r="G78" i="53" s="1"/>
  <c r="F79" i="53"/>
  <c r="G79" i="53"/>
  <c r="H79" i="53"/>
  <c r="I79" i="53"/>
  <c r="L79" i="53"/>
  <c r="M79" i="53"/>
  <c r="G80" i="53"/>
  <c r="H80" i="53"/>
  <c r="L80" i="53" s="1"/>
  <c r="I80" i="53"/>
  <c r="M80" i="53" s="1"/>
  <c r="E80" i="52" s="1"/>
  <c r="F81" i="53"/>
  <c r="H81" i="53"/>
  <c r="I81" i="53"/>
  <c r="M81" i="53" s="1"/>
  <c r="L81" i="53"/>
  <c r="D81" i="52" s="1"/>
  <c r="D82" i="53"/>
  <c r="E82" i="53"/>
  <c r="A5" i="52"/>
  <c r="D11" i="52"/>
  <c r="E12" i="52"/>
  <c r="D14" i="52"/>
  <c r="E22" i="52"/>
  <c r="G23" i="52"/>
  <c r="E28" i="52"/>
  <c r="D32" i="52"/>
  <c r="D39" i="52"/>
  <c r="E40" i="52"/>
  <c r="E42" i="52" s="1"/>
  <c r="E43" i="52" s="1"/>
  <c r="D41" i="52"/>
  <c r="H47" i="52"/>
  <c r="I49" i="52"/>
  <c r="D51" i="52"/>
  <c r="E64" i="52"/>
  <c r="D65" i="52"/>
  <c r="D70" i="52"/>
  <c r="D72" i="52" s="1"/>
  <c r="D71" i="52"/>
  <c r="E73" i="52"/>
  <c r="E75" i="52"/>
  <c r="D76" i="52"/>
  <c r="D79" i="52"/>
  <c r="E79" i="52"/>
  <c r="D80" i="52"/>
  <c r="E81" i="52"/>
  <c r="A5" i="18"/>
  <c r="F11" i="18"/>
  <c r="G11" i="18"/>
  <c r="H11" i="18"/>
  <c r="I11" i="18"/>
  <c r="L11" i="18"/>
  <c r="M11" i="18"/>
  <c r="H12" i="18"/>
  <c r="I12" i="18"/>
  <c r="M12" i="18" s="1"/>
  <c r="F13" i="18"/>
  <c r="G13" i="18"/>
  <c r="H13" i="18"/>
  <c r="I13" i="18"/>
  <c r="M13" i="18" s="1"/>
  <c r="E13" i="42" s="1"/>
  <c r="L13" i="18"/>
  <c r="D13" i="42" s="1"/>
  <c r="H14" i="18"/>
  <c r="I14" i="18"/>
  <c r="G14" i="18" s="1"/>
  <c r="F15" i="18"/>
  <c r="G15" i="18"/>
  <c r="H15" i="18"/>
  <c r="I15" i="18"/>
  <c r="L15" i="18"/>
  <c r="M15" i="18"/>
  <c r="E15" i="42" s="1"/>
  <c r="I16" i="18"/>
  <c r="J16" i="18"/>
  <c r="K16" i="18"/>
  <c r="H18" i="18"/>
  <c r="I18" i="18"/>
  <c r="F19" i="18"/>
  <c r="G19" i="18"/>
  <c r="G24" i="18" s="1"/>
  <c r="H19" i="18"/>
  <c r="I19" i="18"/>
  <c r="L19" i="18"/>
  <c r="M19" i="18"/>
  <c r="G20" i="18"/>
  <c r="H20" i="18"/>
  <c r="I20" i="18"/>
  <c r="M20" i="18" s="1"/>
  <c r="F21" i="18"/>
  <c r="H21" i="18"/>
  <c r="I21" i="18"/>
  <c r="G21" i="18" s="1"/>
  <c r="L21" i="18"/>
  <c r="H22" i="18"/>
  <c r="I22" i="18"/>
  <c r="G22" i="18" s="1"/>
  <c r="M22" i="18"/>
  <c r="F23" i="18"/>
  <c r="G23" i="18"/>
  <c r="H23" i="18"/>
  <c r="I23" i="18"/>
  <c r="L23" i="18"/>
  <c r="D23" i="42" s="1"/>
  <c r="M23" i="18"/>
  <c r="H24" i="18"/>
  <c r="J24" i="18"/>
  <c r="K24" i="18"/>
  <c r="H27" i="18"/>
  <c r="F27" i="18" s="1"/>
  <c r="I27" i="18"/>
  <c r="M27" i="18" s="1"/>
  <c r="F28" i="18"/>
  <c r="H28" i="18"/>
  <c r="I28" i="18"/>
  <c r="L28" i="18"/>
  <c r="F29" i="18"/>
  <c r="J29" i="18"/>
  <c r="K29" i="18"/>
  <c r="H32" i="18"/>
  <c r="L32" i="18" s="1"/>
  <c r="I32" i="18"/>
  <c r="G32" i="18" s="1"/>
  <c r="M32" i="18"/>
  <c r="F33" i="18"/>
  <c r="G33" i="18"/>
  <c r="H33" i="18"/>
  <c r="L33" i="18" s="1"/>
  <c r="I33" i="18"/>
  <c r="M33" i="18"/>
  <c r="H34" i="18"/>
  <c r="F34" i="18" s="1"/>
  <c r="I34" i="18"/>
  <c r="F35" i="18"/>
  <c r="H35" i="18"/>
  <c r="I35" i="18"/>
  <c r="G35" i="18" s="1"/>
  <c r="L35" i="18"/>
  <c r="D35" i="42" s="1"/>
  <c r="J36" i="18"/>
  <c r="K36" i="18"/>
  <c r="L37" i="18"/>
  <c r="M37" i="18"/>
  <c r="H38" i="18"/>
  <c r="I38" i="18"/>
  <c r="H39" i="18"/>
  <c r="F39" i="18" s="1"/>
  <c r="I39" i="18"/>
  <c r="M39" i="18" s="1"/>
  <c r="F40" i="18"/>
  <c r="F42" i="18" s="1"/>
  <c r="F43" i="18" s="1"/>
  <c r="H40" i="18"/>
  <c r="I40" i="18"/>
  <c r="L40" i="18"/>
  <c r="L42" i="18" s="1"/>
  <c r="F41" i="18"/>
  <c r="H41" i="18"/>
  <c r="L41" i="18" s="1"/>
  <c r="D41" i="42" s="1"/>
  <c r="I41" i="18"/>
  <c r="G41" i="18" s="1"/>
  <c r="M41" i="18"/>
  <c r="E41" i="42" s="1"/>
  <c r="H42" i="18"/>
  <c r="H43" i="18" s="1"/>
  <c r="J42" i="18"/>
  <c r="K42" i="18"/>
  <c r="K43" i="18" s="1"/>
  <c r="J43" i="18"/>
  <c r="F45" i="18"/>
  <c r="G45" i="18"/>
  <c r="H45" i="18"/>
  <c r="L45" i="18" s="1"/>
  <c r="D45" i="42" s="1"/>
  <c r="I45" i="18"/>
  <c r="M45" i="18"/>
  <c r="E45" i="42" s="1"/>
  <c r="H47" i="18"/>
  <c r="F47" i="18" s="1"/>
  <c r="I47" i="18"/>
  <c r="M47" i="18" s="1"/>
  <c r="E47" i="42" s="1"/>
  <c r="F49" i="18"/>
  <c r="H49" i="18"/>
  <c r="I49" i="18"/>
  <c r="M49" i="18" s="1"/>
  <c r="L49" i="18"/>
  <c r="F51" i="18"/>
  <c r="H51" i="18"/>
  <c r="L51" i="18" s="1"/>
  <c r="I51" i="18"/>
  <c r="G51" i="18" s="1"/>
  <c r="M51" i="18"/>
  <c r="E51" i="42" s="1"/>
  <c r="G54" i="18"/>
  <c r="G56" i="18" s="1"/>
  <c r="H54" i="18"/>
  <c r="F54" i="18" s="1"/>
  <c r="F56" i="18" s="1"/>
  <c r="I54" i="18"/>
  <c r="M54" i="18" s="1"/>
  <c r="E54" i="42" s="1"/>
  <c r="E56" i="42" s="1"/>
  <c r="L54" i="18"/>
  <c r="L56" i="18" s="1"/>
  <c r="G55" i="18"/>
  <c r="H55" i="18"/>
  <c r="F55" i="18" s="1"/>
  <c r="I55" i="18"/>
  <c r="L55" i="18"/>
  <c r="D55" i="42" s="1"/>
  <c r="M55" i="18"/>
  <c r="J56" i="18"/>
  <c r="K56" i="18"/>
  <c r="M56" i="18"/>
  <c r="F59" i="18"/>
  <c r="G59" i="18"/>
  <c r="H59" i="18"/>
  <c r="I59" i="18"/>
  <c r="L59" i="18"/>
  <c r="L61" i="18" s="1"/>
  <c r="M59" i="18"/>
  <c r="G60" i="18"/>
  <c r="G61" i="18" s="1"/>
  <c r="H60" i="18"/>
  <c r="L60" i="18" s="1"/>
  <c r="I60" i="18"/>
  <c r="I61" i="18" s="1"/>
  <c r="M60" i="18"/>
  <c r="E60" i="42" s="1"/>
  <c r="H61" i="18"/>
  <c r="J61" i="18"/>
  <c r="K61" i="18"/>
  <c r="F64" i="18"/>
  <c r="H64" i="18"/>
  <c r="H66" i="18" s="1"/>
  <c r="I64" i="18"/>
  <c r="M64" i="18"/>
  <c r="H65" i="18"/>
  <c r="F65" i="18" s="1"/>
  <c r="I65" i="18"/>
  <c r="G65" i="18" s="1"/>
  <c r="F66" i="18"/>
  <c r="J66" i="18"/>
  <c r="K66" i="18"/>
  <c r="L69" i="18"/>
  <c r="M69" i="18"/>
  <c r="H70" i="18"/>
  <c r="I70" i="18"/>
  <c r="G70" i="18" s="1"/>
  <c r="G72" i="18" s="1"/>
  <c r="M70" i="18"/>
  <c r="M72" i="18" s="1"/>
  <c r="F71" i="18"/>
  <c r="G71" i="18"/>
  <c r="H71" i="18"/>
  <c r="I71" i="18"/>
  <c r="L71" i="18"/>
  <c r="D71" i="42" s="1"/>
  <c r="M71" i="18"/>
  <c r="I72" i="18"/>
  <c r="J72" i="18"/>
  <c r="K72" i="18"/>
  <c r="F73" i="18"/>
  <c r="G73" i="18"/>
  <c r="H73" i="18"/>
  <c r="L73" i="18" s="1"/>
  <c r="I73" i="18"/>
  <c r="M73" i="18"/>
  <c r="E73" i="42" s="1"/>
  <c r="G74" i="18"/>
  <c r="H74" i="18"/>
  <c r="F74" i="18" s="1"/>
  <c r="I74" i="18"/>
  <c r="M74" i="18" s="1"/>
  <c r="L74" i="18"/>
  <c r="D74" i="42" s="1"/>
  <c r="G75" i="18"/>
  <c r="H75" i="18"/>
  <c r="I75" i="18"/>
  <c r="M75" i="18"/>
  <c r="E75" i="42" s="1"/>
  <c r="F76" i="18"/>
  <c r="G76" i="18"/>
  <c r="H76" i="18"/>
  <c r="I76" i="18"/>
  <c r="M76" i="18" s="1"/>
  <c r="E76" i="42" s="1"/>
  <c r="L76" i="18"/>
  <c r="D76" i="42" s="1"/>
  <c r="F77" i="18"/>
  <c r="H77" i="18"/>
  <c r="L77" i="18" s="1"/>
  <c r="I77" i="18"/>
  <c r="G77" i="18" s="1"/>
  <c r="F78" i="18"/>
  <c r="H78" i="18"/>
  <c r="I78" i="18"/>
  <c r="L78" i="18"/>
  <c r="D78" i="42" s="1"/>
  <c r="G79" i="18"/>
  <c r="H79" i="18"/>
  <c r="F79" i="18" s="1"/>
  <c r="I79" i="18"/>
  <c r="M79" i="18" s="1"/>
  <c r="E79" i="42" s="1"/>
  <c r="L79" i="18"/>
  <c r="F80" i="18"/>
  <c r="H80" i="18"/>
  <c r="I80" i="18"/>
  <c r="G80" i="18" s="1"/>
  <c r="L80" i="18"/>
  <c r="H81" i="18"/>
  <c r="L81" i="18" s="1"/>
  <c r="D81" i="42" s="1"/>
  <c r="I81" i="18"/>
  <c r="M81" i="18" s="1"/>
  <c r="E81" i="42" s="1"/>
  <c r="D82" i="18"/>
  <c r="E82" i="18"/>
  <c r="A5" i="30"/>
  <c r="AD8" i="30"/>
  <c r="D11" i="30"/>
  <c r="F11" i="30"/>
  <c r="G11" i="30"/>
  <c r="E11" i="30" s="1"/>
  <c r="D12" i="30"/>
  <c r="E12" i="30"/>
  <c r="F12" i="30"/>
  <c r="G12" i="30"/>
  <c r="D13" i="30"/>
  <c r="F13" i="42" s="1"/>
  <c r="F13" i="30"/>
  <c r="G13" i="30"/>
  <c r="E13" i="30" s="1"/>
  <c r="G13" i="42" s="1"/>
  <c r="I13" i="42" s="1"/>
  <c r="D14" i="30"/>
  <c r="F14" i="42" s="1"/>
  <c r="E14" i="30"/>
  <c r="F14" i="30"/>
  <c r="G14" i="30"/>
  <c r="D15" i="30"/>
  <c r="F15" i="30"/>
  <c r="G15" i="30"/>
  <c r="E15" i="30" s="1"/>
  <c r="G15" i="42" s="1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F19" i="30"/>
  <c r="G19" i="30"/>
  <c r="E19" i="30" s="1"/>
  <c r="D20" i="30"/>
  <c r="F20" i="42" s="1"/>
  <c r="E20" i="30"/>
  <c r="F20" i="30"/>
  <c r="G20" i="30"/>
  <c r="D21" i="30"/>
  <c r="F21" i="42" s="1"/>
  <c r="F21" i="30"/>
  <c r="G21" i="30"/>
  <c r="E21" i="30" s="1"/>
  <c r="D22" i="30"/>
  <c r="E22" i="30"/>
  <c r="F22" i="30"/>
  <c r="G22" i="30"/>
  <c r="D23" i="30"/>
  <c r="F23" i="42" s="1"/>
  <c r="H23" i="42" s="1"/>
  <c r="F23" i="30"/>
  <c r="G23" i="30"/>
  <c r="E23" i="30" s="1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X82" i="30" s="1"/>
  <c r="V649" i="44" s="1"/>
  <c r="Y24" i="30"/>
  <c r="Z24" i="30"/>
  <c r="AA24" i="30"/>
  <c r="AB24" i="30"/>
  <c r="AC24" i="30"/>
  <c r="AD24" i="30"/>
  <c r="AE24" i="30"/>
  <c r="D27" i="30"/>
  <c r="F27" i="42" s="1"/>
  <c r="F27" i="30"/>
  <c r="G27" i="30"/>
  <c r="E27" i="30" s="1"/>
  <c r="D28" i="30"/>
  <c r="E28" i="30"/>
  <c r="F28" i="30"/>
  <c r="F29" i="30" s="1"/>
  <c r="G28" i="30"/>
  <c r="D29" i="30"/>
  <c r="G29" i="30"/>
  <c r="H29" i="30"/>
  <c r="I29" i="30"/>
  <c r="J29" i="30"/>
  <c r="J82" i="30" s="1"/>
  <c r="H649" i="44" s="1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Z82" i="30" s="1"/>
  <c r="X649" i="44" s="1"/>
  <c r="AA29" i="30"/>
  <c r="AB29" i="30"/>
  <c r="AC29" i="30"/>
  <c r="AD29" i="30"/>
  <c r="AE29" i="30"/>
  <c r="AE82" i="30" s="1"/>
  <c r="AC649" i="44" s="1"/>
  <c r="E32" i="30"/>
  <c r="F32" i="30"/>
  <c r="D32" i="30" s="1"/>
  <c r="G32" i="30"/>
  <c r="D33" i="30"/>
  <c r="F33" i="42" s="1"/>
  <c r="F33" i="30"/>
  <c r="G33" i="30"/>
  <c r="E34" i="30"/>
  <c r="F34" i="30"/>
  <c r="D34" i="30" s="1"/>
  <c r="F34" i="42" s="1"/>
  <c r="G34" i="30"/>
  <c r="D35" i="30"/>
  <c r="F35" i="30"/>
  <c r="G35" i="30"/>
  <c r="E35" i="30" s="1"/>
  <c r="G35" i="42" s="1"/>
  <c r="F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F39" i="42" s="1"/>
  <c r="F39" i="30"/>
  <c r="G39" i="30"/>
  <c r="E39" i="30" s="1"/>
  <c r="G39" i="42" s="1"/>
  <c r="E40" i="30"/>
  <c r="F40" i="30"/>
  <c r="D40" i="30" s="1"/>
  <c r="G40" i="30"/>
  <c r="D41" i="30"/>
  <c r="E41" i="30"/>
  <c r="F41" i="30"/>
  <c r="G41" i="30"/>
  <c r="G42" i="30" s="1"/>
  <c r="F42" i="30"/>
  <c r="F43" i="30" s="1"/>
  <c r="H42" i="30"/>
  <c r="I42" i="30"/>
  <c r="I43" i="30" s="1"/>
  <c r="J42" i="30"/>
  <c r="K42" i="30"/>
  <c r="K43" i="30" s="1"/>
  <c r="L42" i="30"/>
  <c r="L43" i="30" s="1"/>
  <c r="L82" i="30" s="1"/>
  <c r="J649" i="44" s="1"/>
  <c r="M42" i="30"/>
  <c r="N42" i="30"/>
  <c r="N43" i="30" s="1"/>
  <c r="O42" i="30"/>
  <c r="P42" i="30"/>
  <c r="P43" i="30" s="1"/>
  <c r="Q42" i="30"/>
  <c r="Q43" i="30" s="1"/>
  <c r="R42" i="30"/>
  <c r="S42" i="30"/>
  <c r="S43" i="30" s="1"/>
  <c r="T42" i="30"/>
  <c r="U42" i="30"/>
  <c r="U43" i="30" s="1"/>
  <c r="V42" i="30"/>
  <c r="V43" i="30" s="1"/>
  <c r="W42" i="30"/>
  <c r="X42" i="30"/>
  <c r="Y42" i="30"/>
  <c r="Y43" i="30" s="1"/>
  <c r="Z42" i="30"/>
  <c r="AA42" i="30"/>
  <c r="AA43" i="30" s="1"/>
  <c r="AB42" i="30"/>
  <c r="AB43" i="30" s="1"/>
  <c r="AC42" i="30"/>
  <c r="AD42" i="30"/>
  <c r="AD43" i="30" s="1"/>
  <c r="AE42" i="30"/>
  <c r="H43" i="30"/>
  <c r="J43" i="30"/>
  <c r="M43" i="30"/>
  <c r="O43" i="30"/>
  <c r="R43" i="30"/>
  <c r="T43" i="30"/>
  <c r="W43" i="30"/>
  <c r="X43" i="30"/>
  <c r="Z43" i="30"/>
  <c r="AC43" i="30"/>
  <c r="AE43" i="30"/>
  <c r="D45" i="30"/>
  <c r="E45" i="30"/>
  <c r="G45" i="42" s="1"/>
  <c r="F45" i="30"/>
  <c r="G45" i="30"/>
  <c r="D47" i="30"/>
  <c r="E47" i="30"/>
  <c r="G47" i="42" s="1"/>
  <c r="I47" i="42" s="1"/>
  <c r="F47" i="30"/>
  <c r="G47" i="30"/>
  <c r="D49" i="30"/>
  <c r="F49" i="42" s="1"/>
  <c r="H49" i="42" s="1"/>
  <c r="E49" i="30"/>
  <c r="G49" i="42" s="1"/>
  <c r="F49" i="30"/>
  <c r="G49" i="30"/>
  <c r="D51" i="30"/>
  <c r="E51" i="30"/>
  <c r="F51" i="30"/>
  <c r="G51" i="30"/>
  <c r="D54" i="30"/>
  <c r="E54" i="30"/>
  <c r="G54" i="42" s="1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G59" i="42" s="1"/>
  <c r="F59" i="30"/>
  <c r="G59" i="30"/>
  <c r="D60" i="30"/>
  <c r="D61" i="30" s="1"/>
  <c r="E60" i="30"/>
  <c r="F60" i="30"/>
  <c r="F61" i="30" s="1"/>
  <c r="G60" i="30"/>
  <c r="G61" i="30" s="1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E64" i="30"/>
  <c r="F64" i="30"/>
  <c r="D64" i="30" s="1"/>
  <c r="G64" i="30"/>
  <c r="D65" i="30"/>
  <c r="F65" i="42" s="1"/>
  <c r="F65" i="30"/>
  <c r="G65" i="30"/>
  <c r="E65" i="30" s="1"/>
  <c r="F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F70" i="42" s="1"/>
  <c r="F70" i="30"/>
  <c r="G70" i="30"/>
  <c r="E70" i="30" s="1"/>
  <c r="E71" i="30"/>
  <c r="F71" i="30"/>
  <c r="G71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U82" i="30" s="1"/>
  <c r="S649" i="44" s="1"/>
  <c r="V72" i="30"/>
  <c r="W72" i="30"/>
  <c r="X72" i="30"/>
  <c r="Y72" i="30"/>
  <c r="Z72" i="30"/>
  <c r="AA72" i="30"/>
  <c r="AB72" i="30"/>
  <c r="AC72" i="30"/>
  <c r="AD72" i="30"/>
  <c r="AE72" i="30"/>
  <c r="F73" i="30"/>
  <c r="D73" i="30" s="1"/>
  <c r="F73" i="42" s="1"/>
  <c r="G73" i="30"/>
  <c r="E73" i="30" s="1"/>
  <c r="G73" i="42" s="1"/>
  <c r="I73" i="42" s="1"/>
  <c r="D74" i="30"/>
  <c r="E74" i="30"/>
  <c r="F74" i="30"/>
  <c r="G74" i="30"/>
  <c r="F75" i="30"/>
  <c r="D75" i="30" s="1"/>
  <c r="F75" i="42" s="1"/>
  <c r="G75" i="30"/>
  <c r="E75" i="30" s="1"/>
  <c r="G75" i="42" s="1"/>
  <c r="D76" i="30"/>
  <c r="E76" i="30"/>
  <c r="F76" i="30"/>
  <c r="G76" i="30"/>
  <c r="F77" i="30"/>
  <c r="D77" i="30" s="1"/>
  <c r="F77" i="42" s="1"/>
  <c r="G77" i="30"/>
  <c r="E77" i="30" s="1"/>
  <c r="G77" i="42" s="1"/>
  <c r="D78" i="30"/>
  <c r="F78" i="42" s="1"/>
  <c r="E78" i="30"/>
  <c r="G78" i="42" s="1"/>
  <c r="F78" i="30"/>
  <c r="G78" i="30"/>
  <c r="F79" i="30"/>
  <c r="D79" i="30" s="1"/>
  <c r="F79" i="42" s="1"/>
  <c r="H79" i="42" s="1"/>
  <c r="G79" i="30"/>
  <c r="E79" i="30" s="1"/>
  <c r="G79" i="42" s="1"/>
  <c r="D80" i="30"/>
  <c r="E80" i="30"/>
  <c r="G80" i="42" s="1"/>
  <c r="F80" i="30"/>
  <c r="G80" i="30"/>
  <c r="F81" i="30"/>
  <c r="D81" i="30" s="1"/>
  <c r="F81" i="42" s="1"/>
  <c r="G81" i="30"/>
  <c r="E81" i="30" s="1"/>
  <c r="G81" i="42" s="1"/>
  <c r="O82" i="30"/>
  <c r="M649" i="44" s="1"/>
  <c r="R82" i="30"/>
  <c r="P649" i="44" s="1"/>
  <c r="T82" i="30"/>
  <c r="R649" i="44" s="1"/>
  <c r="A5" i="42"/>
  <c r="D11" i="42"/>
  <c r="E12" i="42"/>
  <c r="F12" i="42"/>
  <c r="G12" i="42"/>
  <c r="I12" i="42"/>
  <c r="G14" i="42"/>
  <c r="D15" i="42"/>
  <c r="F15" i="42"/>
  <c r="E19" i="42"/>
  <c r="E20" i="42"/>
  <c r="G20" i="42"/>
  <c r="D21" i="42"/>
  <c r="G21" i="42"/>
  <c r="E22" i="42"/>
  <c r="F22" i="42"/>
  <c r="G22" i="42"/>
  <c r="I22" i="42"/>
  <c r="E23" i="42"/>
  <c r="G23" i="42"/>
  <c r="E27" i="42"/>
  <c r="D28" i="42"/>
  <c r="H28" i="42" s="1"/>
  <c r="F28" i="42"/>
  <c r="G28" i="42"/>
  <c r="D32" i="42"/>
  <c r="E32" i="42"/>
  <c r="G32" i="42"/>
  <c r="I32" i="42" s="1"/>
  <c r="E33" i="42"/>
  <c r="G34" i="42"/>
  <c r="F35" i="42"/>
  <c r="H35" i="42"/>
  <c r="E39" i="42"/>
  <c r="D40" i="42"/>
  <c r="G40" i="42"/>
  <c r="F41" i="42"/>
  <c r="H41" i="42"/>
  <c r="D42" i="42"/>
  <c r="F45" i="42"/>
  <c r="H45" i="42"/>
  <c r="F47" i="42"/>
  <c r="D49" i="42"/>
  <c r="E49" i="42"/>
  <c r="D51" i="42"/>
  <c r="F51" i="42"/>
  <c r="G51" i="42"/>
  <c r="I51" i="42"/>
  <c r="D54" i="42"/>
  <c r="D56" i="42" s="1"/>
  <c r="F54" i="42"/>
  <c r="H54" i="42"/>
  <c r="I54" i="42"/>
  <c r="I56" i="42" s="1"/>
  <c r="E55" i="42"/>
  <c r="F55" i="42"/>
  <c r="G55" i="42"/>
  <c r="I55" i="42"/>
  <c r="G56" i="42"/>
  <c r="D59" i="42"/>
  <c r="F59" i="42"/>
  <c r="H59" i="42" s="1"/>
  <c r="D60" i="42"/>
  <c r="F60" i="42"/>
  <c r="G64" i="42"/>
  <c r="E70" i="42"/>
  <c r="E72" i="42" s="1"/>
  <c r="E71" i="42"/>
  <c r="G71" i="42"/>
  <c r="D73" i="42"/>
  <c r="E74" i="42"/>
  <c r="F74" i="42"/>
  <c r="G74" i="42"/>
  <c r="H74" i="42"/>
  <c r="F76" i="42"/>
  <c r="G76" i="42"/>
  <c r="D77" i="42"/>
  <c r="H78" i="42"/>
  <c r="D79" i="42"/>
  <c r="D80" i="42"/>
  <c r="F80" i="42"/>
  <c r="H81" i="42"/>
  <c r="A5" i="7"/>
  <c r="D11" i="7"/>
  <c r="E11" i="7"/>
  <c r="D12" i="7"/>
  <c r="E12" i="7"/>
  <c r="D13" i="7"/>
  <c r="E13" i="7"/>
  <c r="E16" i="7" s="1"/>
  <c r="D14" i="7"/>
  <c r="E14" i="7"/>
  <c r="D15" i="7"/>
  <c r="E15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D21" i="7"/>
  <c r="E21" i="7"/>
  <c r="D22" i="7"/>
  <c r="E22" i="7"/>
  <c r="D23" i="7"/>
  <c r="E23" i="7"/>
  <c r="D24" i="7"/>
  <c r="F24" i="7"/>
  <c r="G24" i="7"/>
  <c r="H24" i="7"/>
  <c r="I24" i="7"/>
  <c r="J24" i="7"/>
  <c r="J82" i="7" s="1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E29" i="7" s="1"/>
  <c r="D28" i="7"/>
  <c r="D29" i="7" s="1"/>
  <c r="E28" i="7"/>
  <c r="F29" i="7"/>
  <c r="F82" i="7" s="1"/>
  <c r="G29" i="7"/>
  <c r="H29" i="7"/>
  <c r="I29" i="7"/>
  <c r="J29" i="7"/>
  <c r="K29" i="7"/>
  <c r="K82" i="7" s="1"/>
  <c r="K91" i="7" s="1"/>
  <c r="L29" i="7"/>
  <c r="M29" i="7"/>
  <c r="N29" i="7"/>
  <c r="N82" i="7" s="1"/>
  <c r="N91" i="7" s="1"/>
  <c r="O29" i="7"/>
  <c r="P29" i="7"/>
  <c r="Q29" i="7"/>
  <c r="R29" i="7"/>
  <c r="S29" i="7"/>
  <c r="S82" i="7" s="1"/>
  <c r="S91" i="7" s="1"/>
  <c r="T29" i="7"/>
  <c r="U29" i="7"/>
  <c r="V29" i="7"/>
  <c r="W29" i="7"/>
  <c r="X29" i="7"/>
  <c r="Y29" i="7"/>
  <c r="Z29" i="7"/>
  <c r="AA29" i="7"/>
  <c r="AA82" i="7" s="1"/>
  <c r="AA91" i="7" s="1"/>
  <c r="AB29" i="7"/>
  <c r="AC29" i="7"/>
  <c r="AD29" i="7"/>
  <c r="AE29" i="7"/>
  <c r="D32" i="7"/>
  <c r="E32" i="7"/>
  <c r="D33" i="7"/>
  <c r="E33" i="7"/>
  <c r="E36" i="7" s="1"/>
  <c r="D34" i="7"/>
  <c r="E34" i="7"/>
  <c r="D35" i="7"/>
  <c r="D36" i="7" s="1"/>
  <c r="E35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E42" i="7"/>
  <c r="E43" i="7" s="1"/>
  <c r="F42" i="7"/>
  <c r="G42" i="7"/>
  <c r="H42" i="7"/>
  <c r="H43" i="7" s="1"/>
  <c r="I42" i="7"/>
  <c r="J42" i="7"/>
  <c r="J43" i="7" s="1"/>
  <c r="K42" i="7"/>
  <c r="K43" i="7" s="1"/>
  <c r="L42" i="7"/>
  <c r="M42" i="7"/>
  <c r="N42" i="7"/>
  <c r="O42" i="7"/>
  <c r="P42" i="7"/>
  <c r="P43" i="7" s="1"/>
  <c r="P82" i="7" s="1"/>
  <c r="P91" i="7" s="1"/>
  <c r="Q42" i="7"/>
  <c r="R42" i="7"/>
  <c r="R43" i="7" s="1"/>
  <c r="S42" i="7"/>
  <c r="S43" i="7" s="1"/>
  <c r="T42" i="7"/>
  <c r="T43" i="7" s="1"/>
  <c r="U42" i="7"/>
  <c r="V42" i="7"/>
  <c r="W42" i="7"/>
  <c r="X42" i="7"/>
  <c r="X43" i="7" s="1"/>
  <c r="Y42" i="7"/>
  <c r="Z42" i="7"/>
  <c r="Z43" i="7" s="1"/>
  <c r="AA42" i="7"/>
  <c r="AA43" i="7" s="1"/>
  <c r="AB42" i="7"/>
  <c r="AC42" i="7"/>
  <c r="AC43" i="7" s="1"/>
  <c r="AD42" i="7"/>
  <c r="AE42" i="7"/>
  <c r="F43" i="7"/>
  <c r="G43" i="7"/>
  <c r="I43" i="7"/>
  <c r="L43" i="7"/>
  <c r="M43" i="7"/>
  <c r="N43" i="7"/>
  <c r="O43" i="7"/>
  <c r="Q43" i="7"/>
  <c r="U43" i="7"/>
  <c r="V43" i="7"/>
  <c r="V82" i="7" s="1"/>
  <c r="V91" i="7" s="1"/>
  <c r="W43" i="7"/>
  <c r="Y43" i="7"/>
  <c r="AB43" i="7"/>
  <c r="AD43" i="7"/>
  <c r="AE43" i="7"/>
  <c r="D45" i="7"/>
  <c r="E45" i="7"/>
  <c r="D47" i="7"/>
  <c r="E47" i="7"/>
  <c r="D49" i="7"/>
  <c r="E49" i="7"/>
  <c r="D51" i="7"/>
  <c r="E51" i="7"/>
  <c r="D54" i="7"/>
  <c r="E54" i="7"/>
  <c r="E56" i="7" s="1"/>
  <c r="D55" i="7"/>
  <c r="E55" i="7"/>
  <c r="D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E61" i="7" s="1"/>
  <c r="D60" i="7"/>
  <c r="E60" i="7"/>
  <c r="D61" i="7"/>
  <c r="F61" i="7"/>
  <c r="G61" i="7"/>
  <c r="G82" i="7" s="1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W82" i="7" s="1"/>
  <c r="X61" i="7"/>
  <c r="Y61" i="7"/>
  <c r="Z61" i="7"/>
  <c r="AA61" i="7"/>
  <c r="AB61" i="7"/>
  <c r="AC61" i="7"/>
  <c r="AD61" i="7"/>
  <c r="AE61" i="7"/>
  <c r="D64" i="7"/>
  <c r="E64" i="7"/>
  <c r="E66" i="7" s="1"/>
  <c r="D65" i="7"/>
  <c r="E65" i="7"/>
  <c r="D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E72" i="7" s="1"/>
  <c r="D71" i="7"/>
  <c r="E71" i="7"/>
  <c r="D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K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M82" i="7"/>
  <c r="M91" i="7" s="1"/>
  <c r="AC82" i="7"/>
  <c r="AC91" i="7" s="1"/>
  <c r="D86" i="7"/>
  <c r="E86" i="7"/>
  <c r="D87" i="7"/>
  <c r="U87" i="7"/>
  <c r="W87" i="7"/>
  <c r="E87" i="7" s="1"/>
  <c r="X87" i="7"/>
  <c r="D88" i="7"/>
  <c r="E88" i="7"/>
  <c r="X88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F91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100" i="7"/>
  <c r="A5" i="5"/>
  <c r="A4" i="15"/>
  <c r="A5" i="15"/>
  <c r="D11" i="15"/>
  <c r="E11" i="15"/>
  <c r="E16" i="15" s="1"/>
  <c r="J11" i="15"/>
  <c r="J16" i="15" s="1"/>
  <c r="K11" i="15"/>
  <c r="D12" i="15"/>
  <c r="E12" i="15"/>
  <c r="J12" i="15"/>
  <c r="K12" i="15"/>
  <c r="K16" i="15" s="1"/>
  <c r="D13" i="15"/>
  <c r="E13" i="15"/>
  <c r="J13" i="15"/>
  <c r="K13" i="15"/>
  <c r="D14" i="15"/>
  <c r="E14" i="15"/>
  <c r="J14" i="15"/>
  <c r="K14" i="15"/>
  <c r="D15" i="15"/>
  <c r="E15" i="15"/>
  <c r="J15" i="15"/>
  <c r="K15" i="15"/>
  <c r="D19" i="15"/>
  <c r="E19" i="15"/>
  <c r="E24" i="15" s="1"/>
  <c r="J19" i="15"/>
  <c r="K19" i="15"/>
  <c r="D20" i="15"/>
  <c r="E20" i="15"/>
  <c r="I20" i="15"/>
  <c r="J20" i="15"/>
  <c r="K20" i="15"/>
  <c r="D21" i="15"/>
  <c r="E21" i="15"/>
  <c r="J21" i="15"/>
  <c r="J24" i="15" s="1"/>
  <c r="K21" i="15"/>
  <c r="D22" i="15"/>
  <c r="E22" i="15"/>
  <c r="J22" i="15"/>
  <c r="K22" i="15"/>
  <c r="D23" i="15"/>
  <c r="D24" i="15" s="1"/>
  <c r="E23" i="15"/>
  <c r="J23" i="15"/>
  <c r="K23" i="15"/>
  <c r="D27" i="15"/>
  <c r="D29" i="15" s="1"/>
  <c r="E27" i="15"/>
  <c r="J27" i="15"/>
  <c r="K27" i="15"/>
  <c r="D28" i="15"/>
  <c r="E28" i="15"/>
  <c r="J28" i="15"/>
  <c r="K28" i="15"/>
  <c r="K29" i="15"/>
  <c r="D32" i="15"/>
  <c r="E32" i="15"/>
  <c r="J32" i="15"/>
  <c r="J36" i="15" s="1"/>
  <c r="K32" i="15"/>
  <c r="D33" i="15"/>
  <c r="E33" i="15"/>
  <c r="J33" i="15"/>
  <c r="K33" i="15"/>
  <c r="D34" i="15"/>
  <c r="E34" i="15"/>
  <c r="J34" i="15"/>
  <c r="K34" i="15"/>
  <c r="K36" i="15" s="1"/>
  <c r="D35" i="15"/>
  <c r="D36" i="15" s="1"/>
  <c r="E35" i="15"/>
  <c r="J35" i="15"/>
  <c r="K35" i="15"/>
  <c r="L37" i="15"/>
  <c r="M37" i="15"/>
  <c r="D39" i="15"/>
  <c r="E39" i="15"/>
  <c r="E43" i="15" s="1"/>
  <c r="J39" i="15"/>
  <c r="K39" i="15"/>
  <c r="D40" i="15"/>
  <c r="E40" i="15"/>
  <c r="J40" i="15"/>
  <c r="K40" i="15"/>
  <c r="K42" i="15" s="1"/>
  <c r="D41" i="15"/>
  <c r="E41" i="15"/>
  <c r="J41" i="15"/>
  <c r="J42" i="15" s="1"/>
  <c r="J43" i="15" s="1"/>
  <c r="K41" i="15"/>
  <c r="D42" i="15"/>
  <c r="D43" i="15" s="1"/>
  <c r="E42" i="15"/>
  <c r="K43" i="15"/>
  <c r="D45" i="15"/>
  <c r="E45" i="15"/>
  <c r="J45" i="15"/>
  <c r="K45" i="15"/>
  <c r="D47" i="15"/>
  <c r="E47" i="15"/>
  <c r="J47" i="15"/>
  <c r="K47" i="15"/>
  <c r="D49" i="15"/>
  <c r="E49" i="15"/>
  <c r="J49" i="15"/>
  <c r="K49" i="15"/>
  <c r="D51" i="15"/>
  <c r="E51" i="15"/>
  <c r="J51" i="15"/>
  <c r="K51" i="15"/>
  <c r="D54" i="15"/>
  <c r="E54" i="15"/>
  <c r="J54" i="15"/>
  <c r="K54" i="15"/>
  <c r="K56" i="15" s="1"/>
  <c r="D55" i="15"/>
  <c r="E55" i="15"/>
  <c r="J55" i="15"/>
  <c r="J56" i="15" s="1"/>
  <c r="K55" i="15"/>
  <c r="D56" i="15"/>
  <c r="E56" i="15"/>
  <c r="D59" i="15"/>
  <c r="D61" i="15" s="1"/>
  <c r="E59" i="15"/>
  <c r="E61" i="15" s="1"/>
  <c r="J59" i="15"/>
  <c r="J61" i="15" s="1"/>
  <c r="K59" i="15"/>
  <c r="D60" i="15"/>
  <c r="E60" i="15"/>
  <c r="J60" i="15"/>
  <c r="K60" i="15"/>
  <c r="K61" i="15"/>
  <c r="D64" i="15"/>
  <c r="D66" i="15" s="1"/>
  <c r="E64" i="15"/>
  <c r="J64" i="15"/>
  <c r="K64" i="15"/>
  <c r="D65" i="15"/>
  <c r="E65" i="15"/>
  <c r="J65" i="15"/>
  <c r="J66" i="15" s="1"/>
  <c r="K65" i="15"/>
  <c r="K66" i="15"/>
  <c r="D70" i="15"/>
  <c r="E70" i="15"/>
  <c r="J70" i="15"/>
  <c r="K70" i="15"/>
  <c r="D71" i="15"/>
  <c r="D72" i="15" s="1"/>
  <c r="E71" i="15"/>
  <c r="J71" i="15"/>
  <c r="K71" i="15"/>
  <c r="E72" i="15"/>
  <c r="K72" i="15"/>
  <c r="D73" i="15"/>
  <c r="E73" i="15"/>
  <c r="J73" i="15"/>
  <c r="K73" i="15"/>
  <c r="D74" i="15"/>
  <c r="E74" i="15"/>
  <c r="J74" i="15"/>
  <c r="K74" i="15"/>
  <c r="D75" i="15"/>
  <c r="E75" i="15"/>
  <c r="J75" i="15"/>
  <c r="K75" i="15"/>
  <c r="D76" i="15"/>
  <c r="E76" i="15"/>
  <c r="J76" i="15"/>
  <c r="K76" i="15"/>
  <c r="D77" i="15"/>
  <c r="E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J81" i="15"/>
  <c r="K81" i="15"/>
  <c r="D86" i="15"/>
  <c r="E86" i="15"/>
  <c r="E89" i="15" s="1"/>
  <c r="J86" i="15"/>
  <c r="K86" i="15"/>
  <c r="K89" i="15" s="1"/>
  <c r="D87" i="15"/>
  <c r="E87" i="15"/>
  <c r="J87" i="15"/>
  <c r="K87" i="15"/>
  <c r="D88" i="15"/>
  <c r="E88" i="15"/>
  <c r="J88" i="15"/>
  <c r="K88" i="15"/>
  <c r="J89" i="15"/>
  <c r="A5" i="27"/>
  <c r="AD8" i="27"/>
  <c r="F11" i="27"/>
  <c r="G11" i="27"/>
  <c r="F12" i="27"/>
  <c r="G12" i="27"/>
  <c r="F13" i="27"/>
  <c r="G13" i="27"/>
  <c r="F14" i="27"/>
  <c r="G14" i="27"/>
  <c r="F15" i="27"/>
  <c r="G15" i="27"/>
  <c r="F19" i="27"/>
  <c r="G19" i="27"/>
  <c r="F20" i="27"/>
  <c r="G20" i="27"/>
  <c r="F21" i="27"/>
  <c r="G21" i="27"/>
  <c r="F22" i="27"/>
  <c r="G22" i="27"/>
  <c r="F23" i="27"/>
  <c r="G23" i="27"/>
  <c r="F27" i="27"/>
  <c r="G27" i="27"/>
  <c r="F28" i="27"/>
  <c r="F29" i="27" s="1"/>
  <c r="G28" i="27"/>
  <c r="F32" i="27"/>
  <c r="G32" i="27"/>
  <c r="F33" i="27"/>
  <c r="G33" i="27"/>
  <c r="F34" i="27"/>
  <c r="G34" i="27"/>
  <c r="F35" i="27"/>
  <c r="G35" i="27"/>
  <c r="F39" i="27"/>
  <c r="G39" i="27"/>
  <c r="F40" i="27"/>
  <c r="F42" i="27" s="1"/>
  <c r="F43" i="27" s="1"/>
  <c r="G40" i="27"/>
  <c r="F41" i="27"/>
  <c r="G41" i="27"/>
  <c r="F45" i="27"/>
  <c r="G45" i="27"/>
  <c r="F47" i="27"/>
  <c r="G47" i="27"/>
  <c r="F49" i="27"/>
  <c r="G49" i="27"/>
  <c r="F51" i="27"/>
  <c r="G51" i="27"/>
  <c r="F54" i="27"/>
  <c r="G54" i="27"/>
  <c r="F55" i="27"/>
  <c r="G55" i="27"/>
  <c r="F56" i="27"/>
  <c r="F59" i="27"/>
  <c r="G59" i="27"/>
  <c r="F60" i="27"/>
  <c r="F61" i="27" s="1"/>
  <c r="G60" i="27"/>
  <c r="G61" i="27"/>
  <c r="F64" i="27"/>
  <c r="G64" i="27"/>
  <c r="F65" i="27"/>
  <c r="G65" i="27"/>
  <c r="G66" i="27" s="1"/>
  <c r="U65" i="27"/>
  <c r="F66" i="27"/>
  <c r="F70" i="27"/>
  <c r="G70" i="27"/>
  <c r="AB70" i="27"/>
  <c r="F71" i="27"/>
  <c r="F72" i="27" s="1"/>
  <c r="G71" i="27"/>
  <c r="G72" i="27"/>
  <c r="F73" i="27"/>
  <c r="G73" i="27"/>
  <c r="F74" i="27"/>
  <c r="G74" i="27"/>
  <c r="F75" i="27"/>
  <c r="G75" i="27"/>
  <c r="F76" i="27"/>
  <c r="G76" i="27"/>
  <c r="F77" i="27"/>
  <c r="G77" i="27"/>
  <c r="Y77" i="27"/>
  <c r="F78" i="27"/>
  <c r="G78" i="27"/>
  <c r="F79" i="27"/>
  <c r="G79" i="27"/>
  <c r="Q79" i="27"/>
  <c r="F80" i="27"/>
  <c r="G80" i="27"/>
  <c r="F81" i="27"/>
  <c r="G81" i="27"/>
  <c r="I81" i="27"/>
  <c r="F86" i="27"/>
  <c r="F89" i="27" s="1"/>
  <c r="G86" i="27"/>
  <c r="H86" i="27"/>
  <c r="I86" i="27"/>
  <c r="J86" i="27"/>
  <c r="K86" i="27"/>
  <c r="K89" i="27" s="1"/>
  <c r="L86" i="27"/>
  <c r="M86" i="27"/>
  <c r="N86" i="27"/>
  <c r="N89" i="27" s="1"/>
  <c r="O86" i="27"/>
  <c r="P86" i="27"/>
  <c r="Q86" i="27"/>
  <c r="Q89" i="27" s="1"/>
  <c r="R86" i="27"/>
  <c r="S86" i="27"/>
  <c r="S89" i="27" s="1"/>
  <c r="T86" i="27"/>
  <c r="U86" i="27"/>
  <c r="V86" i="27"/>
  <c r="V89" i="27" s="1"/>
  <c r="W86" i="27"/>
  <c r="X86" i="27"/>
  <c r="Y86" i="27"/>
  <c r="Y89" i="27" s="1"/>
  <c r="Z86" i="27"/>
  <c r="AA86" i="27"/>
  <c r="AA89" i="27" s="1"/>
  <c r="AB86" i="27"/>
  <c r="AC86" i="27"/>
  <c r="AD86" i="27"/>
  <c r="AD89" i="27" s="1"/>
  <c r="AE86" i="27"/>
  <c r="F87" i="27"/>
  <c r="G87" i="27"/>
  <c r="H87" i="27"/>
  <c r="I87" i="27"/>
  <c r="J87" i="27"/>
  <c r="K87" i="27"/>
  <c r="L87" i="27"/>
  <c r="D87" i="27" s="1"/>
  <c r="F87" i="39" s="1"/>
  <c r="H87" i="39" s="1"/>
  <c r="M87" i="27"/>
  <c r="E87" i="27" s="1"/>
  <c r="G87" i="39" s="1"/>
  <c r="I87" i="39" s="1"/>
  <c r="N87" i="27"/>
  <c r="O87" i="27"/>
  <c r="P87" i="27"/>
  <c r="Q87" i="27"/>
  <c r="R87" i="27"/>
  <c r="S87" i="27"/>
  <c r="T87" i="27"/>
  <c r="U87" i="27"/>
  <c r="U89" i="27" s="1"/>
  <c r="V87" i="27"/>
  <c r="W87" i="27"/>
  <c r="X87" i="27"/>
  <c r="Y87" i="27"/>
  <c r="Z87" i="27"/>
  <c r="AA87" i="27"/>
  <c r="AB87" i="27"/>
  <c r="AC87" i="27"/>
  <c r="AC89" i="27" s="1"/>
  <c r="AD87" i="27"/>
  <c r="AE87" i="27"/>
  <c r="F88" i="27"/>
  <c r="D88" i="27" s="1"/>
  <c r="F88" i="39" s="1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G89" i="27"/>
  <c r="J89" i="27"/>
  <c r="L89" i="27"/>
  <c r="M89" i="27"/>
  <c r="O89" i="27"/>
  <c r="R89" i="27"/>
  <c r="T89" i="27"/>
  <c r="W89" i="27"/>
  <c r="Z89" i="27"/>
  <c r="AB89" i="27"/>
  <c r="AE89" i="27"/>
  <c r="A4" i="39"/>
  <c r="A5" i="39"/>
  <c r="A4" i="13"/>
  <c r="A5" i="13"/>
  <c r="G11" i="13"/>
  <c r="H11" i="13"/>
  <c r="L11" i="13" s="1"/>
  <c r="I11" i="13"/>
  <c r="M11" i="13"/>
  <c r="G12" i="13"/>
  <c r="H12" i="13"/>
  <c r="I12" i="13"/>
  <c r="M12" i="13" s="1"/>
  <c r="L12" i="13"/>
  <c r="D12" i="37" s="1"/>
  <c r="F13" i="13"/>
  <c r="G13" i="13"/>
  <c r="H13" i="13"/>
  <c r="I13" i="13"/>
  <c r="M13" i="13" s="1"/>
  <c r="L13" i="13"/>
  <c r="F14" i="13"/>
  <c r="H14" i="13"/>
  <c r="I14" i="13"/>
  <c r="G15" i="13"/>
  <c r="H15" i="13"/>
  <c r="I15" i="13"/>
  <c r="L15" i="13"/>
  <c r="M15" i="13"/>
  <c r="J16" i="13"/>
  <c r="K16" i="13"/>
  <c r="H18" i="13"/>
  <c r="I18" i="13"/>
  <c r="G19" i="13"/>
  <c r="H19" i="13"/>
  <c r="I19" i="13"/>
  <c r="L19" i="13"/>
  <c r="D19" i="37" s="1"/>
  <c r="M19" i="13"/>
  <c r="G20" i="13"/>
  <c r="H20" i="13"/>
  <c r="I20" i="13"/>
  <c r="M20" i="13" s="1"/>
  <c r="L20" i="13"/>
  <c r="F21" i="13"/>
  <c r="H21" i="13"/>
  <c r="I21" i="13"/>
  <c r="G21" i="13" s="1"/>
  <c r="L21" i="13"/>
  <c r="H22" i="13"/>
  <c r="I22" i="13"/>
  <c r="M22" i="13"/>
  <c r="E22" i="37" s="1"/>
  <c r="G23" i="13"/>
  <c r="H23" i="13"/>
  <c r="I23" i="13"/>
  <c r="M23" i="13"/>
  <c r="J24" i="13"/>
  <c r="J82" i="13" s="1"/>
  <c r="J91" i="13" s="1"/>
  <c r="K24" i="13"/>
  <c r="H27" i="13"/>
  <c r="F27" i="13" s="1"/>
  <c r="I27" i="13"/>
  <c r="F28" i="13"/>
  <c r="F29" i="13" s="1"/>
  <c r="H28" i="13"/>
  <c r="I28" i="13"/>
  <c r="M28" i="13" s="1"/>
  <c r="E28" i="37" s="1"/>
  <c r="L28" i="13"/>
  <c r="I29" i="13"/>
  <c r="J29" i="13"/>
  <c r="K29" i="13"/>
  <c r="H32" i="13"/>
  <c r="I32" i="13"/>
  <c r="M32" i="13"/>
  <c r="G33" i="13"/>
  <c r="H33" i="13"/>
  <c r="L33" i="13" s="1"/>
  <c r="D33" i="37" s="1"/>
  <c r="I33" i="13"/>
  <c r="M33" i="13"/>
  <c r="H34" i="13"/>
  <c r="L34" i="13" s="1"/>
  <c r="D34" i="37" s="1"/>
  <c r="I34" i="13"/>
  <c r="F35" i="13"/>
  <c r="H35" i="13"/>
  <c r="I35" i="13"/>
  <c r="L35" i="13"/>
  <c r="M35" i="13"/>
  <c r="E35" i="37" s="1"/>
  <c r="H36" i="13"/>
  <c r="I36" i="13"/>
  <c r="J36" i="13"/>
  <c r="K36" i="13"/>
  <c r="L37" i="13"/>
  <c r="M37" i="13"/>
  <c r="H38" i="13"/>
  <c r="I38" i="13"/>
  <c r="H39" i="13"/>
  <c r="L39" i="13" s="1"/>
  <c r="D39" i="37" s="1"/>
  <c r="I39" i="13"/>
  <c r="H40" i="13"/>
  <c r="I40" i="13"/>
  <c r="M40" i="13" s="1"/>
  <c r="F41" i="13"/>
  <c r="H41" i="13"/>
  <c r="I41" i="13"/>
  <c r="L41" i="13"/>
  <c r="M41" i="13"/>
  <c r="E41" i="37" s="1"/>
  <c r="J42" i="13"/>
  <c r="J43" i="13" s="1"/>
  <c r="K42" i="13"/>
  <c r="K43" i="13"/>
  <c r="G45" i="13"/>
  <c r="H45" i="13"/>
  <c r="L45" i="13" s="1"/>
  <c r="D45" i="37" s="1"/>
  <c r="I45" i="13"/>
  <c r="M45" i="13"/>
  <c r="G47" i="13"/>
  <c r="H47" i="13"/>
  <c r="I47" i="13"/>
  <c r="L47" i="13"/>
  <c r="G49" i="13"/>
  <c r="H49" i="13"/>
  <c r="I49" i="13"/>
  <c r="L49" i="13"/>
  <c r="D49" i="37" s="1"/>
  <c r="M49" i="13"/>
  <c r="F51" i="13"/>
  <c r="H51" i="13"/>
  <c r="L51" i="13" s="1"/>
  <c r="D51" i="37" s="1"/>
  <c r="I51" i="13"/>
  <c r="M51" i="13"/>
  <c r="G54" i="13"/>
  <c r="H54" i="13"/>
  <c r="I54" i="13"/>
  <c r="I54" i="15" s="1"/>
  <c r="L54" i="13"/>
  <c r="M54" i="13"/>
  <c r="F55" i="13"/>
  <c r="H55" i="13"/>
  <c r="I55" i="13"/>
  <c r="L55" i="13"/>
  <c r="J56" i="13"/>
  <c r="K56" i="13"/>
  <c r="L56" i="13"/>
  <c r="G59" i="13"/>
  <c r="G61" i="13" s="1"/>
  <c r="H59" i="13"/>
  <c r="L59" i="13" s="1"/>
  <c r="I59" i="13"/>
  <c r="M59" i="13"/>
  <c r="H60" i="13"/>
  <c r="I60" i="13"/>
  <c r="G60" i="13" s="1"/>
  <c r="L60" i="13"/>
  <c r="D60" i="37" s="1"/>
  <c r="M60" i="13"/>
  <c r="J61" i="13"/>
  <c r="K61" i="13"/>
  <c r="M61" i="13"/>
  <c r="F64" i="13"/>
  <c r="G64" i="13"/>
  <c r="H64" i="13"/>
  <c r="L64" i="13" s="1"/>
  <c r="I64" i="13"/>
  <c r="M64" i="13"/>
  <c r="G65" i="13"/>
  <c r="G66" i="13" s="1"/>
  <c r="H65" i="13"/>
  <c r="I65" i="13"/>
  <c r="H66" i="13"/>
  <c r="I66" i="13"/>
  <c r="J66" i="13"/>
  <c r="K66" i="13"/>
  <c r="L69" i="13"/>
  <c r="M69" i="13"/>
  <c r="H70" i="13"/>
  <c r="I70" i="13"/>
  <c r="L70" i="13"/>
  <c r="L72" i="13" s="1"/>
  <c r="G71" i="13"/>
  <c r="H71" i="13"/>
  <c r="F71" i="13" s="1"/>
  <c r="I71" i="13"/>
  <c r="L71" i="13"/>
  <c r="D71" i="37" s="1"/>
  <c r="M71" i="13"/>
  <c r="H72" i="13"/>
  <c r="J72" i="13"/>
  <c r="K72" i="13"/>
  <c r="H73" i="13"/>
  <c r="I73" i="13"/>
  <c r="M73" i="13" s="1"/>
  <c r="E73" i="37" s="1"/>
  <c r="G74" i="13"/>
  <c r="H74" i="13"/>
  <c r="L74" i="13" s="1"/>
  <c r="D74" i="37" s="1"/>
  <c r="I74" i="13"/>
  <c r="M74" i="13"/>
  <c r="G75" i="13"/>
  <c r="H75" i="13"/>
  <c r="I75" i="13"/>
  <c r="L75" i="13"/>
  <c r="D75" i="37" s="1"/>
  <c r="G76" i="13"/>
  <c r="H76" i="13"/>
  <c r="L76" i="13" s="1"/>
  <c r="D76" i="37" s="1"/>
  <c r="I76" i="13"/>
  <c r="M76" i="13"/>
  <c r="H77" i="13"/>
  <c r="I77" i="13"/>
  <c r="M77" i="13"/>
  <c r="G78" i="13"/>
  <c r="H78" i="13"/>
  <c r="I78" i="13"/>
  <c r="L78" i="13"/>
  <c r="D78" i="37" s="1"/>
  <c r="M78" i="13"/>
  <c r="F79" i="13"/>
  <c r="G79" i="13"/>
  <c r="H79" i="13"/>
  <c r="I79" i="13"/>
  <c r="L79" i="13"/>
  <c r="H80" i="13"/>
  <c r="I80" i="13"/>
  <c r="L80" i="13"/>
  <c r="H81" i="13"/>
  <c r="I81" i="13"/>
  <c r="L81" i="13"/>
  <c r="D81" i="37" s="1"/>
  <c r="M81" i="13"/>
  <c r="D82" i="13"/>
  <c r="D91" i="13" s="1"/>
  <c r="E82" i="13"/>
  <c r="E91" i="13" s="1"/>
  <c r="K82" i="13"/>
  <c r="K91" i="13" s="1"/>
  <c r="H86" i="13"/>
  <c r="L86" i="13" s="1"/>
  <c r="I86" i="13"/>
  <c r="I86" i="15" s="1"/>
  <c r="M86" i="13"/>
  <c r="F87" i="13"/>
  <c r="F87" i="15" s="1"/>
  <c r="G87" i="13"/>
  <c r="G87" i="15" s="1"/>
  <c r="H87" i="13"/>
  <c r="H87" i="15" s="1"/>
  <c r="I87" i="13"/>
  <c r="I87" i="15" s="1"/>
  <c r="L87" i="13"/>
  <c r="L87" i="15" s="1"/>
  <c r="D87" i="39" s="1"/>
  <c r="M87" i="13"/>
  <c r="M87" i="15" s="1"/>
  <c r="E87" i="39" s="1"/>
  <c r="H88" i="13"/>
  <c r="I88" i="13"/>
  <c r="M88" i="13" s="1"/>
  <c r="D89" i="13"/>
  <c r="E89" i="13"/>
  <c r="H89" i="13"/>
  <c r="J89" i="13"/>
  <c r="K89" i="13"/>
  <c r="A5" i="25"/>
  <c r="AD8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W16" i="25" s="1"/>
  <c r="AB11" i="25"/>
  <c r="AC11" i="25"/>
  <c r="AD11" i="25"/>
  <c r="AE11" i="25"/>
  <c r="F12" i="25"/>
  <c r="G12" i="25"/>
  <c r="E12" i="25" s="1"/>
  <c r="G12" i="37" s="1"/>
  <c r="I12" i="37" s="1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D16" i="25" s="1"/>
  <c r="AE12" i="25"/>
  <c r="D13" i="25"/>
  <c r="F13" i="37" s="1"/>
  <c r="H13" i="37" s="1"/>
  <c r="F13" i="25"/>
  <c r="G13" i="25"/>
  <c r="H13" i="25"/>
  <c r="I13" i="25"/>
  <c r="J13" i="25"/>
  <c r="K13" i="25"/>
  <c r="L13" i="25"/>
  <c r="M13" i="25"/>
  <c r="E13" i="25" s="1"/>
  <c r="G13" i="37" s="1"/>
  <c r="I13" i="37" s="1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F14" i="25"/>
  <c r="G14" i="25"/>
  <c r="H14" i="25"/>
  <c r="I14" i="25"/>
  <c r="J14" i="25"/>
  <c r="D14" i="25" s="1"/>
  <c r="F14" i="37" s="1"/>
  <c r="K14" i="25"/>
  <c r="L14" i="25"/>
  <c r="M14" i="25"/>
  <c r="N14" i="25"/>
  <c r="O14" i="25"/>
  <c r="P14" i="25"/>
  <c r="Q14" i="25"/>
  <c r="Q16" i="25" s="1"/>
  <c r="R14" i="25"/>
  <c r="S14" i="25"/>
  <c r="T14" i="25"/>
  <c r="U14" i="25"/>
  <c r="V14" i="25"/>
  <c r="W14" i="25"/>
  <c r="X14" i="25"/>
  <c r="Y14" i="25"/>
  <c r="Z14" i="25"/>
  <c r="AA14" i="25"/>
  <c r="AA14" i="27" s="1"/>
  <c r="AB14" i="25"/>
  <c r="AC14" i="25"/>
  <c r="AD14" i="25"/>
  <c r="AE14" i="25"/>
  <c r="F15" i="25"/>
  <c r="D15" i="25" s="1"/>
  <c r="F15" i="37" s="1"/>
  <c r="H15" i="37" s="1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H16" i="25"/>
  <c r="J16" i="25"/>
  <c r="S16" i="25"/>
  <c r="AB16" i="25"/>
  <c r="F19" i="25"/>
  <c r="G19" i="25"/>
  <c r="H19" i="25"/>
  <c r="I19" i="25"/>
  <c r="J19" i="25"/>
  <c r="J24" i="25" s="1"/>
  <c r="K19" i="25"/>
  <c r="L19" i="25"/>
  <c r="M19" i="25"/>
  <c r="M24" i="25" s="1"/>
  <c r="N19" i="25"/>
  <c r="O19" i="25"/>
  <c r="P19" i="25"/>
  <c r="Q19" i="25"/>
  <c r="R19" i="25"/>
  <c r="S19" i="25"/>
  <c r="T19" i="25"/>
  <c r="U19" i="25"/>
  <c r="V19" i="25"/>
  <c r="W19" i="25"/>
  <c r="X19" i="25"/>
  <c r="Y19" i="25"/>
  <c r="Y19" i="27" s="1"/>
  <c r="Z19" i="25"/>
  <c r="AA19" i="25"/>
  <c r="AA19" i="27" s="1"/>
  <c r="AB19" i="25"/>
  <c r="AC19" i="25"/>
  <c r="AD19" i="25"/>
  <c r="AE19" i="25"/>
  <c r="F20" i="25"/>
  <c r="G20" i="25"/>
  <c r="H20" i="25"/>
  <c r="I20" i="25"/>
  <c r="J20" i="25"/>
  <c r="L20" i="25"/>
  <c r="N20" i="25"/>
  <c r="P20" i="25"/>
  <c r="R20" i="25"/>
  <c r="R20" i="27" s="1"/>
  <c r="T20" i="25"/>
  <c r="V20" i="25"/>
  <c r="X20" i="25"/>
  <c r="Y20" i="25"/>
  <c r="Z20" i="25"/>
  <c r="AA20" i="25"/>
  <c r="AB20" i="25"/>
  <c r="AC20" i="25"/>
  <c r="AC20" i="27" s="1"/>
  <c r="AD20" i="25"/>
  <c r="AE20" i="25"/>
  <c r="F21" i="25"/>
  <c r="G21" i="25"/>
  <c r="H21" i="25"/>
  <c r="I21" i="25"/>
  <c r="J21" i="25"/>
  <c r="D21" i="25" s="1"/>
  <c r="F21" i="37" s="1"/>
  <c r="H21" i="37" s="1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Y24" i="25" s="1"/>
  <c r="Z21" i="25"/>
  <c r="AA21" i="25"/>
  <c r="AA21" i="27" s="1"/>
  <c r="AB21" i="25"/>
  <c r="AC21" i="25"/>
  <c r="AD21" i="25"/>
  <c r="AE21" i="25"/>
  <c r="F22" i="25"/>
  <c r="G22" i="25"/>
  <c r="E22" i="25" s="1"/>
  <c r="H22" i="25"/>
  <c r="I22" i="25"/>
  <c r="I22" i="27" s="1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F23" i="25"/>
  <c r="D23" i="25" s="1"/>
  <c r="F23" i="37" s="1"/>
  <c r="G23" i="25"/>
  <c r="H23" i="25"/>
  <c r="I23" i="25"/>
  <c r="J23" i="25"/>
  <c r="K23" i="25"/>
  <c r="E23" i="25" s="1"/>
  <c r="G23" i="37" s="1"/>
  <c r="L23" i="25"/>
  <c r="M23" i="25"/>
  <c r="N23" i="25"/>
  <c r="O23" i="25"/>
  <c r="P23" i="25"/>
  <c r="Q23" i="25"/>
  <c r="R23" i="25"/>
  <c r="S23" i="25"/>
  <c r="S24" i="25" s="1"/>
  <c r="T23" i="25"/>
  <c r="U23" i="25"/>
  <c r="V23" i="25"/>
  <c r="W23" i="25"/>
  <c r="W23" i="27" s="1"/>
  <c r="X23" i="25"/>
  <c r="Y23" i="25"/>
  <c r="Z23" i="25"/>
  <c r="AA23" i="25"/>
  <c r="AB23" i="25"/>
  <c r="AC23" i="25"/>
  <c r="AD23" i="25"/>
  <c r="AE23" i="25"/>
  <c r="G24" i="25"/>
  <c r="H24" i="25"/>
  <c r="P24" i="25"/>
  <c r="U24" i="25"/>
  <c r="W24" i="25"/>
  <c r="X24" i="25"/>
  <c r="D27" i="25"/>
  <c r="F27" i="25"/>
  <c r="F29" i="25" s="1"/>
  <c r="G27" i="25"/>
  <c r="G29" i="25" s="1"/>
  <c r="H27" i="25"/>
  <c r="I27" i="25"/>
  <c r="J27" i="25"/>
  <c r="K27" i="25"/>
  <c r="L27" i="25"/>
  <c r="M27" i="25"/>
  <c r="N27" i="25"/>
  <c r="O27" i="25"/>
  <c r="O29" i="25" s="1"/>
  <c r="P27" i="25"/>
  <c r="Q27" i="25"/>
  <c r="R27" i="25"/>
  <c r="R29" i="25" s="1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F28" i="25"/>
  <c r="G28" i="25"/>
  <c r="H28" i="25"/>
  <c r="I28" i="25"/>
  <c r="I28" i="27" s="1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AB28" i="25"/>
  <c r="AC28" i="25"/>
  <c r="AD28" i="25"/>
  <c r="AE28" i="25"/>
  <c r="H29" i="25"/>
  <c r="J29" i="25"/>
  <c r="M29" i="25"/>
  <c r="P29" i="25"/>
  <c r="S29" i="25"/>
  <c r="U29" i="25"/>
  <c r="V29" i="25"/>
  <c r="W29" i="25"/>
  <c r="X29" i="25"/>
  <c r="Y29" i="25"/>
  <c r="Z29" i="25"/>
  <c r="AA29" i="25"/>
  <c r="AE29" i="25"/>
  <c r="F32" i="25"/>
  <c r="G32" i="25"/>
  <c r="H32" i="25"/>
  <c r="I32" i="25"/>
  <c r="J32" i="25"/>
  <c r="K32" i="25"/>
  <c r="L32" i="25"/>
  <c r="M32" i="25"/>
  <c r="N32" i="25"/>
  <c r="O32" i="25"/>
  <c r="O36" i="25" s="1"/>
  <c r="P32" i="25"/>
  <c r="Q32" i="25"/>
  <c r="R32" i="25"/>
  <c r="S32" i="25"/>
  <c r="T32" i="25"/>
  <c r="U32" i="25"/>
  <c r="V32" i="25"/>
  <c r="W32" i="25"/>
  <c r="AB32" i="25"/>
  <c r="AC32" i="25"/>
  <c r="AD32" i="25"/>
  <c r="AE32" i="25"/>
  <c r="F33" i="25"/>
  <c r="G33" i="25"/>
  <c r="E33" i="25" s="1"/>
  <c r="G33" i="37" s="1"/>
  <c r="I33" i="37" s="1"/>
  <c r="H33" i="25"/>
  <c r="I33" i="25"/>
  <c r="J33" i="25"/>
  <c r="K33" i="25"/>
  <c r="L33" i="25"/>
  <c r="M33" i="25"/>
  <c r="N33" i="25"/>
  <c r="O33" i="25"/>
  <c r="P33" i="25"/>
  <c r="Q33" i="25"/>
  <c r="Q33" i="27" s="1"/>
  <c r="R33" i="25"/>
  <c r="S33" i="25"/>
  <c r="T33" i="25"/>
  <c r="U33" i="25"/>
  <c r="V33" i="25"/>
  <c r="W33" i="25"/>
  <c r="X33" i="25"/>
  <c r="Y33" i="25"/>
  <c r="Z33" i="25"/>
  <c r="AA33" i="25"/>
  <c r="AA33" i="27" s="1"/>
  <c r="AB33" i="25"/>
  <c r="AC33" i="25"/>
  <c r="AD33" i="25"/>
  <c r="AE33" i="25"/>
  <c r="F34" i="25"/>
  <c r="G34" i="25"/>
  <c r="E34" i="25" s="1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C34" i="27" s="1"/>
  <c r="AD34" i="25"/>
  <c r="AE34" i="25"/>
  <c r="F35" i="25"/>
  <c r="G35" i="25"/>
  <c r="H35" i="25"/>
  <c r="I35" i="25"/>
  <c r="J35" i="25"/>
  <c r="K35" i="25"/>
  <c r="L35" i="25"/>
  <c r="M35" i="25"/>
  <c r="M36" i="25" s="1"/>
  <c r="N35" i="25"/>
  <c r="O35" i="25"/>
  <c r="P35" i="25"/>
  <c r="Q35" i="25"/>
  <c r="R35" i="25"/>
  <c r="S35" i="25"/>
  <c r="T35" i="25"/>
  <c r="U35" i="25"/>
  <c r="U36" i="25" s="1"/>
  <c r="V35" i="25"/>
  <c r="W35" i="25"/>
  <c r="X35" i="25"/>
  <c r="Y35" i="25"/>
  <c r="Z35" i="25"/>
  <c r="AA35" i="25"/>
  <c r="AB35" i="25"/>
  <c r="AC35" i="25"/>
  <c r="AD35" i="25"/>
  <c r="AE35" i="25"/>
  <c r="G36" i="25"/>
  <c r="I36" i="25"/>
  <c r="P36" i="25"/>
  <c r="W36" i="25"/>
  <c r="AA36" i="25"/>
  <c r="F39" i="25"/>
  <c r="G39" i="25"/>
  <c r="E39" i="25" s="1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F40" i="25"/>
  <c r="F42" i="25" s="1"/>
  <c r="F43" i="25" s="1"/>
  <c r="G40" i="25"/>
  <c r="H40" i="25"/>
  <c r="I40" i="25"/>
  <c r="J40" i="25"/>
  <c r="K40" i="25"/>
  <c r="K42" i="25" s="1"/>
  <c r="K43" i="25" s="1"/>
  <c r="L40" i="25"/>
  <c r="M40" i="25"/>
  <c r="N40" i="25"/>
  <c r="O40" i="25"/>
  <c r="P40" i="25"/>
  <c r="Q40" i="25"/>
  <c r="R40" i="25"/>
  <c r="S40" i="25"/>
  <c r="T40" i="25"/>
  <c r="U40" i="25"/>
  <c r="U42" i="25" s="1"/>
  <c r="U43" i="25" s="1"/>
  <c r="V40" i="25"/>
  <c r="V42" i="25" s="1"/>
  <c r="V43" i="25" s="1"/>
  <c r="W40" i="25"/>
  <c r="X40" i="25"/>
  <c r="Z40" i="25"/>
  <c r="AA40" i="25"/>
  <c r="AB40" i="25"/>
  <c r="AC40" i="25"/>
  <c r="AD40" i="25"/>
  <c r="AE40" i="25"/>
  <c r="AE40" i="27" s="1"/>
  <c r="F41" i="25"/>
  <c r="G41" i="25"/>
  <c r="H41" i="25"/>
  <c r="I41" i="25"/>
  <c r="J41" i="25"/>
  <c r="K41" i="25"/>
  <c r="E41" i="25" s="1"/>
  <c r="G41" i="37" s="1"/>
  <c r="L41" i="25"/>
  <c r="L42" i="25" s="1"/>
  <c r="L43" i="25" s="1"/>
  <c r="M41" i="25"/>
  <c r="N41" i="25"/>
  <c r="O41" i="25"/>
  <c r="P41" i="25"/>
  <c r="Q41" i="25"/>
  <c r="R41" i="25"/>
  <c r="S41" i="25"/>
  <c r="T41" i="25"/>
  <c r="U41" i="25"/>
  <c r="U41" i="27" s="1"/>
  <c r="V41" i="25"/>
  <c r="W41" i="25"/>
  <c r="X41" i="25"/>
  <c r="Y41" i="25"/>
  <c r="Z41" i="25"/>
  <c r="AA41" i="25"/>
  <c r="AA42" i="25" s="1"/>
  <c r="AA43" i="25" s="1"/>
  <c r="AB41" i="25"/>
  <c r="AC41" i="25"/>
  <c r="AD41" i="25"/>
  <c r="AE41" i="25"/>
  <c r="G42" i="25"/>
  <c r="G43" i="25" s="1"/>
  <c r="N42" i="25"/>
  <c r="N43" i="25" s="1"/>
  <c r="O42" i="25"/>
  <c r="P42" i="25"/>
  <c r="P43" i="25" s="1"/>
  <c r="Q42" i="25"/>
  <c r="Q43" i="25" s="1"/>
  <c r="T42" i="25"/>
  <c r="W42" i="25"/>
  <c r="W43" i="25" s="1"/>
  <c r="Y42" i="25"/>
  <c r="Y43" i="25" s="1"/>
  <c r="O43" i="25"/>
  <c r="T43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F47" i="25"/>
  <c r="G47" i="25"/>
  <c r="H47" i="25"/>
  <c r="H47" i="27" s="1"/>
  <c r="I47" i="25"/>
  <c r="J47" i="25"/>
  <c r="K47" i="25"/>
  <c r="L47" i="25"/>
  <c r="M47" i="25"/>
  <c r="N47" i="25"/>
  <c r="O47" i="25"/>
  <c r="P47" i="25"/>
  <c r="P47" i="27" s="1"/>
  <c r="Q47" i="25"/>
  <c r="R47" i="25"/>
  <c r="S47" i="25"/>
  <c r="T47" i="25"/>
  <c r="U47" i="25"/>
  <c r="V47" i="25"/>
  <c r="W47" i="25"/>
  <c r="X47" i="25"/>
  <c r="X47" i="27" s="1"/>
  <c r="Y47" i="25"/>
  <c r="Z47" i="25"/>
  <c r="AA47" i="25"/>
  <c r="AB47" i="25"/>
  <c r="AC47" i="25"/>
  <c r="AD47" i="25"/>
  <c r="AE47" i="25"/>
  <c r="D49" i="25"/>
  <c r="F49" i="37" s="1"/>
  <c r="H49" i="37" s="1"/>
  <c r="F49" i="25"/>
  <c r="G49" i="25"/>
  <c r="H49" i="25"/>
  <c r="I49" i="25"/>
  <c r="J49" i="25"/>
  <c r="K49" i="25"/>
  <c r="L49" i="25"/>
  <c r="M49" i="25"/>
  <c r="M49" i="27" s="1"/>
  <c r="N49" i="25"/>
  <c r="O49" i="25"/>
  <c r="P49" i="25"/>
  <c r="Q49" i="25"/>
  <c r="R49" i="25"/>
  <c r="S49" i="25"/>
  <c r="T49" i="25"/>
  <c r="U49" i="25"/>
  <c r="V49" i="25"/>
  <c r="W49" i="25"/>
  <c r="Z49" i="25"/>
  <c r="AA49" i="25"/>
  <c r="AB49" i="25"/>
  <c r="AD49" i="25"/>
  <c r="AE49" i="25"/>
  <c r="F51" i="25"/>
  <c r="G51" i="25"/>
  <c r="H51" i="25"/>
  <c r="I51" i="25"/>
  <c r="J51" i="25"/>
  <c r="K51" i="25"/>
  <c r="L51" i="25"/>
  <c r="M51" i="25"/>
  <c r="M51" i="27" s="1"/>
  <c r="N51" i="25"/>
  <c r="O51" i="25"/>
  <c r="P51" i="25"/>
  <c r="Q51" i="25"/>
  <c r="R51" i="25"/>
  <c r="S51" i="25"/>
  <c r="T51" i="25"/>
  <c r="U51" i="25"/>
  <c r="U51" i="27" s="1"/>
  <c r="V51" i="25"/>
  <c r="W51" i="25"/>
  <c r="X51" i="25"/>
  <c r="Y51" i="25"/>
  <c r="Z51" i="25"/>
  <c r="AA51" i="25"/>
  <c r="AB51" i="25"/>
  <c r="AC51" i="25"/>
  <c r="AC51" i="27" s="1"/>
  <c r="AD51" i="25"/>
  <c r="AE51" i="25"/>
  <c r="F54" i="25"/>
  <c r="F56" i="25" s="1"/>
  <c r="G54" i="25"/>
  <c r="H54" i="25"/>
  <c r="I54" i="25"/>
  <c r="J54" i="25"/>
  <c r="K54" i="25"/>
  <c r="L54" i="25"/>
  <c r="L56" i="25" s="1"/>
  <c r="M54" i="25"/>
  <c r="N54" i="25"/>
  <c r="O54" i="25"/>
  <c r="P54" i="25"/>
  <c r="Q54" i="25"/>
  <c r="R54" i="25"/>
  <c r="S54" i="25"/>
  <c r="T54" i="25"/>
  <c r="U54" i="25"/>
  <c r="V54" i="25"/>
  <c r="W54" i="25"/>
  <c r="Z54" i="25"/>
  <c r="AA54" i="25"/>
  <c r="AB54" i="25"/>
  <c r="AC54" i="25"/>
  <c r="AD54" i="25"/>
  <c r="AE54" i="25"/>
  <c r="F55" i="25"/>
  <c r="G55" i="25"/>
  <c r="H55" i="25"/>
  <c r="I55" i="25"/>
  <c r="J55" i="25"/>
  <c r="D55" i="25" s="1"/>
  <c r="F55" i="37" s="1"/>
  <c r="H55" i="37" s="1"/>
  <c r="K55" i="25"/>
  <c r="L55" i="25"/>
  <c r="M55" i="25"/>
  <c r="N55" i="25"/>
  <c r="O55" i="25"/>
  <c r="P55" i="25"/>
  <c r="Q55" i="25"/>
  <c r="R55" i="25"/>
  <c r="R56" i="25" s="1"/>
  <c r="S55" i="25"/>
  <c r="T55" i="25"/>
  <c r="U55" i="25"/>
  <c r="V55" i="25"/>
  <c r="W55" i="25"/>
  <c r="AB55" i="25"/>
  <c r="AC55" i="25"/>
  <c r="AD55" i="25"/>
  <c r="AE55" i="25"/>
  <c r="H56" i="25"/>
  <c r="J56" i="25"/>
  <c r="T56" i="25"/>
  <c r="X56" i="25"/>
  <c r="Y56" i="25"/>
  <c r="Z56" i="25"/>
  <c r="AB56" i="25"/>
  <c r="AE56" i="25"/>
  <c r="F59" i="25"/>
  <c r="G59" i="25"/>
  <c r="G61" i="25" s="1"/>
  <c r="H59" i="25"/>
  <c r="I59" i="25"/>
  <c r="J59" i="25"/>
  <c r="K59" i="25"/>
  <c r="L59" i="25"/>
  <c r="L61" i="25" s="1"/>
  <c r="M59" i="25"/>
  <c r="N59" i="25"/>
  <c r="O59" i="25"/>
  <c r="P59" i="25"/>
  <c r="Q59" i="25"/>
  <c r="R59" i="25"/>
  <c r="S59" i="25"/>
  <c r="T59" i="25"/>
  <c r="U59" i="25"/>
  <c r="U61" i="25" s="1"/>
  <c r="V59" i="25"/>
  <c r="W59" i="25"/>
  <c r="X59" i="25"/>
  <c r="Y59" i="25"/>
  <c r="Y61" i="25" s="1"/>
  <c r="Z59" i="25"/>
  <c r="AA59" i="25"/>
  <c r="AB59" i="25"/>
  <c r="AC59" i="25"/>
  <c r="AD59" i="25"/>
  <c r="AE59" i="25"/>
  <c r="F60" i="25"/>
  <c r="G60" i="25"/>
  <c r="H60" i="25"/>
  <c r="I60" i="25"/>
  <c r="J60" i="25"/>
  <c r="K60" i="25"/>
  <c r="L60" i="25"/>
  <c r="M60" i="25"/>
  <c r="N60" i="25"/>
  <c r="O60" i="25"/>
  <c r="P60" i="25"/>
  <c r="P60" i="27" s="1"/>
  <c r="Q60" i="25"/>
  <c r="R60" i="25"/>
  <c r="S60" i="25"/>
  <c r="T60" i="25"/>
  <c r="U60" i="25"/>
  <c r="V60" i="25"/>
  <c r="W60" i="25"/>
  <c r="X60" i="25"/>
  <c r="X60" i="27" s="1"/>
  <c r="Y60" i="25"/>
  <c r="Z60" i="25"/>
  <c r="AA60" i="25"/>
  <c r="AB60" i="25"/>
  <c r="AC60" i="25"/>
  <c r="AD60" i="25"/>
  <c r="AE60" i="25"/>
  <c r="F61" i="25"/>
  <c r="H61" i="25"/>
  <c r="N61" i="25"/>
  <c r="P61" i="25"/>
  <c r="S61" i="25"/>
  <c r="T61" i="25"/>
  <c r="V61" i="25"/>
  <c r="AB61" i="25"/>
  <c r="AD61" i="25"/>
  <c r="F64" i="25"/>
  <c r="G64" i="25"/>
  <c r="E64" i="25" s="1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F65" i="37" s="1"/>
  <c r="F65" i="25"/>
  <c r="F66" i="25" s="1"/>
  <c r="G65" i="25"/>
  <c r="H65" i="25"/>
  <c r="I65" i="25"/>
  <c r="J65" i="25"/>
  <c r="K65" i="25"/>
  <c r="L65" i="25"/>
  <c r="M65" i="25"/>
  <c r="E65" i="25" s="1"/>
  <c r="N65" i="25"/>
  <c r="O65" i="25"/>
  <c r="P65" i="25"/>
  <c r="Q65" i="25"/>
  <c r="R65" i="25"/>
  <c r="S65" i="25"/>
  <c r="T65" i="25"/>
  <c r="U65" i="25"/>
  <c r="U66" i="25" s="1"/>
  <c r="V65" i="25"/>
  <c r="W65" i="25"/>
  <c r="X65" i="25"/>
  <c r="Y65" i="25"/>
  <c r="Z65" i="25"/>
  <c r="AA65" i="25"/>
  <c r="AB65" i="25"/>
  <c r="AC65" i="25"/>
  <c r="AC66" i="25" s="1"/>
  <c r="AD65" i="25"/>
  <c r="AE65" i="25"/>
  <c r="G66" i="25"/>
  <c r="I66" i="25"/>
  <c r="J66" i="25"/>
  <c r="R66" i="25"/>
  <c r="S66" i="25"/>
  <c r="W66" i="25"/>
  <c r="Y66" i="25"/>
  <c r="Z66" i="25"/>
  <c r="AA66" i="25"/>
  <c r="AE66" i="25"/>
  <c r="F70" i="25"/>
  <c r="F72" i="25" s="1"/>
  <c r="G70" i="25"/>
  <c r="E70" i="25" s="1"/>
  <c r="H70" i="25"/>
  <c r="I70" i="25"/>
  <c r="J70" i="25"/>
  <c r="K70" i="25"/>
  <c r="L70" i="25"/>
  <c r="L72" i="25" s="1"/>
  <c r="M70" i="25"/>
  <c r="N70" i="25"/>
  <c r="O70" i="25"/>
  <c r="P70" i="25"/>
  <c r="Q70" i="25"/>
  <c r="R70" i="25"/>
  <c r="S70" i="25"/>
  <c r="T70" i="25"/>
  <c r="T72" i="25" s="1"/>
  <c r="U70" i="25"/>
  <c r="V70" i="25"/>
  <c r="W70" i="25"/>
  <c r="X70" i="25"/>
  <c r="Y70" i="25"/>
  <c r="Y72" i="25" s="1"/>
  <c r="Z70" i="25"/>
  <c r="AA70" i="25"/>
  <c r="AB70" i="25"/>
  <c r="AC70" i="25"/>
  <c r="AD70" i="25"/>
  <c r="AE70" i="25"/>
  <c r="D71" i="25"/>
  <c r="F71" i="37" s="1"/>
  <c r="H71" i="37" s="1"/>
  <c r="F71" i="25"/>
  <c r="G71" i="25"/>
  <c r="H71" i="25"/>
  <c r="I71" i="25"/>
  <c r="J71" i="25"/>
  <c r="K71" i="25"/>
  <c r="L71" i="25"/>
  <c r="M71" i="25"/>
  <c r="M72" i="25" s="1"/>
  <c r="N71" i="25"/>
  <c r="O71" i="25"/>
  <c r="P71" i="25"/>
  <c r="Q71" i="25"/>
  <c r="R71" i="25"/>
  <c r="S71" i="25"/>
  <c r="T71" i="25"/>
  <c r="U71" i="25"/>
  <c r="U72" i="25" s="1"/>
  <c r="V71" i="25"/>
  <c r="W71" i="25"/>
  <c r="X71" i="25"/>
  <c r="Y71" i="25"/>
  <c r="Z71" i="25"/>
  <c r="AA71" i="25"/>
  <c r="AB71" i="25"/>
  <c r="AC71" i="25"/>
  <c r="AC72" i="25" s="1"/>
  <c r="AD71" i="25"/>
  <c r="AE71" i="25"/>
  <c r="G72" i="25"/>
  <c r="I72" i="25"/>
  <c r="O72" i="25"/>
  <c r="Q72" i="25"/>
  <c r="S72" i="25"/>
  <c r="X72" i="25"/>
  <c r="AA72" i="25"/>
  <c r="AE72" i="25"/>
  <c r="F73" i="25"/>
  <c r="G73" i="25"/>
  <c r="E73" i="25" s="1"/>
  <c r="G73" i="37" s="1"/>
  <c r="I73" i="37" s="1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F74" i="25"/>
  <c r="G74" i="25"/>
  <c r="E74" i="25" s="1"/>
  <c r="G74" i="37" s="1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F75" i="25"/>
  <c r="G75" i="25"/>
  <c r="H75" i="25"/>
  <c r="I75" i="25"/>
  <c r="E75" i="25" s="1"/>
  <c r="G75" i="37" s="1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F76" i="25"/>
  <c r="G76" i="25"/>
  <c r="H76" i="25"/>
  <c r="I76" i="25"/>
  <c r="J76" i="25"/>
  <c r="D76" i="25" s="1"/>
  <c r="F76" i="37" s="1"/>
  <c r="H76" i="37" s="1"/>
  <c r="K76" i="25"/>
  <c r="L76" i="25"/>
  <c r="M76" i="25"/>
  <c r="E76" i="25" s="1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F78" i="37" s="1"/>
  <c r="F78" i="25"/>
  <c r="G78" i="25"/>
  <c r="H78" i="25"/>
  <c r="I78" i="25"/>
  <c r="J78" i="25"/>
  <c r="K78" i="25"/>
  <c r="L78" i="25"/>
  <c r="M78" i="25"/>
  <c r="E78" i="25" s="1"/>
  <c r="G78" i="37" s="1"/>
  <c r="I78" i="37" s="1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F80" i="25"/>
  <c r="G80" i="25"/>
  <c r="H80" i="25"/>
  <c r="I80" i="25"/>
  <c r="J80" i="25"/>
  <c r="K80" i="25"/>
  <c r="L80" i="25"/>
  <c r="M80" i="25"/>
  <c r="E80" i="25" s="1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F81" i="25"/>
  <c r="G81" i="25"/>
  <c r="H81" i="25"/>
  <c r="I81" i="25"/>
  <c r="E81" i="25" s="1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6" i="25"/>
  <c r="D89" i="25" s="1"/>
  <c r="E86" i="25"/>
  <c r="F86" i="25"/>
  <c r="F89" i="25" s="1"/>
  <c r="G86" i="25"/>
  <c r="D87" i="25"/>
  <c r="F87" i="25"/>
  <c r="G87" i="25"/>
  <c r="E87" i="25" s="1"/>
  <c r="D88" i="25"/>
  <c r="F88" i="37" s="1"/>
  <c r="E88" i="25"/>
  <c r="F88" i="25"/>
  <c r="G88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5" i="37"/>
  <c r="E11" i="37"/>
  <c r="E12" i="37"/>
  <c r="D13" i="37"/>
  <c r="E13" i="37"/>
  <c r="D15" i="37"/>
  <c r="E15" i="37"/>
  <c r="E19" i="37"/>
  <c r="D20" i="37"/>
  <c r="E20" i="37"/>
  <c r="D21" i="37"/>
  <c r="G22" i="37"/>
  <c r="I22" i="37"/>
  <c r="E23" i="37"/>
  <c r="I23" i="37"/>
  <c r="D28" i="37"/>
  <c r="E33" i="37"/>
  <c r="G34" i="37"/>
  <c r="D35" i="37"/>
  <c r="G39" i="37"/>
  <c r="D41" i="37"/>
  <c r="I41" i="37"/>
  <c r="E45" i="37"/>
  <c r="D47" i="37"/>
  <c r="E49" i="37"/>
  <c r="E51" i="37"/>
  <c r="D54" i="37"/>
  <c r="D56" i="37" s="1"/>
  <c r="E54" i="37"/>
  <c r="D55" i="37"/>
  <c r="E59" i="37"/>
  <c r="E61" i="37" s="1"/>
  <c r="E60" i="37"/>
  <c r="E64" i="37"/>
  <c r="G65" i="37"/>
  <c r="D70" i="37"/>
  <c r="D72" i="37" s="1"/>
  <c r="E71" i="37"/>
  <c r="E74" i="37"/>
  <c r="I74" i="37"/>
  <c r="E76" i="37"/>
  <c r="G76" i="37"/>
  <c r="I76" i="37" s="1"/>
  <c r="E77" i="37"/>
  <c r="E78" i="37"/>
  <c r="D79" i="37"/>
  <c r="D80" i="37"/>
  <c r="G80" i="37"/>
  <c r="E81" i="37"/>
  <c r="G81" i="37"/>
  <c r="I81" i="37" s="1"/>
  <c r="E86" i="37"/>
  <c r="F86" i="37"/>
  <c r="G86" i="37"/>
  <c r="D87" i="37"/>
  <c r="E87" i="37"/>
  <c r="F87" i="37"/>
  <c r="H87" i="37"/>
  <c r="G88" i="37"/>
  <c r="A4" i="45"/>
  <c r="A5" i="45"/>
  <c r="G11" i="45"/>
  <c r="H11" i="45"/>
  <c r="L11" i="45" s="1"/>
  <c r="I11" i="45"/>
  <c r="M11" i="45"/>
  <c r="F12" i="45"/>
  <c r="H12" i="45"/>
  <c r="I12" i="45"/>
  <c r="M12" i="45" s="1"/>
  <c r="L12" i="45"/>
  <c r="F13" i="45"/>
  <c r="H13" i="45"/>
  <c r="L13" i="45" s="1"/>
  <c r="I13" i="45"/>
  <c r="G13" i="45" s="1"/>
  <c r="F14" i="45"/>
  <c r="H14" i="45"/>
  <c r="L14" i="45" s="1"/>
  <c r="I14" i="45"/>
  <c r="G14" i="45" s="1"/>
  <c r="M14" i="45"/>
  <c r="G15" i="45"/>
  <c r="H15" i="45"/>
  <c r="L15" i="45" s="1"/>
  <c r="D15" i="47" s="1"/>
  <c r="I15" i="45"/>
  <c r="M15" i="45"/>
  <c r="J16" i="45"/>
  <c r="J82" i="45" s="1"/>
  <c r="K16" i="45"/>
  <c r="H18" i="45"/>
  <c r="I18" i="45"/>
  <c r="G19" i="45"/>
  <c r="H19" i="45"/>
  <c r="L19" i="45" s="1"/>
  <c r="I19" i="45"/>
  <c r="M19" i="45"/>
  <c r="H20" i="45"/>
  <c r="F20" i="45" s="1"/>
  <c r="I20" i="45"/>
  <c r="L20" i="45"/>
  <c r="F21" i="45"/>
  <c r="H21" i="45"/>
  <c r="L21" i="45" s="1"/>
  <c r="I21" i="45"/>
  <c r="G21" i="45" s="1"/>
  <c r="M21" i="45"/>
  <c r="F22" i="45"/>
  <c r="H22" i="45"/>
  <c r="L22" i="45" s="1"/>
  <c r="I22" i="45"/>
  <c r="G22" i="45" s="1"/>
  <c r="M22" i="45"/>
  <c r="G23" i="45"/>
  <c r="H23" i="45"/>
  <c r="L23" i="45" s="1"/>
  <c r="I23" i="45"/>
  <c r="M23" i="45"/>
  <c r="J24" i="45"/>
  <c r="K24" i="45"/>
  <c r="G27" i="45"/>
  <c r="H27" i="45"/>
  <c r="F27" i="45" s="1"/>
  <c r="F29" i="45" s="1"/>
  <c r="I27" i="45"/>
  <c r="L27" i="45"/>
  <c r="L29" i="45" s="1"/>
  <c r="F28" i="45"/>
  <c r="H28" i="45"/>
  <c r="L28" i="45" s="1"/>
  <c r="I28" i="45"/>
  <c r="H29" i="45"/>
  <c r="J29" i="45"/>
  <c r="K29" i="45"/>
  <c r="F32" i="45"/>
  <c r="H32" i="45"/>
  <c r="L32" i="45" s="1"/>
  <c r="L36" i="45" s="1"/>
  <c r="I32" i="45"/>
  <c r="G32" i="45" s="1"/>
  <c r="M32" i="45"/>
  <c r="E32" i="47" s="1"/>
  <c r="G33" i="45"/>
  <c r="H33" i="45"/>
  <c r="L33" i="45" s="1"/>
  <c r="I33" i="45"/>
  <c r="M33" i="45"/>
  <c r="H34" i="45"/>
  <c r="F34" i="45" s="1"/>
  <c r="I34" i="45"/>
  <c r="L34" i="45"/>
  <c r="F35" i="45"/>
  <c r="H35" i="45"/>
  <c r="I35" i="45"/>
  <c r="G35" i="45" s="1"/>
  <c r="L35" i="45"/>
  <c r="M35" i="45"/>
  <c r="J36" i="45"/>
  <c r="K36" i="45"/>
  <c r="L37" i="45"/>
  <c r="M37" i="45"/>
  <c r="H38" i="45"/>
  <c r="I38" i="45"/>
  <c r="H39" i="45"/>
  <c r="F39" i="45" s="1"/>
  <c r="I39" i="45"/>
  <c r="L39" i="45"/>
  <c r="F40" i="45"/>
  <c r="H40" i="45"/>
  <c r="I40" i="45"/>
  <c r="L40" i="45"/>
  <c r="M40" i="45"/>
  <c r="M42" i="45" s="1"/>
  <c r="F41" i="45"/>
  <c r="F42" i="45" s="1"/>
  <c r="F43" i="45" s="1"/>
  <c r="H41" i="45"/>
  <c r="L41" i="45" s="1"/>
  <c r="D41" i="47" s="1"/>
  <c r="H41" i="47" s="1"/>
  <c r="I41" i="45"/>
  <c r="G41" i="45" s="1"/>
  <c r="M41" i="45"/>
  <c r="H42" i="45"/>
  <c r="J42" i="45"/>
  <c r="K42" i="45"/>
  <c r="H43" i="45"/>
  <c r="J43" i="45"/>
  <c r="K43" i="45"/>
  <c r="G45" i="45"/>
  <c r="H45" i="45"/>
  <c r="L45" i="45" s="1"/>
  <c r="I45" i="45"/>
  <c r="M45" i="45"/>
  <c r="G47" i="45"/>
  <c r="H47" i="45"/>
  <c r="F47" i="45" s="1"/>
  <c r="I47" i="45"/>
  <c r="M47" i="45" s="1"/>
  <c r="L47" i="45"/>
  <c r="F49" i="45"/>
  <c r="H49" i="45"/>
  <c r="I49" i="45"/>
  <c r="G49" i="45" s="1"/>
  <c r="L49" i="45"/>
  <c r="M49" i="45"/>
  <c r="E49" i="47" s="1"/>
  <c r="F51" i="45"/>
  <c r="H51" i="45"/>
  <c r="L51" i="45" s="1"/>
  <c r="I51" i="45"/>
  <c r="G51" i="45" s="1"/>
  <c r="M51" i="45"/>
  <c r="G54" i="45"/>
  <c r="G56" i="45" s="1"/>
  <c r="H54" i="45"/>
  <c r="L54" i="45" s="1"/>
  <c r="L56" i="45" s="1"/>
  <c r="I54" i="45"/>
  <c r="M54" i="45"/>
  <c r="G55" i="45"/>
  <c r="H55" i="45"/>
  <c r="F55" i="45" s="1"/>
  <c r="I55" i="45"/>
  <c r="M55" i="45" s="1"/>
  <c r="L55" i="45"/>
  <c r="I56" i="45"/>
  <c r="J56" i="45"/>
  <c r="K56" i="45"/>
  <c r="F59" i="45"/>
  <c r="H59" i="45"/>
  <c r="I59" i="45"/>
  <c r="L59" i="45"/>
  <c r="L61" i="45" s="1"/>
  <c r="M59" i="45"/>
  <c r="F60" i="45"/>
  <c r="F61" i="45" s="1"/>
  <c r="H60" i="45"/>
  <c r="L60" i="45" s="1"/>
  <c r="I60" i="45"/>
  <c r="G60" i="45" s="1"/>
  <c r="M60" i="45"/>
  <c r="H61" i="45"/>
  <c r="J61" i="45"/>
  <c r="K61" i="45"/>
  <c r="M61" i="45"/>
  <c r="G64" i="45"/>
  <c r="H64" i="45"/>
  <c r="L64" i="45" s="1"/>
  <c r="I64" i="45"/>
  <c r="M64" i="45"/>
  <c r="M66" i="45" s="1"/>
  <c r="H65" i="45"/>
  <c r="F65" i="45" s="1"/>
  <c r="I65" i="45"/>
  <c r="M65" i="45" s="1"/>
  <c r="L65" i="45"/>
  <c r="J66" i="45"/>
  <c r="K66" i="45"/>
  <c r="F70" i="45"/>
  <c r="H70" i="45"/>
  <c r="I70" i="45"/>
  <c r="L70" i="45"/>
  <c r="M70" i="45"/>
  <c r="M72" i="45" s="1"/>
  <c r="F71" i="45"/>
  <c r="F72" i="45" s="1"/>
  <c r="H71" i="45"/>
  <c r="L71" i="45" s="1"/>
  <c r="D71" i="47" s="1"/>
  <c r="I71" i="45"/>
  <c r="G71" i="45" s="1"/>
  <c r="M71" i="45"/>
  <c r="E71" i="47" s="1"/>
  <c r="H72" i="45"/>
  <c r="J72" i="45"/>
  <c r="K72" i="45"/>
  <c r="G73" i="45"/>
  <c r="H73" i="45"/>
  <c r="L73" i="45" s="1"/>
  <c r="I73" i="45"/>
  <c r="M73" i="45"/>
  <c r="H74" i="45"/>
  <c r="F74" i="45" s="1"/>
  <c r="I74" i="45"/>
  <c r="M74" i="45" s="1"/>
  <c r="L74" i="45"/>
  <c r="F75" i="45"/>
  <c r="H75" i="45"/>
  <c r="I75" i="45"/>
  <c r="G75" i="45" s="1"/>
  <c r="L75" i="45"/>
  <c r="F76" i="45"/>
  <c r="H76" i="45"/>
  <c r="L76" i="45" s="1"/>
  <c r="I76" i="45"/>
  <c r="G76" i="45" s="1"/>
  <c r="M76" i="45"/>
  <c r="E76" i="47" s="1"/>
  <c r="G77" i="45"/>
  <c r="H77" i="45"/>
  <c r="L77" i="45" s="1"/>
  <c r="I77" i="45"/>
  <c r="M77" i="45"/>
  <c r="G78" i="45"/>
  <c r="H78" i="45"/>
  <c r="F78" i="45" s="1"/>
  <c r="I78" i="45"/>
  <c r="M78" i="45" s="1"/>
  <c r="L78" i="45"/>
  <c r="F79" i="45"/>
  <c r="H79" i="45"/>
  <c r="I79" i="45"/>
  <c r="G79" i="45" s="1"/>
  <c r="L79" i="45"/>
  <c r="M79" i="45"/>
  <c r="E79" i="47" s="1"/>
  <c r="F80" i="45"/>
  <c r="H80" i="45"/>
  <c r="L80" i="45" s="1"/>
  <c r="I80" i="45"/>
  <c r="G80" i="45" s="1"/>
  <c r="M80" i="45"/>
  <c r="G81" i="45"/>
  <c r="H81" i="45"/>
  <c r="L81" i="45" s="1"/>
  <c r="I81" i="45"/>
  <c r="M81" i="45"/>
  <c r="D82" i="45"/>
  <c r="E82" i="45"/>
  <c r="A5" i="46"/>
  <c r="AD8" i="46"/>
  <c r="D11" i="46"/>
  <c r="F11" i="46"/>
  <c r="G11" i="46"/>
  <c r="AD11" i="46"/>
  <c r="AE11" i="46"/>
  <c r="AE16" i="46" s="1"/>
  <c r="F12" i="46"/>
  <c r="D12" i="46" s="1"/>
  <c r="F12" i="47" s="1"/>
  <c r="G12" i="46"/>
  <c r="X12" i="46"/>
  <c r="Y12" i="46"/>
  <c r="Z12" i="46"/>
  <c r="AA12" i="46"/>
  <c r="E12" i="46" s="1"/>
  <c r="G12" i="47" s="1"/>
  <c r="I12" i="47" s="1"/>
  <c r="AB12" i="46"/>
  <c r="AC12" i="46"/>
  <c r="AD12" i="46"/>
  <c r="AE12" i="46"/>
  <c r="F13" i="46"/>
  <c r="G13" i="46"/>
  <c r="X13" i="46"/>
  <c r="D13" i="46" s="1"/>
  <c r="F13" i="47" s="1"/>
  <c r="H13" i="47" s="1"/>
  <c r="Y13" i="46"/>
  <c r="Y16" i="46" s="1"/>
  <c r="Z13" i="46"/>
  <c r="Z16" i="46" s="1"/>
  <c r="AA13" i="46"/>
  <c r="AB13" i="46"/>
  <c r="AC13" i="46"/>
  <c r="AD13" i="46"/>
  <c r="AE13" i="46"/>
  <c r="F14" i="46"/>
  <c r="D14" i="46" s="1"/>
  <c r="G14" i="46"/>
  <c r="X14" i="46"/>
  <c r="Y14" i="46"/>
  <c r="Z14" i="46"/>
  <c r="AA14" i="46"/>
  <c r="AB14" i="46"/>
  <c r="AC14" i="46"/>
  <c r="E14" i="46" s="1"/>
  <c r="G14" i="47" s="1"/>
  <c r="I14" i="47" s="1"/>
  <c r="AD14" i="46"/>
  <c r="AE14" i="46"/>
  <c r="F15" i="46"/>
  <c r="G15" i="46"/>
  <c r="X15" i="46"/>
  <c r="D15" i="46" s="1"/>
  <c r="Y15" i="46"/>
  <c r="Z15" i="46"/>
  <c r="AA15" i="46"/>
  <c r="AB15" i="46"/>
  <c r="AC15" i="46"/>
  <c r="AD15" i="46"/>
  <c r="AE15" i="46"/>
  <c r="F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S82" i="46" s="1"/>
  <c r="Q646" i="44" s="1"/>
  <c r="T16" i="46"/>
  <c r="U16" i="46"/>
  <c r="V16" i="46"/>
  <c r="W16" i="46"/>
  <c r="X16" i="46"/>
  <c r="AA16" i="46"/>
  <c r="AB16" i="46"/>
  <c r="AC16" i="46"/>
  <c r="AD16" i="46"/>
  <c r="F19" i="46"/>
  <c r="G19" i="46"/>
  <c r="X19" i="46"/>
  <c r="Y19" i="46"/>
  <c r="Y24" i="46" s="1"/>
  <c r="AB19" i="46"/>
  <c r="D19" i="46" s="1"/>
  <c r="AD19" i="46"/>
  <c r="AE19" i="46"/>
  <c r="F20" i="46"/>
  <c r="G20" i="46"/>
  <c r="E20" i="46" s="1"/>
  <c r="X20" i="46"/>
  <c r="Y20" i="46"/>
  <c r="Z20" i="46"/>
  <c r="AA20" i="46"/>
  <c r="AB20" i="46"/>
  <c r="AC20" i="46"/>
  <c r="AD20" i="46"/>
  <c r="AE20" i="46"/>
  <c r="F21" i="46"/>
  <c r="G21" i="46"/>
  <c r="X21" i="46"/>
  <c r="Y21" i="46"/>
  <c r="Z21" i="46"/>
  <c r="AA21" i="46"/>
  <c r="AB21" i="46"/>
  <c r="AB24" i="46" s="1"/>
  <c r="AC21" i="46"/>
  <c r="E21" i="46" s="1"/>
  <c r="AD21" i="46"/>
  <c r="AE21" i="46"/>
  <c r="F22" i="46"/>
  <c r="G22" i="46"/>
  <c r="E22" i="46" s="1"/>
  <c r="X22" i="46"/>
  <c r="X24" i="46" s="1"/>
  <c r="Y22" i="46"/>
  <c r="Z22" i="46"/>
  <c r="AA22" i="46"/>
  <c r="AB22" i="46"/>
  <c r="AC22" i="46"/>
  <c r="AD22" i="46"/>
  <c r="AE22" i="46"/>
  <c r="D23" i="46"/>
  <c r="F23" i="47" s="1"/>
  <c r="F23" i="46"/>
  <c r="G23" i="46"/>
  <c r="X23" i="46"/>
  <c r="Y23" i="46"/>
  <c r="Z23" i="46"/>
  <c r="AA23" i="46"/>
  <c r="AB23" i="46"/>
  <c r="AC23" i="46"/>
  <c r="E23" i="46" s="1"/>
  <c r="G23" i="47" s="1"/>
  <c r="I23" i="47" s="1"/>
  <c r="AD23" i="46"/>
  <c r="AE23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AA24" i="46"/>
  <c r="AD24" i="46"/>
  <c r="AE24" i="46"/>
  <c r="D27" i="46"/>
  <c r="F27" i="46"/>
  <c r="G27" i="46"/>
  <c r="G29" i="46" s="1"/>
  <c r="H27" i="46"/>
  <c r="I27" i="46"/>
  <c r="J27" i="46"/>
  <c r="J29" i="46" s="1"/>
  <c r="J82" i="46" s="1"/>
  <c r="K27" i="46"/>
  <c r="AB27" i="46"/>
  <c r="AB29" i="46" s="1"/>
  <c r="AC27" i="46"/>
  <c r="E27" i="46" s="1"/>
  <c r="AD27" i="46"/>
  <c r="AE27" i="46"/>
  <c r="F28" i="46"/>
  <c r="G28" i="46"/>
  <c r="E28" i="46" s="1"/>
  <c r="J28" i="46"/>
  <c r="K28" i="46"/>
  <c r="X28" i="46"/>
  <c r="Y28" i="46"/>
  <c r="Z28" i="46"/>
  <c r="AA28" i="46"/>
  <c r="AB28" i="46"/>
  <c r="AC28" i="46"/>
  <c r="AD28" i="46"/>
  <c r="AD29" i="46" s="1"/>
  <c r="AE28" i="46"/>
  <c r="AE29" i="46" s="1"/>
  <c r="H29" i="46"/>
  <c r="I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F32" i="46"/>
  <c r="G32" i="46"/>
  <c r="G36" i="46" s="1"/>
  <c r="AD32" i="46"/>
  <c r="AE32" i="46"/>
  <c r="F33" i="46"/>
  <c r="G33" i="46"/>
  <c r="E33" i="46" s="1"/>
  <c r="G33" i="47" s="1"/>
  <c r="I33" i="47" s="1"/>
  <c r="X33" i="46"/>
  <c r="X36" i="46" s="1"/>
  <c r="Y33" i="46"/>
  <c r="Y36" i="46" s="1"/>
  <c r="Z33" i="46"/>
  <c r="AA33" i="46"/>
  <c r="AB33" i="46"/>
  <c r="AC33" i="46"/>
  <c r="AD33" i="46"/>
  <c r="AD36" i="46" s="1"/>
  <c r="AE33" i="46"/>
  <c r="D34" i="46"/>
  <c r="F34" i="46"/>
  <c r="G34" i="46"/>
  <c r="X34" i="46"/>
  <c r="Y34" i="46"/>
  <c r="Z34" i="46"/>
  <c r="AA34" i="46"/>
  <c r="AB34" i="46"/>
  <c r="AC34" i="46"/>
  <c r="E34" i="46" s="1"/>
  <c r="AD34" i="46"/>
  <c r="AE34" i="46"/>
  <c r="F35" i="46"/>
  <c r="G35" i="46"/>
  <c r="E35" i="46" s="1"/>
  <c r="X35" i="46"/>
  <c r="Y35" i="46"/>
  <c r="Z35" i="46"/>
  <c r="AA35" i="46"/>
  <c r="AB35" i="46"/>
  <c r="AC35" i="46"/>
  <c r="AD35" i="46"/>
  <c r="AE35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Z36" i="46"/>
  <c r="AA36" i="46"/>
  <c r="AB36" i="46"/>
  <c r="AC36" i="46"/>
  <c r="AE36" i="46"/>
  <c r="F39" i="46"/>
  <c r="G39" i="46"/>
  <c r="E39" i="46" s="1"/>
  <c r="G39" i="47" s="1"/>
  <c r="K39" i="46"/>
  <c r="X39" i="46"/>
  <c r="Y39" i="46"/>
  <c r="Z39" i="46"/>
  <c r="AA39" i="46"/>
  <c r="AB39" i="46"/>
  <c r="AC39" i="46"/>
  <c r="AD39" i="46"/>
  <c r="AE39" i="46"/>
  <c r="F40" i="46"/>
  <c r="G40" i="46"/>
  <c r="K40" i="46"/>
  <c r="X40" i="46"/>
  <c r="Z40" i="46"/>
  <c r="AA40" i="46"/>
  <c r="AB40" i="46"/>
  <c r="AC40" i="46"/>
  <c r="AD40" i="46"/>
  <c r="AE40" i="46"/>
  <c r="F41" i="46"/>
  <c r="G41" i="46"/>
  <c r="G42" i="46" s="1"/>
  <c r="X41" i="46"/>
  <c r="D41" i="46" s="1"/>
  <c r="Y41" i="46"/>
  <c r="Z41" i="46"/>
  <c r="AA41" i="46"/>
  <c r="AB41" i="46"/>
  <c r="AC41" i="46"/>
  <c r="AC42" i="46" s="1"/>
  <c r="AD41" i="46"/>
  <c r="AE41" i="46"/>
  <c r="AE42" i="46" s="1"/>
  <c r="F42" i="46"/>
  <c r="H42" i="46"/>
  <c r="I42" i="46"/>
  <c r="I43" i="46" s="1"/>
  <c r="J42" i="46"/>
  <c r="K42" i="46"/>
  <c r="K43" i="46" s="1"/>
  <c r="L42" i="46"/>
  <c r="L43" i="46" s="1"/>
  <c r="M42" i="46"/>
  <c r="N42" i="46"/>
  <c r="O42" i="46"/>
  <c r="P42" i="46"/>
  <c r="Q42" i="46"/>
  <c r="Q43" i="46" s="1"/>
  <c r="Q82" i="46" s="1"/>
  <c r="O646" i="44" s="1"/>
  <c r="R42" i="46"/>
  <c r="S42" i="46"/>
  <c r="S43" i="46" s="1"/>
  <c r="T42" i="46"/>
  <c r="T43" i="46" s="1"/>
  <c r="U42" i="46"/>
  <c r="V42" i="46"/>
  <c r="W42" i="46"/>
  <c r="Y42" i="46"/>
  <c r="Y43" i="46" s="1"/>
  <c r="Z42" i="46"/>
  <c r="AA42" i="46"/>
  <c r="AA43" i="46" s="1"/>
  <c r="AA82" i="46" s="1"/>
  <c r="Y646" i="44" s="1"/>
  <c r="AB42" i="46"/>
  <c r="AB43" i="46" s="1"/>
  <c r="AD42" i="46"/>
  <c r="G43" i="46"/>
  <c r="H43" i="46"/>
  <c r="J43" i="46"/>
  <c r="M43" i="46"/>
  <c r="N43" i="46"/>
  <c r="O43" i="46"/>
  <c r="P43" i="46"/>
  <c r="R43" i="46"/>
  <c r="U43" i="46"/>
  <c r="V43" i="46"/>
  <c r="W43" i="46"/>
  <c r="Z43" i="46"/>
  <c r="AC43" i="46"/>
  <c r="AD43" i="46"/>
  <c r="AE43" i="46"/>
  <c r="F45" i="46"/>
  <c r="G45" i="46"/>
  <c r="X45" i="46"/>
  <c r="Y45" i="46"/>
  <c r="Z45" i="46"/>
  <c r="AA45" i="46"/>
  <c r="AB45" i="46"/>
  <c r="D45" i="46" s="1"/>
  <c r="AC45" i="46"/>
  <c r="AD45" i="46"/>
  <c r="AE45" i="46"/>
  <c r="F47" i="46"/>
  <c r="G47" i="46"/>
  <c r="E47" i="46" s="1"/>
  <c r="G47" i="47" s="1"/>
  <c r="I47" i="47" s="1"/>
  <c r="X47" i="46"/>
  <c r="D47" i="46" s="1"/>
  <c r="F47" i="47" s="1"/>
  <c r="H47" i="47" s="1"/>
  <c r="Y47" i="46"/>
  <c r="Z47" i="46"/>
  <c r="AA47" i="46"/>
  <c r="AB47" i="46"/>
  <c r="AC47" i="46"/>
  <c r="AD47" i="46"/>
  <c r="AE47" i="46"/>
  <c r="D49" i="46"/>
  <c r="F49" i="46"/>
  <c r="G49" i="46"/>
  <c r="E49" i="46" s="1"/>
  <c r="AD49" i="46"/>
  <c r="AE49" i="46"/>
  <c r="F51" i="46"/>
  <c r="G51" i="46"/>
  <c r="J51" i="46"/>
  <c r="K51" i="46"/>
  <c r="L51" i="46"/>
  <c r="M51" i="46"/>
  <c r="N51" i="46"/>
  <c r="O51" i="46"/>
  <c r="E51" i="46" s="1"/>
  <c r="G51" i="47" s="1"/>
  <c r="I51" i="47" s="1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D56" i="46" s="1"/>
  <c r="F54" i="46"/>
  <c r="G54" i="46"/>
  <c r="E54" i="46" s="1"/>
  <c r="J54" i="46"/>
  <c r="L54" i="46"/>
  <c r="L56" i="46" s="1"/>
  <c r="N54" i="46"/>
  <c r="P54" i="46"/>
  <c r="R54" i="46"/>
  <c r="R56" i="46" s="1"/>
  <c r="T54" i="46"/>
  <c r="V54" i="46"/>
  <c r="AD54" i="46"/>
  <c r="AD56" i="46" s="1"/>
  <c r="AE54" i="46"/>
  <c r="D55" i="46"/>
  <c r="F55" i="46"/>
  <c r="F56" i="46" s="1"/>
  <c r="G55" i="46"/>
  <c r="E55" i="46" s="1"/>
  <c r="X55" i="46"/>
  <c r="Z55" i="46"/>
  <c r="AA55" i="46"/>
  <c r="AA56" i="46" s="1"/>
  <c r="AB55" i="46"/>
  <c r="AD55" i="46"/>
  <c r="AE55" i="46"/>
  <c r="H56" i="46"/>
  <c r="I56" i="46"/>
  <c r="J56" i="46"/>
  <c r="K56" i="46"/>
  <c r="M56" i="46"/>
  <c r="N56" i="46"/>
  <c r="O56" i="46"/>
  <c r="P56" i="46"/>
  <c r="Q56" i="46"/>
  <c r="S56" i="46"/>
  <c r="T56" i="46"/>
  <c r="U56" i="46"/>
  <c r="V56" i="46"/>
  <c r="W56" i="46"/>
  <c r="X56" i="46"/>
  <c r="Y56" i="46"/>
  <c r="Z56" i="46"/>
  <c r="AB56" i="46"/>
  <c r="AC56" i="46"/>
  <c r="AE56" i="46"/>
  <c r="F59" i="46"/>
  <c r="G59" i="46"/>
  <c r="J59" i="46"/>
  <c r="J61" i="46" s="1"/>
  <c r="K59" i="46"/>
  <c r="L59" i="46"/>
  <c r="M59" i="46"/>
  <c r="N59" i="46"/>
  <c r="N61" i="46" s="1"/>
  <c r="O59" i="46"/>
  <c r="P59" i="46"/>
  <c r="Q59" i="46"/>
  <c r="R59" i="46"/>
  <c r="S59" i="46"/>
  <c r="S61" i="46" s="1"/>
  <c r="T59" i="46"/>
  <c r="U59" i="46"/>
  <c r="V59" i="46"/>
  <c r="V61" i="46" s="1"/>
  <c r="W59" i="46"/>
  <c r="X59" i="46"/>
  <c r="Y59" i="46"/>
  <c r="Z59" i="46"/>
  <c r="Z61" i="46" s="1"/>
  <c r="AA59" i="46"/>
  <c r="AA61" i="46" s="1"/>
  <c r="AB59" i="46"/>
  <c r="AC59" i="46"/>
  <c r="AD59" i="46"/>
  <c r="AD61" i="46" s="1"/>
  <c r="AE59" i="46"/>
  <c r="D60" i="46"/>
  <c r="F60" i="46"/>
  <c r="G60" i="46"/>
  <c r="I60" i="46"/>
  <c r="K60" i="46"/>
  <c r="M60" i="46"/>
  <c r="M61" i="46" s="1"/>
  <c r="M82" i="46" s="1"/>
  <c r="O60" i="46"/>
  <c r="Q60" i="46"/>
  <c r="Q61" i="46" s="1"/>
  <c r="S60" i="46"/>
  <c r="X60" i="46"/>
  <c r="Y60" i="46"/>
  <c r="Y61" i="46" s="1"/>
  <c r="Z60" i="46"/>
  <c r="AA60" i="46"/>
  <c r="AB60" i="46"/>
  <c r="AC60" i="46"/>
  <c r="AD60" i="46"/>
  <c r="AE60" i="46"/>
  <c r="H61" i="46"/>
  <c r="I61" i="46"/>
  <c r="L61" i="46"/>
  <c r="O61" i="46"/>
  <c r="P61" i="46"/>
  <c r="R61" i="46"/>
  <c r="T61" i="46"/>
  <c r="U61" i="46"/>
  <c r="U82" i="46" s="1"/>
  <c r="S646" i="44" s="1"/>
  <c r="W61" i="46"/>
  <c r="X61" i="46"/>
  <c r="AB61" i="46"/>
  <c r="AC61" i="46"/>
  <c r="AE61" i="46"/>
  <c r="F64" i="46"/>
  <c r="G64" i="46"/>
  <c r="K64" i="46"/>
  <c r="M64" i="46"/>
  <c r="O64" i="46"/>
  <c r="Q64" i="46"/>
  <c r="S64" i="46"/>
  <c r="S66" i="46" s="1"/>
  <c r="U64" i="46"/>
  <c r="W64" i="46"/>
  <c r="W66" i="46" s="1"/>
  <c r="X64" i="46"/>
  <c r="Y64" i="46"/>
  <c r="Y66" i="46" s="1"/>
  <c r="Z64" i="46"/>
  <c r="AA64" i="46"/>
  <c r="AB64" i="46"/>
  <c r="AC64" i="46"/>
  <c r="AD64" i="46"/>
  <c r="AE64" i="46"/>
  <c r="AE66" i="46" s="1"/>
  <c r="F65" i="46"/>
  <c r="G65" i="46"/>
  <c r="X65" i="46"/>
  <c r="Y65" i="46"/>
  <c r="E65" i="46" s="1"/>
  <c r="G65" i="47" s="1"/>
  <c r="I65" i="47" s="1"/>
  <c r="Z65" i="46"/>
  <c r="AA65" i="46"/>
  <c r="AA66" i="46" s="1"/>
  <c r="AB65" i="46"/>
  <c r="AC65" i="46"/>
  <c r="AD65" i="46"/>
  <c r="AD66" i="46" s="1"/>
  <c r="AE65" i="46"/>
  <c r="G66" i="46"/>
  <c r="H66" i="46"/>
  <c r="I66" i="46"/>
  <c r="J66" i="46"/>
  <c r="L66" i="46"/>
  <c r="M66" i="46"/>
  <c r="N66" i="46"/>
  <c r="O66" i="46"/>
  <c r="P66" i="46"/>
  <c r="Q66" i="46"/>
  <c r="R66" i="46"/>
  <c r="T66" i="46"/>
  <c r="U66" i="46"/>
  <c r="V66" i="46"/>
  <c r="X66" i="46"/>
  <c r="Z66" i="46"/>
  <c r="AB66" i="46"/>
  <c r="AC66" i="46"/>
  <c r="F70" i="46"/>
  <c r="G70" i="46"/>
  <c r="X70" i="46"/>
  <c r="Y70" i="46"/>
  <c r="Y72" i="46" s="1"/>
  <c r="Y82" i="46" s="1"/>
  <c r="W646" i="44" s="1"/>
  <c r="Z70" i="46"/>
  <c r="AA70" i="46"/>
  <c r="AA72" i="46" s="1"/>
  <c r="AB70" i="46"/>
  <c r="AC70" i="46"/>
  <c r="AD70" i="46"/>
  <c r="AE70" i="46"/>
  <c r="F71" i="46"/>
  <c r="G71" i="46"/>
  <c r="G72" i="46" s="1"/>
  <c r="X71" i="46"/>
  <c r="D71" i="46" s="1"/>
  <c r="F71" i="47" s="1"/>
  <c r="Y71" i="46"/>
  <c r="Z71" i="46"/>
  <c r="Z72" i="46" s="1"/>
  <c r="AA71" i="46"/>
  <c r="AB71" i="46"/>
  <c r="AC71" i="46"/>
  <c r="E71" i="46" s="1"/>
  <c r="G71" i="47" s="1"/>
  <c r="I71" i="47" s="1"/>
  <c r="AD71" i="46"/>
  <c r="AE71" i="46"/>
  <c r="AE72" i="46" s="1"/>
  <c r="F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AB72" i="46"/>
  <c r="AC72" i="46"/>
  <c r="AD72" i="46"/>
  <c r="F73" i="46"/>
  <c r="G73" i="46"/>
  <c r="X73" i="46"/>
  <c r="Y73" i="46"/>
  <c r="Z73" i="46"/>
  <c r="D73" i="46" s="1"/>
  <c r="AA73" i="46"/>
  <c r="AB73" i="46"/>
  <c r="AC73" i="46"/>
  <c r="E73" i="46" s="1"/>
  <c r="G73" i="47" s="1"/>
  <c r="I73" i="47" s="1"/>
  <c r="AD73" i="46"/>
  <c r="AE73" i="46"/>
  <c r="F74" i="46"/>
  <c r="G74" i="46"/>
  <c r="X74" i="46"/>
  <c r="Y74" i="46"/>
  <c r="E74" i="46" s="1"/>
  <c r="G74" i="47" s="1"/>
  <c r="I74" i="47" s="1"/>
  <c r="Z74" i="46"/>
  <c r="AA74" i="46"/>
  <c r="AB74" i="46"/>
  <c r="AC74" i="46"/>
  <c r="AD74" i="46"/>
  <c r="AE74" i="46"/>
  <c r="F75" i="46"/>
  <c r="G75" i="46"/>
  <c r="X75" i="46"/>
  <c r="Y75" i="46"/>
  <c r="Z75" i="46"/>
  <c r="D75" i="46" s="1"/>
  <c r="AA75" i="46"/>
  <c r="AB75" i="46"/>
  <c r="AC75" i="46"/>
  <c r="AD75" i="46"/>
  <c r="AE75" i="46"/>
  <c r="F76" i="46"/>
  <c r="G76" i="46"/>
  <c r="X76" i="46"/>
  <c r="Y76" i="46"/>
  <c r="E76" i="46" s="1"/>
  <c r="G76" i="47" s="1"/>
  <c r="I76" i="47" s="1"/>
  <c r="Z76" i="46"/>
  <c r="AA76" i="46"/>
  <c r="AB76" i="46"/>
  <c r="AC76" i="46"/>
  <c r="AD76" i="46"/>
  <c r="AE76" i="46"/>
  <c r="F77" i="46"/>
  <c r="G77" i="46"/>
  <c r="X77" i="46"/>
  <c r="Y77" i="46"/>
  <c r="Z77" i="46"/>
  <c r="D77" i="46" s="1"/>
  <c r="AA77" i="46"/>
  <c r="AB77" i="46"/>
  <c r="AC77" i="46"/>
  <c r="AD77" i="46"/>
  <c r="AE77" i="46"/>
  <c r="F78" i="46"/>
  <c r="G78" i="46"/>
  <c r="X78" i="46"/>
  <c r="Y78" i="46"/>
  <c r="Z78" i="46"/>
  <c r="AA78" i="46"/>
  <c r="E78" i="46" s="1"/>
  <c r="G78" i="47" s="1"/>
  <c r="I78" i="47" s="1"/>
  <c r="AB78" i="46"/>
  <c r="AC78" i="46"/>
  <c r="AD78" i="46"/>
  <c r="AE78" i="46"/>
  <c r="F79" i="46"/>
  <c r="G79" i="46"/>
  <c r="X79" i="46"/>
  <c r="Y79" i="46"/>
  <c r="E79" i="46" s="1"/>
  <c r="G79" i="47" s="1"/>
  <c r="I79" i="47" s="1"/>
  <c r="Z79" i="46"/>
  <c r="D79" i="46" s="1"/>
  <c r="AA79" i="46"/>
  <c r="AB79" i="46"/>
  <c r="AC79" i="46"/>
  <c r="AD79" i="46"/>
  <c r="AE79" i="46"/>
  <c r="F80" i="46"/>
  <c r="G80" i="46"/>
  <c r="X80" i="46"/>
  <c r="Y80" i="46"/>
  <c r="Z80" i="46"/>
  <c r="AA80" i="46"/>
  <c r="AB80" i="46"/>
  <c r="AC80" i="46"/>
  <c r="E80" i="46" s="1"/>
  <c r="G80" i="47" s="1"/>
  <c r="I80" i="47" s="1"/>
  <c r="AD80" i="46"/>
  <c r="AE80" i="46"/>
  <c r="F81" i="46"/>
  <c r="G81" i="46"/>
  <c r="X81" i="46"/>
  <c r="Y81" i="46"/>
  <c r="Z81" i="46"/>
  <c r="D81" i="46" s="1"/>
  <c r="AA81" i="46"/>
  <c r="AB81" i="46"/>
  <c r="AC81" i="46"/>
  <c r="E81" i="46" s="1"/>
  <c r="G81" i="47" s="1"/>
  <c r="I81" i="47" s="1"/>
  <c r="AD81" i="46"/>
  <c r="AE81" i="46"/>
  <c r="H82" i="46"/>
  <c r="I82" i="46"/>
  <c r="G646" i="44" s="1"/>
  <c r="N82" i="46"/>
  <c r="L646" i="44" s="1"/>
  <c r="P82" i="46"/>
  <c r="N646" i="44" s="1"/>
  <c r="V82" i="46"/>
  <c r="T646" i="44" s="1"/>
  <c r="D86" i="46"/>
  <c r="E86" i="46"/>
  <c r="F86" i="46"/>
  <c r="G86" i="46"/>
  <c r="E87" i="46"/>
  <c r="G87" i="47" s="1"/>
  <c r="I87" i="47" s="1"/>
  <c r="F87" i="46"/>
  <c r="D87" i="46" s="1"/>
  <c r="D89" i="46" s="1"/>
  <c r="G87" i="46"/>
  <c r="D88" i="46"/>
  <c r="F88" i="46"/>
  <c r="G88" i="46"/>
  <c r="E88" i="46" s="1"/>
  <c r="G88" i="47" s="1"/>
  <c r="I88" i="47" s="1"/>
  <c r="E89" i="46"/>
  <c r="G21" i="4" s="1"/>
  <c r="H21" i="4" s="1"/>
  <c r="F89" i="46"/>
  <c r="H89" i="46"/>
  <c r="I89" i="46"/>
  <c r="J89" i="46"/>
  <c r="K89" i="46"/>
  <c r="L89" i="46"/>
  <c r="M89" i="46"/>
  <c r="A4" i="47"/>
  <c r="A5" i="47"/>
  <c r="E11" i="47"/>
  <c r="F11" i="47"/>
  <c r="D12" i="47"/>
  <c r="E12" i="47"/>
  <c r="H12" i="47"/>
  <c r="D13" i="47"/>
  <c r="D14" i="47"/>
  <c r="E14" i="47"/>
  <c r="F14" i="47"/>
  <c r="H14" i="47" s="1"/>
  <c r="E15" i="47"/>
  <c r="F15" i="47"/>
  <c r="H15" i="47"/>
  <c r="D19" i="47"/>
  <c r="E19" i="47"/>
  <c r="F19" i="47"/>
  <c r="H19" i="47"/>
  <c r="D20" i="47"/>
  <c r="G20" i="47"/>
  <c r="D21" i="47"/>
  <c r="D24" i="47" s="1"/>
  <c r="E21" i="47"/>
  <c r="G21" i="47"/>
  <c r="I21" i="47"/>
  <c r="D22" i="47"/>
  <c r="E22" i="47"/>
  <c r="G22" i="47"/>
  <c r="I22" i="47" s="1"/>
  <c r="D23" i="47"/>
  <c r="E23" i="47"/>
  <c r="H23" i="47"/>
  <c r="D27" i="47"/>
  <c r="D29" i="47" s="1"/>
  <c r="D28" i="47"/>
  <c r="G28" i="47"/>
  <c r="D32" i="47"/>
  <c r="D33" i="47"/>
  <c r="D36" i="47" s="1"/>
  <c r="E33" i="47"/>
  <c r="D34" i="47"/>
  <c r="F34" i="47"/>
  <c r="H34" i="47" s="1"/>
  <c r="G34" i="47"/>
  <c r="D35" i="47"/>
  <c r="E35" i="47"/>
  <c r="I35" i="47" s="1"/>
  <c r="G35" i="47"/>
  <c r="D39" i="47"/>
  <c r="D40" i="47"/>
  <c r="E40" i="47"/>
  <c r="E42" i="47" s="1"/>
  <c r="E41" i="47"/>
  <c r="F41" i="47"/>
  <c r="D45" i="47"/>
  <c r="E45" i="47"/>
  <c r="F45" i="47"/>
  <c r="H45" i="47" s="1"/>
  <c r="D47" i="47"/>
  <c r="E47" i="47"/>
  <c r="D49" i="47"/>
  <c r="F49" i="47"/>
  <c r="G49" i="47"/>
  <c r="I49" i="47" s="1"/>
  <c r="H49" i="47"/>
  <c r="D51" i="47"/>
  <c r="E51" i="47"/>
  <c r="D54" i="47"/>
  <c r="D56" i="47" s="1"/>
  <c r="E54" i="47"/>
  <c r="E56" i="47" s="1"/>
  <c r="F54" i="47"/>
  <c r="D55" i="47"/>
  <c r="E55" i="47"/>
  <c r="I55" i="47" s="1"/>
  <c r="F55" i="47"/>
  <c r="G55" i="47"/>
  <c r="H55" i="47"/>
  <c r="D59" i="47"/>
  <c r="D61" i="47" s="1"/>
  <c r="E59" i="47"/>
  <c r="D60" i="47"/>
  <c r="E60" i="47"/>
  <c r="F60" i="47"/>
  <c r="H60" i="47" s="1"/>
  <c r="E61" i="47"/>
  <c r="E64" i="47"/>
  <c r="D65" i="47"/>
  <c r="E65" i="47"/>
  <c r="E66" i="47" s="1"/>
  <c r="D70" i="47"/>
  <c r="E70" i="47"/>
  <c r="E72" i="47" s="1"/>
  <c r="D72" i="47"/>
  <c r="D73" i="47"/>
  <c r="E73" i="47"/>
  <c r="F73" i="47"/>
  <c r="H73" i="47" s="1"/>
  <c r="D74" i="47"/>
  <c r="E74" i="47"/>
  <c r="D75" i="47"/>
  <c r="F75" i="47"/>
  <c r="H75" i="47"/>
  <c r="D76" i="47"/>
  <c r="D77" i="47"/>
  <c r="E77" i="47"/>
  <c r="F77" i="47"/>
  <c r="H77" i="47" s="1"/>
  <c r="D78" i="47"/>
  <c r="E78" i="47"/>
  <c r="D79" i="47"/>
  <c r="F79" i="47"/>
  <c r="H79" i="47"/>
  <c r="D80" i="47"/>
  <c r="E80" i="47"/>
  <c r="D81" i="47"/>
  <c r="E81" i="47"/>
  <c r="F81" i="47"/>
  <c r="H81" i="47" s="1"/>
  <c r="D86" i="47"/>
  <c r="E86" i="47"/>
  <c r="F86" i="47"/>
  <c r="G86" i="47"/>
  <c r="I86" i="47" s="1"/>
  <c r="I89" i="47" s="1"/>
  <c r="H86" i="47"/>
  <c r="D87" i="47"/>
  <c r="E87" i="47"/>
  <c r="F87" i="47"/>
  <c r="H87" i="47" s="1"/>
  <c r="D88" i="47"/>
  <c r="E88" i="47"/>
  <c r="F88" i="47"/>
  <c r="E89" i="47"/>
  <c r="A4" i="14"/>
  <c r="A5" i="14"/>
  <c r="F11" i="14"/>
  <c r="H11" i="14"/>
  <c r="I11" i="14"/>
  <c r="G11" i="14" s="1"/>
  <c r="L11" i="14"/>
  <c r="F12" i="14"/>
  <c r="G12" i="14"/>
  <c r="H12" i="14"/>
  <c r="L12" i="14" s="1"/>
  <c r="I12" i="14"/>
  <c r="M12" i="14"/>
  <c r="H13" i="14"/>
  <c r="I13" i="14"/>
  <c r="M13" i="14" s="1"/>
  <c r="E13" i="38" s="1"/>
  <c r="G14" i="14"/>
  <c r="H14" i="14"/>
  <c r="F14" i="14" s="1"/>
  <c r="I14" i="14"/>
  <c r="L14" i="14"/>
  <c r="M14" i="14"/>
  <c r="F15" i="14"/>
  <c r="H15" i="14"/>
  <c r="I15" i="14"/>
  <c r="G15" i="14" s="1"/>
  <c r="L15" i="14"/>
  <c r="J16" i="14"/>
  <c r="K16" i="14"/>
  <c r="H18" i="14"/>
  <c r="I18" i="14"/>
  <c r="F19" i="14"/>
  <c r="H19" i="14"/>
  <c r="I19" i="14"/>
  <c r="G19" i="14" s="1"/>
  <c r="L19" i="14"/>
  <c r="F20" i="14"/>
  <c r="G20" i="14"/>
  <c r="H20" i="14"/>
  <c r="L20" i="14" s="1"/>
  <c r="I20" i="14"/>
  <c r="M20" i="14"/>
  <c r="H21" i="14"/>
  <c r="I21" i="14"/>
  <c r="M21" i="14" s="1"/>
  <c r="G22" i="14"/>
  <c r="H22" i="14"/>
  <c r="F22" i="14" s="1"/>
  <c r="I22" i="14"/>
  <c r="L22" i="14"/>
  <c r="M22" i="14"/>
  <c r="F23" i="14"/>
  <c r="H23" i="14"/>
  <c r="I23" i="14"/>
  <c r="G23" i="14" s="1"/>
  <c r="L23" i="14"/>
  <c r="J24" i="14"/>
  <c r="K24" i="14"/>
  <c r="F27" i="14"/>
  <c r="G27" i="14"/>
  <c r="H27" i="14"/>
  <c r="L27" i="14" s="1"/>
  <c r="I27" i="14"/>
  <c r="M27" i="14"/>
  <c r="M29" i="14" s="1"/>
  <c r="H28" i="14"/>
  <c r="I28" i="14"/>
  <c r="M28" i="14" s="1"/>
  <c r="J29" i="14"/>
  <c r="J82" i="14" s="1"/>
  <c r="K29" i="14"/>
  <c r="G32" i="14"/>
  <c r="H32" i="14"/>
  <c r="F32" i="14" s="1"/>
  <c r="I32" i="14"/>
  <c r="L32" i="14"/>
  <c r="M32" i="14"/>
  <c r="F33" i="14"/>
  <c r="H33" i="14"/>
  <c r="I33" i="14"/>
  <c r="G33" i="14" s="1"/>
  <c r="L33" i="14"/>
  <c r="F34" i="14"/>
  <c r="G34" i="14"/>
  <c r="H34" i="14"/>
  <c r="L34" i="14" s="1"/>
  <c r="D34" i="38" s="1"/>
  <c r="I34" i="14"/>
  <c r="M34" i="14"/>
  <c r="H35" i="14"/>
  <c r="I35" i="14"/>
  <c r="M35" i="14" s="1"/>
  <c r="E35" i="38" s="1"/>
  <c r="J36" i="14"/>
  <c r="K36" i="14"/>
  <c r="L37" i="14"/>
  <c r="M37" i="14"/>
  <c r="H38" i="14"/>
  <c r="I38" i="14"/>
  <c r="F39" i="14"/>
  <c r="G39" i="14"/>
  <c r="H39" i="14"/>
  <c r="L39" i="14" s="1"/>
  <c r="I39" i="14"/>
  <c r="M39" i="14"/>
  <c r="H40" i="14"/>
  <c r="I40" i="14"/>
  <c r="M40" i="14" s="1"/>
  <c r="M42" i="14" s="1"/>
  <c r="M43" i="14" s="1"/>
  <c r="G41" i="14"/>
  <c r="H41" i="14"/>
  <c r="F41" i="14" s="1"/>
  <c r="I41" i="14"/>
  <c r="L41" i="14"/>
  <c r="D41" i="38" s="1"/>
  <c r="M41" i="14"/>
  <c r="J42" i="14"/>
  <c r="K42" i="14"/>
  <c r="J43" i="14"/>
  <c r="K43" i="14"/>
  <c r="F45" i="14"/>
  <c r="H45" i="14"/>
  <c r="I45" i="14"/>
  <c r="G45" i="14" s="1"/>
  <c r="L45" i="14"/>
  <c r="F47" i="14"/>
  <c r="G47" i="14"/>
  <c r="H47" i="14"/>
  <c r="L47" i="14" s="1"/>
  <c r="D47" i="38" s="1"/>
  <c r="I47" i="14"/>
  <c r="M47" i="14"/>
  <c r="H49" i="14"/>
  <c r="I49" i="14"/>
  <c r="M49" i="14" s="1"/>
  <c r="E49" i="38" s="1"/>
  <c r="G51" i="14"/>
  <c r="H51" i="14"/>
  <c r="F51" i="14" s="1"/>
  <c r="I51" i="14"/>
  <c r="L51" i="14"/>
  <c r="M51" i="14"/>
  <c r="F54" i="14"/>
  <c r="H54" i="14"/>
  <c r="I54" i="14"/>
  <c r="G54" i="14" s="1"/>
  <c r="G56" i="14" s="1"/>
  <c r="L54" i="14"/>
  <c r="L56" i="14" s="1"/>
  <c r="F55" i="14"/>
  <c r="F56" i="14" s="1"/>
  <c r="G55" i="14"/>
  <c r="H55" i="14"/>
  <c r="L55" i="14" s="1"/>
  <c r="D55" i="38" s="1"/>
  <c r="I55" i="14"/>
  <c r="M55" i="14"/>
  <c r="H56" i="14"/>
  <c r="I56" i="14"/>
  <c r="J56" i="14"/>
  <c r="K56" i="14"/>
  <c r="H59" i="14"/>
  <c r="I59" i="14"/>
  <c r="M59" i="14" s="1"/>
  <c r="M61" i="14" s="1"/>
  <c r="G60" i="14"/>
  <c r="H60" i="14"/>
  <c r="F60" i="14" s="1"/>
  <c r="I60" i="14"/>
  <c r="L60" i="14"/>
  <c r="M60" i="14"/>
  <c r="I61" i="14"/>
  <c r="J61" i="14"/>
  <c r="K61" i="14"/>
  <c r="F64" i="14"/>
  <c r="H64" i="14"/>
  <c r="I64" i="14"/>
  <c r="I64" i="15" s="1"/>
  <c r="L64" i="14"/>
  <c r="L66" i="14" s="1"/>
  <c r="F65" i="14"/>
  <c r="F66" i="14" s="1"/>
  <c r="G65" i="14"/>
  <c r="H65" i="14"/>
  <c r="L65" i="14" s="1"/>
  <c r="I65" i="14"/>
  <c r="M65" i="14"/>
  <c r="H66" i="14"/>
  <c r="I66" i="14"/>
  <c r="J66" i="14"/>
  <c r="K66" i="14"/>
  <c r="H70" i="14"/>
  <c r="I70" i="14"/>
  <c r="M70" i="14" s="1"/>
  <c r="M72" i="14" s="1"/>
  <c r="G71" i="14"/>
  <c r="H71" i="14"/>
  <c r="F71" i="14" s="1"/>
  <c r="I71" i="14"/>
  <c r="L71" i="14"/>
  <c r="M71" i="14"/>
  <c r="I72" i="14"/>
  <c r="J72" i="14"/>
  <c r="K72" i="14"/>
  <c r="F73" i="14"/>
  <c r="H73" i="14"/>
  <c r="I73" i="14"/>
  <c r="G73" i="14" s="1"/>
  <c r="L73" i="14"/>
  <c r="F74" i="14"/>
  <c r="G74" i="14"/>
  <c r="H74" i="14"/>
  <c r="L74" i="14" s="1"/>
  <c r="I74" i="14"/>
  <c r="M74" i="14"/>
  <c r="H75" i="14"/>
  <c r="I75" i="14"/>
  <c r="M75" i="14" s="1"/>
  <c r="E75" i="38" s="1"/>
  <c r="G76" i="14"/>
  <c r="H76" i="14"/>
  <c r="F76" i="14" s="1"/>
  <c r="I76" i="14"/>
  <c r="L76" i="14"/>
  <c r="M76" i="14"/>
  <c r="F77" i="14"/>
  <c r="H77" i="14"/>
  <c r="I77" i="14"/>
  <c r="G77" i="14" s="1"/>
  <c r="L77" i="14"/>
  <c r="F78" i="14"/>
  <c r="G78" i="14"/>
  <c r="H78" i="14"/>
  <c r="L78" i="14" s="1"/>
  <c r="I78" i="14"/>
  <c r="M78" i="14"/>
  <c r="H79" i="14"/>
  <c r="I79" i="14"/>
  <c r="M79" i="14" s="1"/>
  <c r="E79" i="38" s="1"/>
  <c r="G80" i="14"/>
  <c r="H80" i="14"/>
  <c r="F80" i="14" s="1"/>
  <c r="I80" i="14"/>
  <c r="L80" i="14"/>
  <c r="M80" i="14"/>
  <c r="F81" i="14"/>
  <c r="H81" i="14"/>
  <c r="I81" i="14"/>
  <c r="G81" i="14" s="1"/>
  <c r="L81" i="14"/>
  <c r="D82" i="14"/>
  <c r="E82" i="14"/>
  <c r="E85" i="15" s="1"/>
  <c r="K82" i="14"/>
  <c r="A5" i="26"/>
  <c r="AD8" i="26"/>
  <c r="F11" i="26"/>
  <c r="G11" i="26"/>
  <c r="G16" i="26" s="1"/>
  <c r="G82" i="26" s="1"/>
  <c r="H11" i="26"/>
  <c r="H16" i="26" s="1"/>
  <c r="I11" i="26"/>
  <c r="E11" i="26" s="1"/>
  <c r="J11" i="26"/>
  <c r="K11" i="26"/>
  <c r="L11" i="26"/>
  <c r="M11" i="26"/>
  <c r="N11" i="26"/>
  <c r="O11" i="26"/>
  <c r="O16" i="26" s="1"/>
  <c r="O82" i="26" s="1"/>
  <c r="M645" i="44" s="1"/>
  <c r="P11" i="26"/>
  <c r="P16" i="26" s="1"/>
  <c r="Q11" i="26"/>
  <c r="R11" i="26"/>
  <c r="S11" i="26"/>
  <c r="T11" i="26"/>
  <c r="U11" i="26"/>
  <c r="V11" i="26"/>
  <c r="W11" i="26"/>
  <c r="W16" i="26" s="1"/>
  <c r="W82" i="26" s="1"/>
  <c r="U645" i="44" s="1"/>
  <c r="X11" i="26"/>
  <c r="Y11" i="26"/>
  <c r="Y11" i="27" s="1"/>
  <c r="Z11" i="26"/>
  <c r="Z11" i="27" s="1"/>
  <c r="AA11" i="26"/>
  <c r="AA11" i="27" s="1"/>
  <c r="AB11" i="26"/>
  <c r="AC11" i="26"/>
  <c r="AD11" i="26"/>
  <c r="AE11" i="26"/>
  <c r="AE16" i="26" s="1"/>
  <c r="AE82" i="26" s="1"/>
  <c r="AC645" i="44" s="1"/>
  <c r="D12" i="26"/>
  <c r="F12" i="38" s="1"/>
  <c r="H12" i="38" s="1"/>
  <c r="F12" i="26"/>
  <c r="G12" i="26"/>
  <c r="H12" i="26"/>
  <c r="I12" i="26"/>
  <c r="J12" i="26"/>
  <c r="K12" i="26"/>
  <c r="K12" i="27" s="1"/>
  <c r="L12" i="26"/>
  <c r="L16" i="26" s="1"/>
  <c r="L82" i="26" s="1"/>
  <c r="J645" i="44" s="1"/>
  <c r="M12" i="26"/>
  <c r="E12" i="26" s="1"/>
  <c r="N12" i="26"/>
  <c r="O12" i="26"/>
  <c r="P12" i="26"/>
  <c r="Q12" i="26"/>
  <c r="R12" i="26"/>
  <c r="S12" i="26"/>
  <c r="T12" i="26"/>
  <c r="T16" i="26" s="1"/>
  <c r="U12" i="26"/>
  <c r="U12" i="27" s="1"/>
  <c r="V12" i="26"/>
  <c r="W12" i="26"/>
  <c r="X12" i="26"/>
  <c r="Y12" i="26"/>
  <c r="Z12" i="26"/>
  <c r="AA12" i="26"/>
  <c r="AB12" i="26"/>
  <c r="AB16" i="26" s="1"/>
  <c r="AB82" i="26" s="1"/>
  <c r="Z645" i="44" s="1"/>
  <c r="AC12" i="26"/>
  <c r="AD12" i="26"/>
  <c r="AE12" i="26"/>
  <c r="F13" i="26"/>
  <c r="D13" i="26" s="1"/>
  <c r="G13" i="26"/>
  <c r="H13" i="26"/>
  <c r="I13" i="26"/>
  <c r="E13" i="26" s="1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F14" i="26"/>
  <c r="G14" i="26"/>
  <c r="H14" i="26"/>
  <c r="I14" i="26"/>
  <c r="J14" i="26"/>
  <c r="K14" i="26"/>
  <c r="L14" i="26"/>
  <c r="D14" i="26" s="1"/>
  <c r="F14" i="38" s="1"/>
  <c r="H14" i="38" s="1"/>
  <c r="M14" i="26"/>
  <c r="E14" i="26" s="1"/>
  <c r="G14" i="38" s="1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F15" i="26"/>
  <c r="D15" i="26" s="1"/>
  <c r="F15" i="38" s="1"/>
  <c r="H15" i="38" s="1"/>
  <c r="G15" i="26"/>
  <c r="H15" i="26"/>
  <c r="I15" i="26"/>
  <c r="E15" i="26" s="1"/>
  <c r="G15" i="38" s="1"/>
  <c r="J15" i="26"/>
  <c r="K15" i="26"/>
  <c r="L15" i="26"/>
  <c r="M15" i="26"/>
  <c r="N15" i="26"/>
  <c r="N16" i="26" s="1"/>
  <c r="O15" i="26"/>
  <c r="P15" i="26"/>
  <c r="Q15" i="26"/>
  <c r="Q16" i="26" s="1"/>
  <c r="R15" i="26"/>
  <c r="S15" i="26"/>
  <c r="T15" i="26"/>
  <c r="U15" i="26"/>
  <c r="V15" i="26"/>
  <c r="V16" i="26" s="1"/>
  <c r="W15" i="26"/>
  <c r="X15" i="26"/>
  <c r="Y15" i="26"/>
  <c r="Y16" i="26" s="1"/>
  <c r="Z15" i="26"/>
  <c r="AA15" i="26"/>
  <c r="AB15" i="26"/>
  <c r="AC15" i="26"/>
  <c r="AD15" i="26"/>
  <c r="AD16" i="26" s="1"/>
  <c r="AE15" i="26"/>
  <c r="J16" i="26"/>
  <c r="K16" i="26"/>
  <c r="M16" i="26"/>
  <c r="R16" i="26"/>
  <c r="S16" i="26"/>
  <c r="U16" i="26"/>
  <c r="Z16" i="26"/>
  <c r="AA16" i="26"/>
  <c r="AC16" i="26"/>
  <c r="F19" i="26"/>
  <c r="D19" i="26" s="1"/>
  <c r="G19" i="26"/>
  <c r="H19" i="26"/>
  <c r="H24" i="26" s="1"/>
  <c r="I19" i="26"/>
  <c r="I24" i="26" s="1"/>
  <c r="J19" i="26"/>
  <c r="J24" i="26" s="1"/>
  <c r="J82" i="26" s="1"/>
  <c r="H645" i="44" s="1"/>
  <c r="K19" i="26"/>
  <c r="L19" i="26"/>
  <c r="M19" i="26"/>
  <c r="N19" i="26"/>
  <c r="O19" i="26"/>
  <c r="P19" i="26"/>
  <c r="P24" i="26" s="1"/>
  <c r="Q19" i="26"/>
  <c r="Q24" i="26" s="1"/>
  <c r="R19" i="26"/>
  <c r="R24" i="26" s="1"/>
  <c r="S19" i="26"/>
  <c r="T19" i="26"/>
  <c r="U19" i="26"/>
  <c r="U19" i="27" s="1"/>
  <c r="V19" i="26"/>
  <c r="W19" i="26"/>
  <c r="X19" i="26"/>
  <c r="X24" i="26" s="1"/>
  <c r="Z19" i="26"/>
  <c r="AB19" i="26"/>
  <c r="AC19" i="26"/>
  <c r="AD19" i="26"/>
  <c r="AE19" i="26"/>
  <c r="F20" i="26"/>
  <c r="G20" i="26"/>
  <c r="E20" i="26" s="1"/>
  <c r="G20" i="38" s="1"/>
  <c r="I20" i="38" s="1"/>
  <c r="H20" i="26"/>
  <c r="I20" i="26"/>
  <c r="J20" i="26"/>
  <c r="K20" i="26"/>
  <c r="K20" i="27" s="1"/>
  <c r="L20" i="26"/>
  <c r="M20" i="26"/>
  <c r="M20" i="27" s="1"/>
  <c r="N20" i="26"/>
  <c r="N24" i="26" s="1"/>
  <c r="O20" i="26"/>
  <c r="O20" i="27" s="1"/>
  <c r="P20" i="26"/>
  <c r="Q20" i="26"/>
  <c r="Q20" i="27" s="1"/>
  <c r="R20" i="26"/>
  <c r="S20" i="26"/>
  <c r="S20" i="27" s="1"/>
  <c r="T20" i="26"/>
  <c r="U20" i="26"/>
  <c r="U20" i="27" s="1"/>
  <c r="V20" i="26"/>
  <c r="V24" i="26" s="1"/>
  <c r="W20" i="26"/>
  <c r="W20" i="27" s="1"/>
  <c r="X20" i="26"/>
  <c r="Y20" i="26"/>
  <c r="Z20" i="26"/>
  <c r="AA20" i="26"/>
  <c r="AB20" i="26"/>
  <c r="AC20" i="26"/>
  <c r="AD20" i="26"/>
  <c r="AD24" i="26" s="1"/>
  <c r="AE20" i="26"/>
  <c r="F21" i="26"/>
  <c r="G21" i="26"/>
  <c r="E21" i="26" s="1"/>
  <c r="G21" i="38" s="1"/>
  <c r="H21" i="26"/>
  <c r="D21" i="26" s="1"/>
  <c r="F21" i="38" s="1"/>
  <c r="I21" i="26"/>
  <c r="J21" i="26"/>
  <c r="K21" i="26"/>
  <c r="L21" i="26"/>
  <c r="M21" i="26"/>
  <c r="N21" i="26"/>
  <c r="O21" i="26"/>
  <c r="P21" i="26"/>
  <c r="P21" i="27" s="1"/>
  <c r="Q21" i="26"/>
  <c r="R21" i="26"/>
  <c r="S21" i="26"/>
  <c r="T21" i="26"/>
  <c r="U21" i="26"/>
  <c r="V21" i="26"/>
  <c r="W21" i="26"/>
  <c r="X21" i="26"/>
  <c r="Y21" i="26"/>
  <c r="Y24" i="26" s="1"/>
  <c r="Z21" i="26"/>
  <c r="AA21" i="26"/>
  <c r="AB21" i="26"/>
  <c r="AC21" i="26"/>
  <c r="AD21" i="26"/>
  <c r="AE21" i="26"/>
  <c r="F22" i="26"/>
  <c r="G22" i="26"/>
  <c r="E22" i="26" s="1"/>
  <c r="H22" i="26"/>
  <c r="H22" i="27" s="1"/>
  <c r="I22" i="26"/>
  <c r="J22" i="26"/>
  <c r="K22" i="26"/>
  <c r="L22" i="26"/>
  <c r="M22" i="26"/>
  <c r="N22" i="26"/>
  <c r="O22" i="26"/>
  <c r="P22" i="26"/>
  <c r="Q22" i="26"/>
  <c r="R22" i="26"/>
  <c r="S22" i="26"/>
  <c r="T22" i="26"/>
  <c r="T22" i="27" s="1"/>
  <c r="U22" i="26"/>
  <c r="V22" i="26"/>
  <c r="W22" i="26"/>
  <c r="X22" i="26"/>
  <c r="Y22" i="26"/>
  <c r="Z22" i="26"/>
  <c r="AA22" i="26"/>
  <c r="AB22" i="26"/>
  <c r="AC22" i="26"/>
  <c r="AD22" i="26"/>
  <c r="AE22" i="26"/>
  <c r="F23" i="26"/>
  <c r="G23" i="26"/>
  <c r="E23" i="26" s="1"/>
  <c r="H23" i="26"/>
  <c r="D23" i="26" s="1"/>
  <c r="F23" i="38" s="1"/>
  <c r="H23" i="38" s="1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F24" i="26"/>
  <c r="G24" i="26"/>
  <c r="K24" i="26"/>
  <c r="L24" i="26"/>
  <c r="M24" i="26"/>
  <c r="O24" i="26"/>
  <c r="S24" i="26"/>
  <c r="T24" i="26"/>
  <c r="U24" i="26"/>
  <c r="W24" i="26"/>
  <c r="AA24" i="26"/>
  <c r="AB24" i="26"/>
  <c r="AC24" i="26"/>
  <c r="AE24" i="26"/>
  <c r="F27" i="26"/>
  <c r="G27" i="26"/>
  <c r="E27" i="26" s="1"/>
  <c r="H27" i="26"/>
  <c r="D27" i="26" s="1"/>
  <c r="F27" i="38" s="1"/>
  <c r="I27" i="26"/>
  <c r="J27" i="26"/>
  <c r="K27" i="26"/>
  <c r="L27" i="26"/>
  <c r="M27" i="26"/>
  <c r="N27" i="26"/>
  <c r="O27" i="26"/>
  <c r="P27" i="26"/>
  <c r="P27" i="27" s="1"/>
  <c r="Q27" i="26"/>
  <c r="R27" i="26"/>
  <c r="S27" i="26"/>
  <c r="T27" i="26"/>
  <c r="U27" i="26"/>
  <c r="V27" i="26"/>
  <c r="W27" i="26"/>
  <c r="X27" i="26"/>
  <c r="Y27" i="26"/>
  <c r="Z27" i="26"/>
  <c r="Z27" i="27" s="1"/>
  <c r="Z29" i="27" s="1"/>
  <c r="AA27" i="26"/>
  <c r="AB27" i="26"/>
  <c r="AC27" i="26"/>
  <c r="AD27" i="26"/>
  <c r="AE27" i="26"/>
  <c r="F28" i="26"/>
  <c r="G28" i="26"/>
  <c r="E28" i="26" s="1"/>
  <c r="H28" i="26"/>
  <c r="I28" i="26"/>
  <c r="J28" i="26"/>
  <c r="K28" i="26"/>
  <c r="L28" i="26"/>
  <c r="L29" i="26" s="1"/>
  <c r="M28" i="26"/>
  <c r="M29" i="26" s="1"/>
  <c r="N28" i="26"/>
  <c r="N29" i="26" s="1"/>
  <c r="O28" i="26"/>
  <c r="P28" i="26"/>
  <c r="Q28" i="26"/>
  <c r="R28" i="26"/>
  <c r="S28" i="26"/>
  <c r="T28" i="26"/>
  <c r="T28" i="27" s="1"/>
  <c r="U28" i="26"/>
  <c r="U29" i="26" s="1"/>
  <c r="V28" i="26"/>
  <c r="V29" i="26" s="1"/>
  <c r="W28" i="26"/>
  <c r="X28" i="26"/>
  <c r="X28" i="27" s="1"/>
  <c r="Y28" i="26"/>
  <c r="Y28" i="27" s="1"/>
  <c r="Z28" i="26"/>
  <c r="Z28" i="27" s="1"/>
  <c r="AA28" i="26"/>
  <c r="AA28" i="27" s="1"/>
  <c r="AB28" i="26"/>
  <c r="AB29" i="26" s="1"/>
  <c r="AC28" i="26"/>
  <c r="AC29" i="26" s="1"/>
  <c r="AD28" i="26"/>
  <c r="AE28" i="26"/>
  <c r="G29" i="26"/>
  <c r="H29" i="26"/>
  <c r="I29" i="26"/>
  <c r="J29" i="26"/>
  <c r="K29" i="26"/>
  <c r="O29" i="26"/>
  <c r="P29" i="26"/>
  <c r="Q29" i="26"/>
  <c r="R29" i="26"/>
  <c r="S29" i="26"/>
  <c r="W29" i="26"/>
  <c r="X29" i="26"/>
  <c r="Y29" i="26"/>
  <c r="Z29" i="26"/>
  <c r="AA29" i="26"/>
  <c r="AE29" i="26"/>
  <c r="F32" i="26"/>
  <c r="G32" i="26"/>
  <c r="E32" i="26" s="1"/>
  <c r="H32" i="26"/>
  <c r="I32" i="26"/>
  <c r="J32" i="26"/>
  <c r="K32" i="26"/>
  <c r="L32" i="26"/>
  <c r="M32" i="26"/>
  <c r="N32" i="26"/>
  <c r="O32" i="26"/>
  <c r="O32" i="27" s="1"/>
  <c r="P32" i="26"/>
  <c r="Q32" i="26"/>
  <c r="R32" i="26"/>
  <c r="S32" i="26"/>
  <c r="T32" i="26"/>
  <c r="U32" i="26"/>
  <c r="V32" i="26"/>
  <c r="V36" i="26" s="1"/>
  <c r="W32" i="26"/>
  <c r="X32" i="26"/>
  <c r="X32" i="27" s="1"/>
  <c r="Y32" i="26"/>
  <c r="Y32" i="27" s="1"/>
  <c r="Z32" i="26"/>
  <c r="Z32" i="27" s="1"/>
  <c r="AA32" i="26"/>
  <c r="AA32" i="27" s="1"/>
  <c r="AB32" i="26"/>
  <c r="AC32" i="26"/>
  <c r="AD32" i="26"/>
  <c r="AE32" i="26"/>
  <c r="F33" i="26"/>
  <c r="G33" i="26"/>
  <c r="E33" i="26" s="1"/>
  <c r="G33" i="38" s="1"/>
  <c r="H33" i="26"/>
  <c r="D33" i="26" s="1"/>
  <c r="F33" i="38" s="1"/>
  <c r="H33" i="38" s="1"/>
  <c r="I33" i="26"/>
  <c r="I36" i="26" s="1"/>
  <c r="J33" i="26"/>
  <c r="J36" i="26" s="1"/>
  <c r="K33" i="26"/>
  <c r="L33" i="26"/>
  <c r="M33" i="26"/>
  <c r="N33" i="26"/>
  <c r="O33" i="26"/>
  <c r="P33" i="26"/>
  <c r="P33" i="27" s="1"/>
  <c r="Q33" i="26"/>
  <c r="Q36" i="26" s="1"/>
  <c r="R33" i="26"/>
  <c r="R36" i="26" s="1"/>
  <c r="S33" i="26"/>
  <c r="T33" i="26"/>
  <c r="U33" i="26"/>
  <c r="V33" i="26"/>
  <c r="W33" i="26"/>
  <c r="X33" i="26"/>
  <c r="Y33" i="26"/>
  <c r="Y36" i="26" s="1"/>
  <c r="Z33" i="26"/>
  <c r="Z36" i="26" s="1"/>
  <c r="AA33" i="26"/>
  <c r="AB33" i="26"/>
  <c r="AC33" i="26"/>
  <c r="AD33" i="26"/>
  <c r="AE33" i="26"/>
  <c r="F34" i="26"/>
  <c r="D34" i="26" s="1"/>
  <c r="G34" i="26"/>
  <c r="E34" i="26" s="1"/>
  <c r="H34" i="26"/>
  <c r="I34" i="26"/>
  <c r="J34" i="26"/>
  <c r="K34" i="26"/>
  <c r="L34" i="26"/>
  <c r="M34" i="26"/>
  <c r="N34" i="26"/>
  <c r="N36" i="26" s="1"/>
  <c r="O34" i="26"/>
  <c r="P34" i="26"/>
  <c r="Q34" i="26"/>
  <c r="R34" i="26"/>
  <c r="S34" i="26"/>
  <c r="T34" i="26"/>
  <c r="T34" i="27" s="1"/>
  <c r="U34" i="26"/>
  <c r="V34" i="26"/>
  <c r="W34" i="26"/>
  <c r="X34" i="26"/>
  <c r="Y34" i="26"/>
  <c r="Z34" i="26"/>
  <c r="AA34" i="26"/>
  <c r="AB34" i="26"/>
  <c r="AC34" i="26"/>
  <c r="AD34" i="26"/>
  <c r="AD36" i="26" s="1"/>
  <c r="AE34" i="26"/>
  <c r="F35" i="26"/>
  <c r="G35" i="26"/>
  <c r="E35" i="26" s="1"/>
  <c r="H35" i="26"/>
  <c r="D35" i="26" s="1"/>
  <c r="I35" i="26"/>
  <c r="J35" i="26"/>
  <c r="K35" i="26"/>
  <c r="L35" i="26"/>
  <c r="M35" i="26"/>
  <c r="N35" i="26"/>
  <c r="O35" i="26"/>
  <c r="P35" i="26"/>
  <c r="P36" i="26" s="1"/>
  <c r="Q35" i="26"/>
  <c r="R35" i="26"/>
  <c r="S35" i="26"/>
  <c r="T35" i="26"/>
  <c r="U35" i="26"/>
  <c r="V35" i="26"/>
  <c r="W35" i="26"/>
  <c r="W35" i="27" s="1"/>
  <c r="X35" i="26"/>
  <c r="X36" i="26" s="1"/>
  <c r="Y35" i="26"/>
  <c r="Z35" i="26"/>
  <c r="AA35" i="26"/>
  <c r="AB35" i="26"/>
  <c r="AC35" i="26"/>
  <c r="AD35" i="26"/>
  <c r="AE35" i="26"/>
  <c r="G36" i="26"/>
  <c r="K36" i="26"/>
  <c r="L36" i="26"/>
  <c r="M36" i="26"/>
  <c r="O36" i="26"/>
  <c r="S36" i="26"/>
  <c r="T36" i="26"/>
  <c r="U36" i="26"/>
  <c r="W36" i="26"/>
  <c r="AA36" i="26"/>
  <c r="AB36" i="26"/>
  <c r="AC36" i="26"/>
  <c r="AE36" i="26"/>
  <c r="F39" i="26"/>
  <c r="G39" i="26"/>
  <c r="E39" i="26" s="1"/>
  <c r="G39" i="38" s="1"/>
  <c r="H39" i="26"/>
  <c r="D39" i="26" s="1"/>
  <c r="F39" i="38" s="1"/>
  <c r="H39" i="38" s="1"/>
  <c r="I39" i="26"/>
  <c r="J39" i="26"/>
  <c r="J43" i="26" s="1"/>
  <c r="K39" i="26"/>
  <c r="L39" i="26"/>
  <c r="M39" i="26"/>
  <c r="N39" i="26"/>
  <c r="O39" i="26"/>
  <c r="P39" i="26"/>
  <c r="P39" i="27" s="1"/>
  <c r="Q39" i="26"/>
  <c r="Q39" i="27" s="1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F40" i="26"/>
  <c r="G40" i="26"/>
  <c r="E40" i="26" s="1"/>
  <c r="E42" i="26" s="1"/>
  <c r="E43" i="26" s="1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T40" i="27" s="1"/>
  <c r="U40" i="26"/>
  <c r="V40" i="26"/>
  <c r="V42" i="26" s="1"/>
  <c r="V43" i="26" s="1"/>
  <c r="W40" i="26"/>
  <c r="X40" i="26"/>
  <c r="Y40" i="26"/>
  <c r="Y40" i="27" s="1"/>
  <c r="Z40" i="26"/>
  <c r="AA40" i="26"/>
  <c r="AB40" i="26"/>
  <c r="AC40" i="26"/>
  <c r="AD40" i="26"/>
  <c r="AD42" i="26" s="1"/>
  <c r="AD43" i="26" s="1"/>
  <c r="AE40" i="26"/>
  <c r="F41" i="26"/>
  <c r="G41" i="26"/>
  <c r="E41" i="26" s="1"/>
  <c r="H41" i="26"/>
  <c r="D41" i="26" s="1"/>
  <c r="I41" i="26"/>
  <c r="I42" i="26" s="1"/>
  <c r="I43" i="26" s="1"/>
  <c r="J41" i="26"/>
  <c r="J42" i="26" s="1"/>
  <c r="K41" i="26"/>
  <c r="L41" i="26"/>
  <c r="L41" i="27" s="1"/>
  <c r="M41" i="26"/>
  <c r="N41" i="26"/>
  <c r="O41" i="26"/>
  <c r="P41" i="26"/>
  <c r="P42" i="26" s="1"/>
  <c r="P43" i="26" s="1"/>
  <c r="Q41" i="26"/>
  <c r="Q42" i="26" s="1"/>
  <c r="Q43" i="26" s="1"/>
  <c r="R41" i="26"/>
  <c r="R42" i="26" s="1"/>
  <c r="S41" i="26"/>
  <c r="T41" i="26"/>
  <c r="U41" i="26"/>
  <c r="V41" i="26"/>
  <c r="W41" i="26"/>
  <c r="W41" i="27" s="1"/>
  <c r="X41" i="26"/>
  <c r="X42" i="26" s="1"/>
  <c r="X43" i="26" s="1"/>
  <c r="Y41" i="26"/>
  <c r="Y42" i="26" s="1"/>
  <c r="Y43" i="26" s="1"/>
  <c r="Z41" i="26"/>
  <c r="Z42" i="26" s="1"/>
  <c r="AA41" i="26"/>
  <c r="AB41" i="26"/>
  <c r="AC41" i="26"/>
  <c r="AD41" i="26"/>
  <c r="AE41" i="26"/>
  <c r="G42" i="26"/>
  <c r="K42" i="26"/>
  <c r="L42" i="26"/>
  <c r="L43" i="26" s="1"/>
  <c r="M42" i="26"/>
  <c r="M43" i="26" s="1"/>
  <c r="N42" i="26"/>
  <c r="N43" i="26" s="1"/>
  <c r="O42" i="26"/>
  <c r="S42" i="26"/>
  <c r="T42" i="26"/>
  <c r="T43" i="26" s="1"/>
  <c r="U42" i="26"/>
  <c r="U43" i="26" s="1"/>
  <c r="W42" i="26"/>
  <c r="AA42" i="26"/>
  <c r="AB42" i="26"/>
  <c r="AB43" i="26" s="1"/>
  <c r="AC42" i="26"/>
  <c r="AC43" i="26" s="1"/>
  <c r="AE42" i="26"/>
  <c r="G43" i="26"/>
  <c r="K43" i="26"/>
  <c r="O43" i="26"/>
  <c r="R43" i="26"/>
  <c r="R82" i="26" s="1"/>
  <c r="P645" i="44" s="1"/>
  <c r="S43" i="26"/>
  <c r="W43" i="26"/>
  <c r="Z43" i="26"/>
  <c r="AA43" i="26"/>
  <c r="AE43" i="26"/>
  <c r="F45" i="26"/>
  <c r="G45" i="26"/>
  <c r="E45" i="26" s="1"/>
  <c r="G45" i="38" s="1"/>
  <c r="H45" i="26"/>
  <c r="I45" i="26"/>
  <c r="J45" i="26"/>
  <c r="K45" i="26"/>
  <c r="L45" i="26"/>
  <c r="M45" i="26"/>
  <c r="M45" i="27" s="1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F47" i="26"/>
  <c r="G47" i="26"/>
  <c r="E47" i="26" s="1"/>
  <c r="H47" i="26"/>
  <c r="D47" i="26" s="1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E47" i="27" s="1"/>
  <c r="F49" i="26"/>
  <c r="G49" i="26"/>
  <c r="E49" i="26" s="1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U49" i="27" s="1"/>
  <c r="V49" i="26"/>
  <c r="W49" i="26"/>
  <c r="X49" i="26"/>
  <c r="X49" i="27" s="1"/>
  <c r="Y49" i="26"/>
  <c r="Y49" i="27" s="1"/>
  <c r="Z49" i="26"/>
  <c r="AA49" i="26"/>
  <c r="AB49" i="26"/>
  <c r="AC49" i="26"/>
  <c r="AC49" i="27" s="1"/>
  <c r="AD49" i="26"/>
  <c r="AD49" i="27" s="1"/>
  <c r="AE49" i="26"/>
  <c r="F51" i="26"/>
  <c r="G51" i="26"/>
  <c r="E51" i="26" s="1"/>
  <c r="G51" i="38" s="1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B51" i="27" s="1"/>
  <c r="AC51" i="26"/>
  <c r="AD51" i="26"/>
  <c r="AE51" i="26"/>
  <c r="F54" i="26"/>
  <c r="G54" i="26"/>
  <c r="E54" i="26" s="1"/>
  <c r="E56" i="26" s="1"/>
  <c r="H54" i="26"/>
  <c r="H54" i="27" s="1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X54" i="27" s="1"/>
  <c r="Y54" i="26"/>
  <c r="Y54" i="27" s="1"/>
  <c r="Z54" i="26"/>
  <c r="AA54" i="26"/>
  <c r="AB54" i="26"/>
  <c r="AB54" i="27" s="1"/>
  <c r="AC54" i="26"/>
  <c r="AD54" i="26"/>
  <c r="AE54" i="26"/>
  <c r="F55" i="26"/>
  <c r="G55" i="26"/>
  <c r="E55" i="26" s="1"/>
  <c r="H55" i="26"/>
  <c r="D55" i="26" s="1"/>
  <c r="F55" i="38" s="1"/>
  <c r="H55" i="38" s="1"/>
  <c r="I55" i="26"/>
  <c r="I56" i="26" s="1"/>
  <c r="J55" i="26"/>
  <c r="J56" i="26" s="1"/>
  <c r="K55" i="26"/>
  <c r="L55" i="26"/>
  <c r="M55" i="26"/>
  <c r="N55" i="26"/>
  <c r="O55" i="26"/>
  <c r="P55" i="26"/>
  <c r="Q55" i="26"/>
  <c r="Q56" i="26" s="1"/>
  <c r="R55" i="26"/>
  <c r="R56" i="26" s="1"/>
  <c r="S55" i="26"/>
  <c r="T55" i="26"/>
  <c r="U55" i="26"/>
  <c r="V55" i="26"/>
  <c r="W55" i="26"/>
  <c r="X55" i="26"/>
  <c r="X55" i="27" s="1"/>
  <c r="Y55" i="26"/>
  <c r="Y55" i="27" s="1"/>
  <c r="Z55" i="26"/>
  <c r="AA55" i="26"/>
  <c r="AA55" i="27" s="1"/>
  <c r="AB55" i="26"/>
  <c r="AC55" i="26"/>
  <c r="AD55" i="26"/>
  <c r="AE55" i="26"/>
  <c r="F56" i="26"/>
  <c r="G56" i="26"/>
  <c r="H56" i="26"/>
  <c r="K56" i="26"/>
  <c r="L56" i="26"/>
  <c r="M56" i="26"/>
  <c r="N56" i="26"/>
  <c r="O56" i="26"/>
  <c r="P56" i="26"/>
  <c r="S56" i="26"/>
  <c r="T56" i="26"/>
  <c r="U56" i="26"/>
  <c r="V56" i="26"/>
  <c r="W56" i="26"/>
  <c r="X56" i="26"/>
  <c r="AA56" i="26"/>
  <c r="AB56" i="26"/>
  <c r="AC56" i="26"/>
  <c r="AD56" i="26"/>
  <c r="AE56" i="26"/>
  <c r="F59" i="26"/>
  <c r="G59" i="26"/>
  <c r="E59" i="26" s="1"/>
  <c r="H59" i="26"/>
  <c r="I59" i="26"/>
  <c r="J59" i="26"/>
  <c r="J61" i="26" s="1"/>
  <c r="K59" i="26"/>
  <c r="L59" i="26"/>
  <c r="L59" i="27" s="1"/>
  <c r="M59" i="26"/>
  <c r="N59" i="26"/>
  <c r="O59" i="26"/>
  <c r="P59" i="26"/>
  <c r="Q59" i="26"/>
  <c r="R59" i="26"/>
  <c r="R61" i="26" s="1"/>
  <c r="S59" i="26"/>
  <c r="T59" i="26"/>
  <c r="U59" i="26"/>
  <c r="V59" i="26"/>
  <c r="W59" i="26"/>
  <c r="X59" i="26"/>
  <c r="Y59" i="26"/>
  <c r="Z59" i="26"/>
  <c r="Z61" i="26" s="1"/>
  <c r="AA59" i="26"/>
  <c r="AB59" i="26"/>
  <c r="AC59" i="26"/>
  <c r="AD59" i="26"/>
  <c r="AE59" i="26"/>
  <c r="F60" i="26"/>
  <c r="G60" i="26"/>
  <c r="H60" i="26"/>
  <c r="H60" i="27" s="1"/>
  <c r="I60" i="26"/>
  <c r="J60" i="26"/>
  <c r="K60" i="26"/>
  <c r="L60" i="26"/>
  <c r="M60" i="26"/>
  <c r="M61" i="26" s="1"/>
  <c r="N60" i="26"/>
  <c r="N61" i="26" s="1"/>
  <c r="O60" i="26"/>
  <c r="P60" i="26"/>
  <c r="Q60" i="26"/>
  <c r="R60" i="26"/>
  <c r="S60" i="26"/>
  <c r="T60" i="26"/>
  <c r="U60" i="26"/>
  <c r="U61" i="26" s="1"/>
  <c r="V60" i="26"/>
  <c r="V61" i="26" s="1"/>
  <c r="W60" i="26"/>
  <c r="X60" i="26"/>
  <c r="Y60" i="26"/>
  <c r="Z60" i="26"/>
  <c r="AA60" i="26"/>
  <c r="AB60" i="26"/>
  <c r="AC60" i="26"/>
  <c r="AC61" i="26" s="1"/>
  <c r="AD60" i="26"/>
  <c r="AD61" i="26" s="1"/>
  <c r="AE60" i="26"/>
  <c r="G61" i="26"/>
  <c r="H61" i="26"/>
  <c r="I61" i="26"/>
  <c r="K61" i="26"/>
  <c r="L61" i="26"/>
  <c r="O61" i="26"/>
  <c r="P61" i="26"/>
  <c r="Q61" i="26"/>
  <c r="S61" i="26"/>
  <c r="T61" i="26"/>
  <c r="W61" i="26"/>
  <c r="X61" i="26"/>
  <c r="Y61" i="26"/>
  <c r="AA61" i="26"/>
  <c r="AB61" i="26"/>
  <c r="AE61" i="26"/>
  <c r="F64" i="26"/>
  <c r="G64" i="26"/>
  <c r="H64" i="26"/>
  <c r="I64" i="26"/>
  <c r="J64" i="26"/>
  <c r="K64" i="26"/>
  <c r="L64" i="26"/>
  <c r="M64" i="26"/>
  <c r="E64" i="26" s="1"/>
  <c r="G64" i="38" s="1"/>
  <c r="N64" i="26"/>
  <c r="O64" i="26"/>
  <c r="P64" i="26"/>
  <c r="Q64" i="26"/>
  <c r="R64" i="26"/>
  <c r="S64" i="26"/>
  <c r="T64" i="26"/>
  <c r="U64" i="26"/>
  <c r="V64" i="26"/>
  <c r="W64" i="26"/>
  <c r="X64" i="26"/>
  <c r="Y64" i="26"/>
  <c r="Y64" i="27" s="1"/>
  <c r="Z64" i="26"/>
  <c r="AA64" i="26"/>
  <c r="AB64" i="26"/>
  <c r="AC64" i="26"/>
  <c r="AD64" i="26"/>
  <c r="AE64" i="26"/>
  <c r="F65" i="26"/>
  <c r="G65" i="26"/>
  <c r="E65" i="26" s="1"/>
  <c r="G65" i="38" s="1"/>
  <c r="I65" i="38" s="1"/>
  <c r="H65" i="26"/>
  <c r="I65" i="26"/>
  <c r="I66" i="26" s="1"/>
  <c r="J65" i="26"/>
  <c r="J66" i="26" s="1"/>
  <c r="K65" i="26"/>
  <c r="L65" i="26"/>
  <c r="M65" i="26"/>
  <c r="N65" i="26"/>
  <c r="O65" i="26"/>
  <c r="P65" i="26"/>
  <c r="Q65" i="26"/>
  <c r="Q66" i="26" s="1"/>
  <c r="R65" i="26"/>
  <c r="R66" i="26" s="1"/>
  <c r="S65" i="26"/>
  <c r="T65" i="26"/>
  <c r="U65" i="26"/>
  <c r="V65" i="26"/>
  <c r="W65" i="26"/>
  <c r="X65" i="26"/>
  <c r="Y65" i="26"/>
  <c r="Y66" i="26" s="1"/>
  <c r="Z65" i="26"/>
  <c r="Z66" i="26" s="1"/>
  <c r="AA65" i="26"/>
  <c r="AB65" i="26"/>
  <c r="AC65" i="26"/>
  <c r="AC65" i="27" s="1"/>
  <c r="AD65" i="26"/>
  <c r="AE65" i="26"/>
  <c r="F66" i="26"/>
  <c r="G66" i="26"/>
  <c r="H66" i="26"/>
  <c r="K66" i="26"/>
  <c r="L66" i="26"/>
  <c r="M66" i="26"/>
  <c r="N66" i="26"/>
  <c r="O66" i="26"/>
  <c r="P66" i="26"/>
  <c r="S66" i="26"/>
  <c r="T66" i="26"/>
  <c r="U66" i="26"/>
  <c r="V66" i="26"/>
  <c r="W66" i="26"/>
  <c r="X66" i="26"/>
  <c r="AA66" i="26"/>
  <c r="AB66" i="26"/>
  <c r="AC66" i="26"/>
  <c r="AD66" i="26"/>
  <c r="AE66" i="26"/>
  <c r="F70" i="26"/>
  <c r="G70" i="26"/>
  <c r="E70" i="26" s="1"/>
  <c r="H70" i="26"/>
  <c r="D70" i="26" s="1"/>
  <c r="I70" i="26"/>
  <c r="J70" i="26"/>
  <c r="K70" i="26"/>
  <c r="L70" i="26"/>
  <c r="M70" i="26"/>
  <c r="N70" i="26"/>
  <c r="O70" i="26"/>
  <c r="P70" i="26"/>
  <c r="Q70" i="26"/>
  <c r="R70" i="26"/>
  <c r="R72" i="26" s="1"/>
  <c r="S70" i="26"/>
  <c r="T70" i="26"/>
  <c r="T70" i="27" s="1"/>
  <c r="U70" i="26"/>
  <c r="V70" i="26"/>
  <c r="W70" i="26"/>
  <c r="X70" i="26"/>
  <c r="Y70" i="26"/>
  <c r="Z70" i="26"/>
  <c r="Z72" i="26" s="1"/>
  <c r="AA70" i="26"/>
  <c r="AB70" i="26"/>
  <c r="AC70" i="26"/>
  <c r="AD70" i="26"/>
  <c r="AE70" i="26"/>
  <c r="F71" i="26"/>
  <c r="F72" i="26" s="1"/>
  <c r="G71" i="26"/>
  <c r="H71" i="26"/>
  <c r="I71" i="26"/>
  <c r="J71" i="26"/>
  <c r="K71" i="26"/>
  <c r="L71" i="26"/>
  <c r="L72" i="26" s="1"/>
  <c r="M71" i="26"/>
  <c r="M72" i="26" s="1"/>
  <c r="N71" i="26"/>
  <c r="N72" i="26" s="1"/>
  <c r="O71" i="26"/>
  <c r="P71" i="26"/>
  <c r="P71" i="27" s="1"/>
  <c r="Q71" i="26"/>
  <c r="R71" i="26"/>
  <c r="S71" i="26"/>
  <c r="T71" i="26"/>
  <c r="T72" i="26" s="1"/>
  <c r="U71" i="26"/>
  <c r="U72" i="26" s="1"/>
  <c r="V71" i="26"/>
  <c r="V72" i="26" s="1"/>
  <c r="W71" i="26"/>
  <c r="X71" i="26"/>
  <c r="X71" i="27" s="1"/>
  <c r="Y71" i="26"/>
  <c r="Z71" i="26"/>
  <c r="AA71" i="26"/>
  <c r="AB71" i="26"/>
  <c r="AB72" i="26" s="1"/>
  <c r="AC71" i="26"/>
  <c r="AC72" i="26" s="1"/>
  <c r="AD71" i="26"/>
  <c r="AD72" i="26" s="1"/>
  <c r="AE71" i="26"/>
  <c r="G72" i="26"/>
  <c r="I72" i="26"/>
  <c r="J72" i="26"/>
  <c r="K72" i="26"/>
  <c r="O72" i="26"/>
  <c r="P72" i="26"/>
  <c r="Q72" i="26"/>
  <c r="S72" i="26"/>
  <c r="W72" i="26"/>
  <c r="X72" i="26"/>
  <c r="Y72" i="26"/>
  <c r="AA72" i="26"/>
  <c r="AE72" i="26"/>
  <c r="D73" i="26"/>
  <c r="F73" i="38" s="1"/>
  <c r="H73" i="38" s="1"/>
  <c r="F73" i="26"/>
  <c r="G73" i="26"/>
  <c r="H73" i="26"/>
  <c r="I73" i="26"/>
  <c r="I73" i="27" s="1"/>
  <c r="J73" i="26"/>
  <c r="K73" i="26"/>
  <c r="L73" i="26"/>
  <c r="M73" i="26"/>
  <c r="E73" i="26" s="1"/>
  <c r="G73" i="38" s="1"/>
  <c r="N73" i="26"/>
  <c r="O73" i="26"/>
  <c r="P73" i="26"/>
  <c r="Q73" i="26"/>
  <c r="Q73" i="27" s="1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F74" i="26"/>
  <c r="G74" i="26"/>
  <c r="E74" i="26" s="1"/>
  <c r="H74" i="26"/>
  <c r="I74" i="26"/>
  <c r="J74" i="26"/>
  <c r="D74" i="26" s="1"/>
  <c r="F74" i="38" s="1"/>
  <c r="H74" i="38" s="1"/>
  <c r="K74" i="26"/>
  <c r="K74" i="27" s="1"/>
  <c r="L74" i="26"/>
  <c r="M74" i="26"/>
  <c r="M74" i="27" s="1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F75" i="26"/>
  <c r="D75" i="26" s="1"/>
  <c r="F75" i="38" s="1"/>
  <c r="G75" i="26"/>
  <c r="H75" i="26"/>
  <c r="I75" i="26"/>
  <c r="I75" i="27" s="1"/>
  <c r="J75" i="26"/>
  <c r="K75" i="26"/>
  <c r="L75" i="26"/>
  <c r="M75" i="26"/>
  <c r="E75" i="26" s="1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F76" i="26"/>
  <c r="G76" i="26"/>
  <c r="E76" i="26" s="1"/>
  <c r="G76" i="38" s="1"/>
  <c r="H76" i="26"/>
  <c r="D76" i="26" s="1"/>
  <c r="F76" i="38" s="1"/>
  <c r="H76" i="38" s="1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C76" i="27" s="1"/>
  <c r="AD76" i="26"/>
  <c r="AE76" i="26"/>
  <c r="F77" i="26"/>
  <c r="G77" i="26"/>
  <c r="H77" i="26"/>
  <c r="D77" i="26" s="1"/>
  <c r="F77" i="38" s="1"/>
  <c r="H77" i="38" s="1"/>
  <c r="I77" i="26"/>
  <c r="J77" i="26"/>
  <c r="K77" i="26"/>
  <c r="L77" i="26"/>
  <c r="M77" i="26"/>
  <c r="E77" i="26" s="1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F78" i="38" s="1"/>
  <c r="H78" i="38" s="1"/>
  <c r="F78" i="26"/>
  <c r="G78" i="26"/>
  <c r="E78" i="26" s="1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U78" i="27" s="1"/>
  <c r="V78" i="26"/>
  <c r="W78" i="26"/>
  <c r="X78" i="26"/>
  <c r="Y78" i="26"/>
  <c r="Z78" i="26"/>
  <c r="AA78" i="26"/>
  <c r="AB78" i="26"/>
  <c r="AC78" i="26"/>
  <c r="AC78" i="27" s="1"/>
  <c r="AD78" i="26"/>
  <c r="AE78" i="26"/>
  <c r="D79" i="26"/>
  <c r="F79" i="26"/>
  <c r="G79" i="26"/>
  <c r="H79" i="26"/>
  <c r="I79" i="26"/>
  <c r="J79" i="26"/>
  <c r="K79" i="26"/>
  <c r="L79" i="26"/>
  <c r="M79" i="26"/>
  <c r="E79" i="26" s="1"/>
  <c r="G79" i="38" s="1"/>
  <c r="I79" i="38" s="1"/>
  <c r="N79" i="26"/>
  <c r="O79" i="26"/>
  <c r="P79" i="26"/>
  <c r="Q79" i="26"/>
  <c r="R79" i="26"/>
  <c r="S79" i="26"/>
  <c r="T79" i="26"/>
  <c r="U79" i="26"/>
  <c r="V79" i="26"/>
  <c r="W79" i="26"/>
  <c r="X79" i="26"/>
  <c r="Y79" i="26"/>
  <c r="Y79" i="27" s="1"/>
  <c r="Z79" i="26"/>
  <c r="AA79" i="26"/>
  <c r="AB79" i="26"/>
  <c r="AC79" i="26"/>
  <c r="AD79" i="26"/>
  <c r="AE79" i="26"/>
  <c r="F80" i="26"/>
  <c r="G80" i="26"/>
  <c r="E80" i="26" s="1"/>
  <c r="G80" i="38" s="1"/>
  <c r="H80" i="26"/>
  <c r="D80" i="26" s="1"/>
  <c r="F80" i="38" s="1"/>
  <c r="H80" i="38" s="1"/>
  <c r="I80" i="26"/>
  <c r="J80" i="26"/>
  <c r="K80" i="26"/>
  <c r="L80" i="26"/>
  <c r="M80" i="26"/>
  <c r="M80" i="27" s="1"/>
  <c r="N80" i="26"/>
  <c r="O80" i="26"/>
  <c r="P80" i="26"/>
  <c r="Q80" i="26"/>
  <c r="R80" i="26"/>
  <c r="S80" i="26"/>
  <c r="T80" i="26"/>
  <c r="U80" i="26"/>
  <c r="U80" i="27" s="1"/>
  <c r="V80" i="26"/>
  <c r="W80" i="26"/>
  <c r="X80" i="26"/>
  <c r="Y80" i="26"/>
  <c r="Z80" i="26"/>
  <c r="AA80" i="26"/>
  <c r="AB80" i="26"/>
  <c r="AC80" i="26"/>
  <c r="AD80" i="26"/>
  <c r="AE80" i="26"/>
  <c r="D81" i="26"/>
  <c r="F81" i="38" s="1"/>
  <c r="H81" i="38" s="1"/>
  <c r="F81" i="26"/>
  <c r="G81" i="26"/>
  <c r="H81" i="26"/>
  <c r="I81" i="26"/>
  <c r="J81" i="26"/>
  <c r="K81" i="26"/>
  <c r="L81" i="26"/>
  <c r="M81" i="26"/>
  <c r="E81" i="26" s="1"/>
  <c r="G81" i="38" s="1"/>
  <c r="N81" i="26"/>
  <c r="O81" i="26"/>
  <c r="P81" i="26"/>
  <c r="Q81" i="26"/>
  <c r="Q81" i="27" s="1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K82" i="26"/>
  <c r="I645" i="44" s="1"/>
  <c r="P82" i="26"/>
  <c r="N645" i="44" s="1"/>
  <c r="S82" i="26"/>
  <c r="Q645" i="44" s="1"/>
  <c r="AA82" i="26"/>
  <c r="Y645" i="44" s="1"/>
  <c r="A4" i="38"/>
  <c r="A5" i="38"/>
  <c r="D11" i="38"/>
  <c r="D12" i="38"/>
  <c r="E12" i="38"/>
  <c r="G12" i="38"/>
  <c r="I12" i="38" s="1"/>
  <c r="F13" i="38"/>
  <c r="G13" i="38"/>
  <c r="I13" i="38" s="1"/>
  <c r="D14" i="38"/>
  <c r="E14" i="38"/>
  <c r="I14" i="38"/>
  <c r="D15" i="38"/>
  <c r="D19" i="38"/>
  <c r="D20" i="38"/>
  <c r="E20" i="38"/>
  <c r="E21" i="38"/>
  <c r="D22" i="38"/>
  <c r="E22" i="38"/>
  <c r="G22" i="38"/>
  <c r="D23" i="38"/>
  <c r="G23" i="38"/>
  <c r="D27" i="38"/>
  <c r="E27" i="38"/>
  <c r="E28" i="38"/>
  <c r="G28" i="38"/>
  <c r="D32" i="38"/>
  <c r="E32" i="38"/>
  <c r="D33" i="38"/>
  <c r="E34" i="38"/>
  <c r="F34" i="38"/>
  <c r="H34" i="38" s="1"/>
  <c r="G34" i="38"/>
  <c r="F35" i="38"/>
  <c r="G35" i="38"/>
  <c r="I35" i="38" s="1"/>
  <c r="D39" i="38"/>
  <c r="E39" i="38"/>
  <c r="G40" i="38"/>
  <c r="E41" i="38"/>
  <c r="F41" i="38"/>
  <c r="H41" i="38" s="1"/>
  <c r="G41" i="38"/>
  <c r="I41" i="38" s="1"/>
  <c r="D45" i="38"/>
  <c r="E47" i="38"/>
  <c r="F47" i="38"/>
  <c r="H47" i="38" s="1"/>
  <c r="G47" i="38"/>
  <c r="I47" i="38"/>
  <c r="G49" i="38"/>
  <c r="I49" i="38"/>
  <c r="D51" i="38"/>
  <c r="E51" i="38"/>
  <c r="I51" i="38"/>
  <c r="D54" i="38"/>
  <c r="D56" i="38" s="1"/>
  <c r="E55" i="38"/>
  <c r="G55" i="38"/>
  <c r="I55" i="38" s="1"/>
  <c r="E59" i="38"/>
  <c r="D60" i="38"/>
  <c r="E60" i="38"/>
  <c r="E61" i="38"/>
  <c r="D64" i="38"/>
  <c r="D65" i="38"/>
  <c r="D66" i="38" s="1"/>
  <c r="E65" i="38"/>
  <c r="E70" i="38"/>
  <c r="D71" i="38"/>
  <c r="E71" i="38"/>
  <c r="E72" i="38"/>
  <c r="D73" i="38"/>
  <c r="D74" i="38"/>
  <c r="E74" i="38"/>
  <c r="G74" i="38"/>
  <c r="I74" i="38" s="1"/>
  <c r="G75" i="38"/>
  <c r="I75" i="38" s="1"/>
  <c r="D76" i="38"/>
  <c r="E76" i="38"/>
  <c r="I76" i="38" s="1"/>
  <c r="D77" i="38"/>
  <c r="G77" i="38"/>
  <c r="D78" i="38"/>
  <c r="E78" i="38"/>
  <c r="G78" i="38"/>
  <c r="I78" i="38" s="1"/>
  <c r="F79" i="38"/>
  <c r="D80" i="38"/>
  <c r="E80" i="38"/>
  <c r="I80" i="38"/>
  <c r="D81" i="38"/>
  <c r="A4" i="16"/>
  <c r="A5" i="16"/>
  <c r="G11" i="16"/>
  <c r="H11" i="16"/>
  <c r="L11" i="16" s="1"/>
  <c r="I11" i="16"/>
  <c r="M11" i="16"/>
  <c r="F12" i="16"/>
  <c r="H12" i="16"/>
  <c r="I12" i="16"/>
  <c r="G12" i="16" s="1"/>
  <c r="L12" i="16"/>
  <c r="M12" i="16"/>
  <c r="G13" i="16"/>
  <c r="H13" i="16"/>
  <c r="F13" i="16" s="1"/>
  <c r="I13" i="16"/>
  <c r="M13" i="16"/>
  <c r="F14" i="16"/>
  <c r="G14" i="16"/>
  <c r="H14" i="16"/>
  <c r="I14" i="16"/>
  <c r="M14" i="16" s="1"/>
  <c r="L14" i="16"/>
  <c r="F15" i="16"/>
  <c r="H15" i="16"/>
  <c r="I15" i="16"/>
  <c r="M15" i="16" s="1"/>
  <c r="L15" i="16"/>
  <c r="D15" i="40" s="1"/>
  <c r="J16" i="16"/>
  <c r="K16" i="16"/>
  <c r="H18" i="16"/>
  <c r="I18" i="16"/>
  <c r="F19" i="16"/>
  <c r="G19" i="16"/>
  <c r="H19" i="16"/>
  <c r="I19" i="16"/>
  <c r="L19" i="16"/>
  <c r="M19" i="16"/>
  <c r="H20" i="16"/>
  <c r="F20" i="16" s="1"/>
  <c r="I20" i="16"/>
  <c r="G20" i="16" s="1"/>
  <c r="G21" i="16"/>
  <c r="H21" i="16"/>
  <c r="L21" i="16" s="1"/>
  <c r="D21" i="40" s="1"/>
  <c r="I21" i="16"/>
  <c r="M21" i="16"/>
  <c r="F22" i="16"/>
  <c r="H22" i="16"/>
  <c r="I22" i="16"/>
  <c r="M22" i="16" s="1"/>
  <c r="L22" i="16"/>
  <c r="D22" i="40" s="1"/>
  <c r="G23" i="16"/>
  <c r="H23" i="16"/>
  <c r="F23" i="16" s="1"/>
  <c r="I23" i="16"/>
  <c r="M23" i="16" s="1"/>
  <c r="E23" i="40" s="1"/>
  <c r="H24" i="16"/>
  <c r="J24" i="16"/>
  <c r="K24" i="16"/>
  <c r="H27" i="16"/>
  <c r="L27" i="16" s="1"/>
  <c r="I27" i="16"/>
  <c r="G27" i="16" s="1"/>
  <c r="G29" i="16" s="1"/>
  <c r="F28" i="16"/>
  <c r="G28" i="16"/>
  <c r="H28" i="16"/>
  <c r="I28" i="16"/>
  <c r="L28" i="16"/>
  <c r="M28" i="16"/>
  <c r="J29" i="16"/>
  <c r="K29" i="16"/>
  <c r="G32" i="16"/>
  <c r="H32" i="16"/>
  <c r="F32" i="16" s="1"/>
  <c r="I32" i="16"/>
  <c r="M32" i="16" s="1"/>
  <c r="M36" i="16" s="1"/>
  <c r="G33" i="16"/>
  <c r="H33" i="16"/>
  <c r="L33" i="16" s="1"/>
  <c r="D33" i="40" s="1"/>
  <c r="I33" i="16"/>
  <c r="M33" i="16"/>
  <c r="F34" i="16"/>
  <c r="H34" i="16"/>
  <c r="I34" i="16"/>
  <c r="G34" i="16" s="1"/>
  <c r="L34" i="16"/>
  <c r="M34" i="16"/>
  <c r="G35" i="16"/>
  <c r="H35" i="16"/>
  <c r="F35" i="16" s="1"/>
  <c r="I35" i="16"/>
  <c r="M35" i="16"/>
  <c r="G36" i="16"/>
  <c r="I36" i="16"/>
  <c r="J36" i="16"/>
  <c r="K36" i="16"/>
  <c r="L37" i="16"/>
  <c r="M37" i="16"/>
  <c r="H38" i="16"/>
  <c r="I38" i="16"/>
  <c r="F39" i="16"/>
  <c r="H39" i="16"/>
  <c r="L39" i="16" s="1"/>
  <c r="D39" i="40" s="1"/>
  <c r="I39" i="16"/>
  <c r="G39" i="16" s="1"/>
  <c r="M39" i="16"/>
  <c r="E39" i="40" s="1"/>
  <c r="F40" i="16"/>
  <c r="G40" i="16"/>
  <c r="H40" i="16"/>
  <c r="L40" i="16" s="1"/>
  <c r="I40" i="16"/>
  <c r="M40" i="16"/>
  <c r="G41" i="16"/>
  <c r="G42" i="16" s="1"/>
  <c r="G43" i="16" s="1"/>
  <c r="H41" i="16"/>
  <c r="L41" i="16" s="1"/>
  <c r="D41" i="40" s="1"/>
  <c r="I41" i="16"/>
  <c r="M41" i="16" s="1"/>
  <c r="J42" i="16"/>
  <c r="J43" i="16" s="1"/>
  <c r="J82" i="16" s="1"/>
  <c r="J91" i="16" s="1"/>
  <c r="K42" i="16"/>
  <c r="K43" i="16" s="1"/>
  <c r="K82" i="16" s="1"/>
  <c r="K91" i="16" s="1"/>
  <c r="G45" i="16"/>
  <c r="H45" i="16"/>
  <c r="F45" i="16" s="1"/>
  <c r="I45" i="16"/>
  <c r="M45" i="16" s="1"/>
  <c r="E45" i="40" s="1"/>
  <c r="H47" i="16"/>
  <c r="L47" i="16" s="1"/>
  <c r="D47" i="40" s="1"/>
  <c r="I47" i="16"/>
  <c r="G47" i="16" s="1"/>
  <c r="M47" i="16"/>
  <c r="F49" i="16"/>
  <c r="G49" i="16"/>
  <c r="H49" i="16"/>
  <c r="I49" i="16"/>
  <c r="L49" i="16"/>
  <c r="D49" i="40" s="1"/>
  <c r="M49" i="16"/>
  <c r="F51" i="16"/>
  <c r="G51" i="16"/>
  <c r="H51" i="16"/>
  <c r="L51" i="16" s="1"/>
  <c r="D51" i="40" s="1"/>
  <c r="I51" i="16"/>
  <c r="M51" i="16" s="1"/>
  <c r="F54" i="16"/>
  <c r="F56" i="16" s="1"/>
  <c r="G54" i="16"/>
  <c r="G56" i="16" s="1"/>
  <c r="H54" i="16"/>
  <c r="I54" i="16"/>
  <c r="M54" i="16" s="1"/>
  <c r="L54" i="16"/>
  <c r="F55" i="16"/>
  <c r="H55" i="16"/>
  <c r="I55" i="16"/>
  <c r="G55" i="16" s="1"/>
  <c r="L55" i="16"/>
  <c r="D55" i="40" s="1"/>
  <c r="H56" i="16"/>
  <c r="J56" i="16"/>
  <c r="K56" i="16"/>
  <c r="G59" i="16"/>
  <c r="G61" i="16" s="1"/>
  <c r="H59" i="16"/>
  <c r="F59" i="16" s="1"/>
  <c r="F61" i="16" s="1"/>
  <c r="I59" i="16"/>
  <c r="M59" i="16"/>
  <c r="F60" i="16"/>
  <c r="G60" i="16"/>
  <c r="H60" i="16"/>
  <c r="I60" i="16"/>
  <c r="M60" i="16" s="1"/>
  <c r="L60" i="16"/>
  <c r="I61" i="16"/>
  <c r="J61" i="16"/>
  <c r="K61" i="16"/>
  <c r="F64" i="16"/>
  <c r="G64" i="16"/>
  <c r="H64" i="16"/>
  <c r="I64" i="16"/>
  <c r="L64" i="16"/>
  <c r="D64" i="40" s="1"/>
  <c r="M64" i="16"/>
  <c r="H65" i="16"/>
  <c r="F65" i="16" s="1"/>
  <c r="I65" i="16"/>
  <c r="G65" i="16" s="1"/>
  <c r="G66" i="16"/>
  <c r="H66" i="16"/>
  <c r="J66" i="16"/>
  <c r="K66" i="16"/>
  <c r="G70" i="16"/>
  <c r="H70" i="16"/>
  <c r="L70" i="16" s="1"/>
  <c r="I70" i="16"/>
  <c r="M70" i="16"/>
  <c r="M72" i="16" s="1"/>
  <c r="F71" i="16"/>
  <c r="G71" i="16"/>
  <c r="G72" i="16" s="1"/>
  <c r="H71" i="16"/>
  <c r="I71" i="16"/>
  <c r="M71" i="16" s="1"/>
  <c r="L71" i="16"/>
  <c r="D71" i="40" s="1"/>
  <c r="I72" i="16"/>
  <c r="J72" i="16"/>
  <c r="K72" i="16"/>
  <c r="F73" i="16"/>
  <c r="G73" i="16"/>
  <c r="H73" i="16"/>
  <c r="I73" i="16"/>
  <c r="M73" i="16" s="1"/>
  <c r="E73" i="40" s="1"/>
  <c r="L73" i="16"/>
  <c r="H74" i="16"/>
  <c r="F74" i="16" s="1"/>
  <c r="I74" i="16"/>
  <c r="G74" i="16" s="1"/>
  <c r="L74" i="16"/>
  <c r="D74" i="40" s="1"/>
  <c r="F75" i="16"/>
  <c r="G75" i="16"/>
  <c r="H75" i="16"/>
  <c r="L75" i="16" s="1"/>
  <c r="D75" i="40" s="1"/>
  <c r="I75" i="16"/>
  <c r="M75" i="16"/>
  <c r="E75" i="40" s="1"/>
  <c r="F76" i="16"/>
  <c r="H76" i="16"/>
  <c r="L76" i="16" s="1"/>
  <c r="D76" i="40" s="1"/>
  <c r="I76" i="16"/>
  <c r="M76" i="16" s="1"/>
  <c r="H77" i="16"/>
  <c r="L77" i="16" s="1"/>
  <c r="D77" i="40" s="1"/>
  <c r="I77" i="16"/>
  <c r="M77" i="16" s="1"/>
  <c r="E77" i="40" s="1"/>
  <c r="F78" i="16"/>
  <c r="H78" i="16"/>
  <c r="L78" i="16" s="1"/>
  <c r="D78" i="40" s="1"/>
  <c r="I78" i="16"/>
  <c r="G78" i="16" s="1"/>
  <c r="M78" i="16"/>
  <c r="E78" i="40" s="1"/>
  <c r="F79" i="16"/>
  <c r="G79" i="16"/>
  <c r="H79" i="16"/>
  <c r="L79" i="16" s="1"/>
  <c r="D79" i="40" s="1"/>
  <c r="I79" i="16"/>
  <c r="M79" i="16"/>
  <c r="G80" i="16"/>
  <c r="H80" i="16"/>
  <c r="L80" i="16" s="1"/>
  <c r="D80" i="40" s="1"/>
  <c r="I80" i="16"/>
  <c r="M80" i="16" s="1"/>
  <c r="F81" i="16"/>
  <c r="G81" i="16"/>
  <c r="H81" i="16"/>
  <c r="I81" i="16"/>
  <c r="L81" i="16"/>
  <c r="M81" i="16"/>
  <c r="D82" i="16"/>
  <c r="D91" i="16" s="1"/>
  <c r="E82" i="16"/>
  <c r="D89" i="16"/>
  <c r="E89" i="16"/>
  <c r="E91" i="16" s="1"/>
  <c r="F89" i="16"/>
  <c r="G89" i="16"/>
  <c r="H89" i="16"/>
  <c r="I89" i="16"/>
  <c r="J89" i="16"/>
  <c r="K89" i="16"/>
  <c r="L89" i="16"/>
  <c r="M89" i="16"/>
  <c r="A5" i="28"/>
  <c r="AD8" i="28"/>
  <c r="F11" i="28"/>
  <c r="F16" i="28" s="1"/>
  <c r="G11" i="28"/>
  <c r="H11" i="28"/>
  <c r="H16" i="28" s="1"/>
  <c r="I11" i="28"/>
  <c r="J11" i="28"/>
  <c r="J16" i="28" s="1"/>
  <c r="K11" i="28"/>
  <c r="L11" i="28"/>
  <c r="M11" i="28"/>
  <c r="N11" i="28"/>
  <c r="N16" i="28" s="1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D16" i="28" s="1"/>
  <c r="AE11" i="28"/>
  <c r="F12" i="28"/>
  <c r="G12" i="28"/>
  <c r="H12" i="28"/>
  <c r="I12" i="28"/>
  <c r="J12" i="28"/>
  <c r="D12" i="28" s="1"/>
  <c r="F12" i="40" s="1"/>
  <c r="H12" i="40" s="1"/>
  <c r="K12" i="28"/>
  <c r="K16" i="28" s="1"/>
  <c r="L12" i="28"/>
  <c r="M12" i="28"/>
  <c r="E12" i="28" s="1"/>
  <c r="G12" i="40" s="1"/>
  <c r="I12" i="40" s="1"/>
  <c r="N12" i="28"/>
  <c r="O12" i="28"/>
  <c r="P12" i="28"/>
  <c r="Q12" i="28"/>
  <c r="R12" i="28"/>
  <c r="R16" i="28" s="1"/>
  <c r="S12" i="28"/>
  <c r="S16" i="28" s="1"/>
  <c r="T12" i="28"/>
  <c r="T16" i="28" s="1"/>
  <c r="U12" i="28"/>
  <c r="V12" i="28"/>
  <c r="W12" i="28"/>
  <c r="X12" i="28"/>
  <c r="Y12" i="28"/>
  <c r="Z12" i="28"/>
  <c r="Z16" i="28" s="1"/>
  <c r="AA12" i="28"/>
  <c r="AB12" i="28"/>
  <c r="AB16" i="28" s="1"/>
  <c r="AC12" i="28"/>
  <c r="AC16" i="28" s="1"/>
  <c r="AC82" i="28" s="1"/>
  <c r="AA648" i="44" s="1"/>
  <c r="AD12" i="28"/>
  <c r="AE12" i="28"/>
  <c r="F13" i="28"/>
  <c r="D13" i="28" s="1"/>
  <c r="F13" i="40" s="1"/>
  <c r="G13" i="28"/>
  <c r="E13" i="28" s="1"/>
  <c r="H13" i="28"/>
  <c r="I13" i="28"/>
  <c r="J13" i="28"/>
  <c r="K13" i="28"/>
  <c r="L13" i="28"/>
  <c r="M13" i="28"/>
  <c r="N13" i="28"/>
  <c r="O13" i="28"/>
  <c r="O16" i="28" s="1"/>
  <c r="O82" i="28" s="1"/>
  <c r="M648" i="44" s="1"/>
  <c r="P13" i="28"/>
  <c r="Q13" i="28"/>
  <c r="R13" i="28"/>
  <c r="S13" i="28"/>
  <c r="T13" i="28"/>
  <c r="U13" i="28"/>
  <c r="V13" i="28"/>
  <c r="W13" i="28"/>
  <c r="W16" i="28" s="1"/>
  <c r="W82" i="28" s="1"/>
  <c r="U648" i="44" s="1"/>
  <c r="X13" i="28"/>
  <c r="Y13" i="28"/>
  <c r="Z13" i="28"/>
  <c r="AA13" i="28"/>
  <c r="AB13" i="28"/>
  <c r="AC13" i="28"/>
  <c r="AD13" i="28"/>
  <c r="AE13" i="28"/>
  <c r="F14" i="28"/>
  <c r="D14" i="28" s="1"/>
  <c r="F14" i="40" s="1"/>
  <c r="H14" i="40" s="1"/>
  <c r="G14" i="28"/>
  <c r="H14" i="28"/>
  <c r="I14" i="28"/>
  <c r="J14" i="28"/>
  <c r="K14" i="28"/>
  <c r="E14" i="28" s="1"/>
  <c r="G14" i="40" s="1"/>
  <c r="I14" i="40" s="1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A16" i="28" s="1"/>
  <c r="AB14" i="28"/>
  <c r="AC14" i="28"/>
  <c r="AD14" i="28"/>
  <c r="AE14" i="28"/>
  <c r="F15" i="28"/>
  <c r="G15" i="28"/>
  <c r="E15" i="28" s="1"/>
  <c r="G15" i="40" s="1"/>
  <c r="H15" i="28"/>
  <c r="D15" i="28" s="1"/>
  <c r="F15" i="40" s="1"/>
  <c r="H15" i="40" s="1"/>
  <c r="I15" i="28"/>
  <c r="J15" i="28"/>
  <c r="K15" i="28"/>
  <c r="L15" i="28"/>
  <c r="M15" i="28"/>
  <c r="N15" i="28"/>
  <c r="O15" i="28"/>
  <c r="P15" i="28"/>
  <c r="P16" i="28" s="1"/>
  <c r="P82" i="28" s="1"/>
  <c r="N648" i="44" s="1"/>
  <c r="Q15" i="28"/>
  <c r="R15" i="28"/>
  <c r="S15" i="28"/>
  <c r="T15" i="28"/>
  <c r="U15" i="28"/>
  <c r="V15" i="28"/>
  <c r="W15" i="28"/>
  <c r="X15" i="28"/>
  <c r="X16" i="28" s="1"/>
  <c r="Y15" i="28"/>
  <c r="Z15" i="28"/>
  <c r="AA15" i="28"/>
  <c r="AB15" i="28"/>
  <c r="AC15" i="28"/>
  <c r="AD15" i="28"/>
  <c r="AE15" i="28"/>
  <c r="L16" i="28"/>
  <c r="M16" i="28"/>
  <c r="U16" i="28"/>
  <c r="U82" i="28" s="1"/>
  <c r="S648" i="44" s="1"/>
  <c r="V16" i="28"/>
  <c r="AE16" i="28"/>
  <c r="F19" i="28"/>
  <c r="D19" i="28" s="1"/>
  <c r="G19" i="28"/>
  <c r="H19" i="28"/>
  <c r="I19" i="28"/>
  <c r="J19" i="28"/>
  <c r="K19" i="28"/>
  <c r="K24" i="28" s="1"/>
  <c r="L19" i="28"/>
  <c r="L24" i="28" s="1"/>
  <c r="M19" i="28"/>
  <c r="N19" i="28"/>
  <c r="N24" i="28" s="1"/>
  <c r="O19" i="28"/>
  <c r="O24" i="28" s="1"/>
  <c r="P19" i="28"/>
  <c r="Q19" i="28"/>
  <c r="R19" i="28"/>
  <c r="S19" i="28"/>
  <c r="S24" i="28" s="1"/>
  <c r="T19" i="28"/>
  <c r="T24" i="28" s="1"/>
  <c r="U19" i="28"/>
  <c r="V19" i="28"/>
  <c r="V24" i="28" s="1"/>
  <c r="W19" i="28"/>
  <c r="W24" i="28" s="1"/>
  <c r="X19" i="28"/>
  <c r="X24" i="28" s="1"/>
  <c r="Y19" i="28"/>
  <c r="Z19" i="28"/>
  <c r="AA19" i="28"/>
  <c r="AB19" i="28"/>
  <c r="AB24" i="28" s="1"/>
  <c r="AC19" i="28"/>
  <c r="AD19" i="28"/>
  <c r="AE19" i="28"/>
  <c r="AE24" i="28" s="1"/>
  <c r="F20" i="28"/>
  <c r="G20" i="28"/>
  <c r="E20" i="28" s="1"/>
  <c r="G20" i="40" s="1"/>
  <c r="H20" i="28"/>
  <c r="D20" i="28" s="1"/>
  <c r="F20" i="40" s="1"/>
  <c r="I20" i="28"/>
  <c r="J20" i="28"/>
  <c r="J24" i="28" s="1"/>
  <c r="K20" i="28"/>
  <c r="L20" i="28"/>
  <c r="N20" i="28"/>
  <c r="P20" i="28"/>
  <c r="R20" i="28"/>
  <c r="T20" i="28"/>
  <c r="V20" i="28"/>
  <c r="X20" i="28"/>
  <c r="Y20" i="28"/>
  <c r="Z20" i="28"/>
  <c r="AA20" i="28"/>
  <c r="AB20" i="28"/>
  <c r="AC20" i="28"/>
  <c r="AC24" i="28" s="1"/>
  <c r="AD20" i="28"/>
  <c r="AD24" i="28" s="1"/>
  <c r="AE20" i="28"/>
  <c r="F21" i="28"/>
  <c r="G21" i="28"/>
  <c r="H21" i="28"/>
  <c r="I21" i="28"/>
  <c r="E21" i="28" s="1"/>
  <c r="G21" i="40" s="1"/>
  <c r="I21" i="40" s="1"/>
  <c r="J21" i="28"/>
  <c r="D21" i="28" s="1"/>
  <c r="F21" i="40" s="1"/>
  <c r="H21" i="40" s="1"/>
  <c r="K21" i="28"/>
  <c r="L21" i="28"/>
  <c r="M21" i="28"/>
  <c r="M24" i="28" s="1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Z24" i="28" s="1"/>
  <c r="AA21" i="28"/>
  <c r="AB21" i="28"/>
  <c r="AC21" i="28"/>
  <c r="AD21" i="28"/>
  <c r="AE21" i="28"/>
  <c r="E22" i="28"/>
  <c r="G22" i="40" s="1"/>
  <c r="I22" i="40" s="1"/>
  <c r="F22" i="28"/>
  <c r="D22" i="28" s="1"/>
  <c r="F22" i="40" s="1"/>
  <c r="H22" i="40" s="1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U24" i="28" s="1"/>
  <c r="V22" i="28"/>
  <c r="W22" i="28"/>
  <c r="X22" i="28"/>
  <c r="Y22" i="28"/>
  <c r="Z22" i="28"/>
  <c r="AA22" i="28"/>
  <c r="AB22" i="28"/>
  <c r="AC22" i="28"/>
  <c r="AD22" i="28"/>
  <c r="AE22" i="28"/>
  <c r="F23" i="28"/>
  <c r="G23" i="28"/>
  <c r="H23" i="28"/>
  <c r="I23" i="28"/>
  <c r="E23" i="28" s="1"/>
  <c r="G23" i="40" s="1"/>
  <c r="I23" i="40" s="1"/>
  <c r="J23" i="28"/>
  <c r="D23" i="28" s="1"/>
  <c r="F23" i="40" s="1"/>
  <c r="K23" i="28"/>
  <c r="L23" i="28"/>
  <c r="M23" i="28"/>
  <c r="N23" i="28"/>
  <c r="O23" i="28"/>
  <c r="P23" i="28"/>
  <c r="Q23" i="28"/>
  <c r="R23" i="28"/>
  <c r="R24" i="28" s="1"/>
  <c r="S23" i="28"/>
  <c r="T23" i="28"/>
  <c r="U23" i="28"/>
  <c r="V23" i="28"/>
  <c r="W23" i="28"/>
  <c r="X23" i="28"/>
  <c r="Y23" i="28"/>
  <c r="AB23" i="28"/>
  <c r="AC23" i="28"/>
  <c r="AD23" i="28"/>
  <c r="AE23" i="28"/>
  <c r="G24" i="28"/>
  <c r="H24" i="28"/>
  <c r="P24" i="28"/>
  <c r="AA24" i="28"/>
  <c r="F27" i="28"/>
  <c r="G27" i="28"/>
  <c r="E27" i="28" s="1"/>
  <c r="G27" i="40" s="1"/>
  <c r="H27" i="28"/>
  <c r="H29" i="28" s="1"/>
  <c r="I27" i="28"/>
  <c r="J27" i="28"/>
  <c r="J29" i="28" s="1"/>
  <c r="K27" i="28"/>
  <c r="L27" i="28"/>
  <c r="M27" i="28"/>
  <c r="N27" i="28"/>
  <c r="O27" i="28"/>
  <c r="O29" i="28" s="1"/>
  <c r="P27" i="28"/>
  <c r="P29" i="28" s="1"/>
  <c r="Q27" i="28"/>
  <c r="R27" i="28"/>
  <c r="S27" i="28"/>
  <c r="S29" i="28" s="1"/>
  <c r="T27" i="28"/>
  <c r="U27" i="28"/>
  <c r="V27" i="28"/>
  <c r="W27" i="28"/>
  <c r="W29" i="28" s="1"/>
  <c r="X27" i="28"/>
  <c r="X29" i="28" s="1"/>
  <c r="Y27" i="28"/>
  <c r="Y29" i="28" s="1"/>
  <c r="Z27" i="28"/>
  <c r="AA27" i="28"/>
  <c r="AB27" i="28"/>
  <c r="AC27" i="28"/>
  <c r="AD27" i="28"/>
  <c r="AE27" i="28"/>
  <c r="AE29" i="28" s="1"/>
  <c r="D28" i="28"/>
  <c r="F28" i="40" s="1"/>
  <c r="H28" i="40" s="1"/>
  <c r="F28" i="28"/>
  <c r="F29" i="28" s="1"/>
  <c r="G28" i="28"/>
  <c r="E28" i="28" s="1"/>
  <c r="G28" i="40" s="1"/>
  <c r="I28" i="40" s="1"/>
  <c r="H28" i="28"/>
  <c r="I28" i="28"/>
  <c r="J28" i="28"/>
  <c r="K28" i="28"/>
  <c r="K29" i="28" s="1"/>
  <c r="L28" i="28"/>
  <c r="L29" i="28" s="1"/>
  <c r="M28" i="28"/>
  <c r="M29" i="28" s="1"/>
  <c r="N28" i="28"/>
  <c r="N29" i="28" s="1"/>
  <c r="O28" i="28"/>
  <c r="P28" i="28"/>
  <c r="Q28" i="28"/>
  <c r="R28" i="28"/>
  <c r="S28" i="28"/>
  <c r="T28" i="28"/>
  <c r="T29" i="28" s="1"/>
  <c r="U28" i="28"/>
  <c r="U29" i="28" s="1"/>
  <c r="V28" i="28"/>
  <c r="W28" i="28"/>
  <c r="X28" i="28"/>
  <c r="Y28" i="28"/>
  <c r="Z28" i="28"/>
  <c r="AA28" i="28"/>
  <c r="AB28" i="28"/>
  <c r="AB29" i="28" s="1"/>
  <c r="AC28" i="28"/>
  <c r="AC29" i="28" s="1"/>
  <c r="AD28" i="28"/>
  <c r="AE28" i="28"/>
  <c r="I29" i="28"/>
  <c r="Q29" i="28"/>
  <c r="R29" i="28"/>
  <c r="V29" i="28"/>
  <c r="Z29" i="28"/>
  <c r="AA29" i="28"/>
  <c r="AD29" i="28"/>
  <c r="F32" i="28"/>
  <c r="G32" i="28"/>
  <c r="E32" i="28" s="1"/>
  <c r="H32" i="28"/>
  <c r="H36" i="28" s="1"/>
  <c r="I32" i="28"/>
  <c r="J32" i="28"/>
  <c r="K32" i="28"/>
  <c r="K36" i="28" s="1"/>
  <c r="L32" i="28"/>
  <c r="L36" i="28" s="1"/>
  <c r="M32" i="28"/>
  <c r="N32" i="28"/>
  <c r="O32" i="28"/>
  <c r="P32" i="28"/>
  <c r="Q32" i="28"/>
  <c r="R32" i="28"/>
  <c r="S32" i="28"/>
  <c r="T32" i="28"/>
  <c r="U32" i="28"/>
  <c r="V32" i="28"/>
  <c r="W32" i="28"/>
  <c r="W36" i="28" s="1"/>
  <c r="X32" i="28"/>
  <c r="X36" i="28" s="1"/>
  <c r="Y32" i="28"/>
  <c r="AB32" i="28"/>
  <c r="AC32" i="28"/>
  <c r="AC36" i="28" s="1"/>
  <c r="AD32" i="28"/>
  <c r="AE32" i="28"/>
  <c r="F33" i="28"/>
  <c r="D33" i="28" s="1"/>
  <c r="F33" i="40" s="1"/>
  <c r="G33" i="28"/>
  <c r="H33" i="28"/>
  <c r="I33" i="28"/>
  <c r="J33" i="28"/>
  <c r="K33" i="28"/>
  <c r="L33" i="28"/>
  <c r="M33" i="28"/>
  <c r="M36" i="28" s="1"/>
  <c r="N33" i="28"/>
  <c r="O33" i="28"/>
  <c r="P33" i="28"/>
  <c r="Q33" i="28"/>
  <c r="Q36" i="28" s="1"/>
  <c r="R33" i="28"/>
  <c r="S33" i="28"/>
  <c r="T33" i="28"/>
  <c r="U33" i="28"/>
  <c r="U36" i="28" s="1"/>
  <c r="V33" i="28"/>
  <c r="W33" i="28"/>
  <c r="X33" i="28"/>
  <c r="Y33" i="28"/>
  <c r="AA33" i="28"/>
  <c r="AB33" i="28"/>
  <c r="AC33" i="28"/>
  <c r="AD33" i="28"/>
  <c r="AE33" i="28"/>
  <c r="AE36" i="28" s="1"/>
  <c r="F34" i="28"/>
  <c r="G34" i="28"/>
  <c r="E34" i="28" s="1"/>
  <c r="G34" i="40" s="1"/>
  <c r="I34" i="40" s="1"/>
  <c r="H34" i="28"/>
  <c r="I34" i="28"/>
  <c r="J34" i="28"/>
  <c r="K34" i="28"/>
  <c r="L34" i="28"/>
  <c r="M34" i="28"/>
  <c r="N34" i="28"/>
  <c r="O34" i="28"/>
  <c r="P34" i="28"/>
  <c r="Q34" i="28"/>
  <c r="R34" i="28"/>
  <c r="S34" i="28"/>
  <c r="S36" i="28" s="1"/>
  <c r="T34" i="28"/>
  <c r="U34" i="28"/>
  <c r="V34" i="28"/>
  <c r="W34" i="28"/>
  <c r="X34" i="28"/>
  <c r="Y34" i="28"/>
  <c r="AA34" i="28"/>
  <c r="AB34" i="28"/>
  <c r="AB36" i="28" s="1"/>
  <c r="AC34" i="28"/>
  <c r="AD34" i="28"/>
  <c r="AE34" i="28"/>
  <c r="F35" i="28"/>
  <c r="G35" i="28"/>
  <c r="H35" i="28"/>
  <c r="D35" i="28" s="1"/>
  <c r="F35" i="40" s="1"/>
  <c r="I35" i="28"/>
  <c r="J35" i="28"/>
  <c r="K35" i="28"/>
  <c r="E35" i="28" s="1"/>
  <c r="G35" i="40" s="1"/>
  <c r="I35" i="40" s="1"/>
  <c r="L35" i="28"/>
  <c r="M35" i="28"/>
  <c r="N35" i="28"/>
  <c r="O35" i="28"/>
  <c r="P35" i="28"/>
  <c r="Q35" i="28"/>
  <c r="R35" i="28"/>
  <c r="S35" i="28"/>
  <c r="T35" i="28"/>
  <c r="T36" i="28" s="1"/>
  <c r="U35" i="28"/>
  <c r="V35" i="28"/>
  <c r="W35" i="28"/>
  <c r="X35" i="28"/>
  <c r="Z35" i="28"/>
  <c r="AA35" i="28"/>
  <c r="AB35" i="28"/>
  <c r="AC35" i="28"/>
  <c r="AD35" i="28"/>
  <c r="AE35" i="28"/>
  <c r="G36" i="28"/>
  <c r="I36" i="28"/>
  <c r="J36" i="28"/>
  <c r="O36" i="28"/>
  <c r="P36" i="28"/>
  <c r="R36" i="28"/>
  <c r="Y36" i="28"/>
  <c r="Z36" i="28"/>
  <c r="AA36" i="28"/>
  <c r="E39" i="28"/>
  <c r="G39" i="40" s="1"/>
  <c r="I39" i="40" s="1"/>
  <c r="F39" i="28"/>
  <c r="D39" i="28" s="1"/>
  <c r="F39" i="40" s="1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F40" i="28"/>
  <c r="G40" i="28"/>
  <c r="H40" i="28"/>
  <c r="I40" i="28"/>
  <c r="E40" i="28" s="1"/>
  <c r="J40" i="28"/>
  <c r="D40" i="28" s="1"/>
  <c r="K40" i="28"/>
  <c r="L40" i="28"/>
  <c r="L42" i="28" s="1"/>
  <c r="L43" i="28" s="1"/>
  <c r="M40" i="28"/>
  <c r="N40" i="28"/>
  <c r="O40" i="28"/>
  <c r="P40" i="28"/>
  <c r="Q40" i="28"/>
  <c r="Q42" i="28" s="1"/>
  <c r="Q43" i="28" s="1"/>
  <c r="R40" i="28"/>
  <c r="R42" i="28" s="1"/>
  <c r="R43" i="28" s="1"/>
  <c r="S40" i="28"/>
  <c r="T40" i="28"/>
  <c r="U40" i="28"/>
  <c r="U42" i="28" s="1"/>
  <c r="U43" i="28" s="1"/>
  <c r="V40" i="28"/>
  <c r="W40" i="28"/>
  <c r="X40" i="28"/>
  <c r="Y40" i="28"/>
  <c r="Y42" i="28" s="1"/>
  <c r="Y43" i="28" s="1"/>
  <c r="Z40" i="28"/>
  <c r="Z42" i="28" s="1"/>
  <c r="Z43" i="28" s="1"/>
  <c r="AA40" i="28"/>
  <c r="AA42" i="28" s="1"/>
  <c r="AA43" i="28" s="1"/>
  <c r="AB40" i="28"/>
  <c r="AC40" i="28"/>
  <c r="AD40" i="28"/>
  <c r="AE40" i="28"/>
  <c r="E41" i="28"/>
  <c r="F41" i="28"/>
  <c r="F42" i="28" s="1"/>
  <c r="F43" i="28" s="1"/>
  <c r="G41" i="28"/>
  <c r="H41" i="28"/>
  <c r="H42" i="28" s="1"/>
  <c r="H43" i="28" s="1"/>
  <c r="I41" i="28"/>
  <c r="J41" i="28"/>
  <c r="K41" i="28"/>
  <c r="L41" i="28"/>
  <c r="M41" i="28"/>
  <c r="M42" i="28" s="1"/>
  <c r="M43" i="28" s="1"/>
  <c r="N41" i="28"/>
  <c r="N42" i="28" s="1"/>
  <c r="N43" i="28" s="1"/>
  <c r="O41" i="28"/>
  <c r="P41" i="28"/>
  <c r="P42" i="28" s="1"/>
  <c r="P43" i="28" s="1"/>
  <c r="Q41" i="28"/>
  <c r="R41" i="28"/>
  <c r="S41" i="28"/>
  <c r="T41" i="28"/>
  <c r="U41" i="28"/>
  <c r="V41" i="28"/>
  <c r="V42" i="28" s="1"/>
  <c r="V43" i="28" s="1"/>
  <c r="W41" i="28"/>
  <c r="X41" i="28"/>
  <c r="Y41" i="28"/>
  <c r="Z41" i="28"/>
  <c r="AA41" i="28"/>
  <c r="AB41" i="28"/>
  <c r="AC41" i="28"/>
  <c r="AD41" i="28"/>
  <c r="AD42" i="28" s="1"/>
  <c r="AD43" i="28" s="1"/>
  <c r="AE41" i="28"/>
  <c r="G42" i="28"/>
  <c r="G43" i="28" s="1"/>
  <c r="K42" i="28"/>
  <c r="O42" i="28"/>
  <c r="O43" i="28" s="1"/>
  <c r="S42" i="28"/>
  <c r="T42" i="28"/>
  <c r="W42" i="28"/>
  <c r="X42" i="28"/>
  <c r="X43" i="28" s="1"/>
  <c r="AB42" i="28"/>
  <c r="AC42" i="28"/>
  <c r="AE42" i="28"/>
  <c r="K43" i="28"/>
  <c r="S43" i="28"/>
  <c r="T43" i="28"/>
  <c r="W43" i="28"/>
  <c r="AB43" i="28"/>
  <c r="AC43" i="28"/>
  <c r="AE43" i="28"/>
  <c r="F45" i="28"/>
  <c r="G45" i="28"/>
  <c r="H45" i="28"/>
  <c r="D45" i="28" s="1"/>
  <c r="F45" i="40" s="1"/>
  <c r="I45" i="28"/>
  <c r="E45" i="28" s="1"/>
  <c r="G45" i="40" s="1"/>
  <c r="I45" i="40" s="1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F49" i="28"/>
  <c r="G49" i="28"/>
  <c r="H49" i="28"/>
  <c r="D49" i="28" s="1"/>
  <c r="F49" i="40" s="1"/>
  <c r="H49" i="40" s="1"/>
  <c r="I49" i="28"/>
  <c r="E49" i="28" s="1"/>
  <c r="G49" i="40" s="1"/>
  <c r="I49" i="40" s="1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F51" i="40" s="1"/>
  <c r="E51" i="28"/>
  <c r="G51" i="40" s="1"/>
  <c r="I51" i="40" s="1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AB51" i="28"/>
  <c r="AC51" i="28"/>
  <c r="AD51" i="28"/>
  <c r="AE51" i="28"/>
  <c r="F54" i="28"/>
  <c r="D54" i="28" s="1"/>
  <c r="G54" i="28"/>
  <c r="H54" i="28"/>
  <c r="I54" i="28"/>
  <c r="J54" i="28"/>
  <c r="J56" i="28" s="1"/>
  <c r="K54" i="28"/>
  <c r="K56" i="28" s="1"/>
  <c r="L54" i="28"/>
  <c r="L56" i="28" s="1"/>
  <c r="M54" i="28"/>
  <c r="M56" i="28" s="1"/>
  <c r="N54" i="28"/>
  <c r="O54" i="28"/>
  <c r="P54" i="28"/>
  <c r="Q54" i="28"/>
  <c r="R54" i="28"/>
  <c r="R56" i="28" s="1"/>
  <c r="S54" i="28"/>
  <c r="S56" i="28" s="1"/>
  <c r="T54" i="28"/>
  <c r="U54" i="28"/>
  <c r="U56" i="28" s="1"/>
  <c r="V54" i="28"/>
  <c r="V56" i="28" s="1"/>
  <c r="W54" i="28"/>
  <c r="Y54" i="28"/>
  <c r="Z54" i="28"/>
  <c r="AA54" i="28"/>
  <c r="AA56" i="28" s="1"/>
  <c r="AD54" i="28"/>
  <c r="AD56" i="28" s="1"/>
  <c r="AE54" i="28"/>
  <c r="AE56" i="28" s="1"/>
  <c r="F55" i="28"/>
  <c r="G55" i="28"/>
  <c r="H55" i="28"/>
  <c r="I55" i="28"/>
  <c r="E55" i="28" s="1"/>
  <c r="G55" i="40" s="1"/>
  <c r="J55" i="28"/>
  <c r="D55" i="28" s="1"/>
  <c r="F55" i="40" s="1"/>
  <c r="H55" i="40" s="1"/>
  <c r="K55" i="28"/>
  <c r="L55" i="28"/>
  <c r="M55" i="28"/>
  <c r="N55" i="28"/>
  <c r="O55" i="28"/>
  <c r="P55" i="28"/>
  <c r="Q55" i="28"/>
  <c r="Q56" i="28" s="1"/>
  <c r="R55" i="28"/>
  <c r="S55" i="28"/>
  <c r="T55" i="28"/>
  <c r="T56" i="28" s="1"/>
  <c r="U55" i="28"/>
  <c r="V55" i="28"/>
  <c r="W55" i="28"/>
  <c r="X55" i="28"/>
  <c r="Y55" i="28"/>
  <c r="Y56" i="28" s="1"/>
  <c r="Z55" i="28"/>
  <c r="Z56" i="28" s="1"/>
  <c r="AA55" i="28"/>
  <c r="AB55" i="28"/>
  <c r="AC55" i="28"/>
  <c r="AC56" i="28" s="1"/>
  <c r="AD55" i="28"/>
  <c r="AE55" i="28"/>
  <c r="F56" i="28"/>
  <c r="G56" i="28"/>
  <c r="H56" i="28"/>
  <c r="N56" i="28"/>
  <c r="O56" i="28"/>
  <c r="P56" i="28"/>
  <c r="W56" i="28"/>
  <c r="X56" i="28"/>
  <c r="AB56" i="28"/>
  <c r="E59" i="28"/>
  <c r="G59" i="40" s="1"/>
  <c r="F59" i="28"/>
  <c r="G59" i="28"/>
  <c r="H59" i="28"/>
  <c r="I59" i="28"/>
  <c r="J59" i="28"/>
  <c r="K59" i="28"/>
  <c r="K61" i="28" s="1"/>
  <c r="L59" i="28"/>
  <c r="L61" i="28" s="1"/>
  <c r="M59" i="28"/>
  <c r="M61" i="28" s="1"/>
  <c r="N59" i="28"/>
  <c r="O59" i="28"/>
  <c r="P59" i="28"/>
  <c r="P61" i="28" s="1"/>
  <c r="Q59" i="28"/>
  <c r="R59" i="28"/>
  <c r="S59" i="28"/>
  <c r="T59" i="28"/>
  <c r="T61" i="28" s="1"/>
  <c r="U59" i="28"/>
  <c r="U61" i="28" s="1"/>
  <c r="V59" i="28"/>
  <c r="W59" i="28"/>
  <c r="X59" i="28"/>
  <c r="Y59" i="28"/>
  <c r="Z59" i="28"/>
  <c r="AA59" i="28"/>
  <c r="AB59" i="28"/>
  <c r="AB61" i="28" s="1"/>
  <c r="AC59" i="28"/>
  <c r="AC61" i="28" s="1"/>
  <c r="AD59" i="28"/>
  <c r="AD61" i="28" s="1"/>
  <c r="AE59" i="28"/>
  <c r="F60" i="28"/>
  <c r="G60" i="28"/>
  <c r="G61" i="28" s="1"/>
  <c r="H60" i="28"/>
  <c r="H61" i="28" s="1"/>
  <c r="I60" i="28"/>
  <c r="I61" i="28" s="1"/>
  <c r="J60" i="28"/>
  <c r="K60" i="28"/>
  <c r="L60" i="28"/>
  <c r="M60" i="28"/>
  <c r="N60" i="28"/>
  <c r="O60" i="28"/>
  <c r="O61" i="28" s="1"/>
  <c r="P60" i="28"/>
  <c r="Q60" i="28"/>
  <c r="Q61" i="28" s="1"/>
  <c r="R60" i="28"/>
  <c r="S60" i="28"/>
  <c r="T60" i="28"/>
  <c r="U60" i="28"/>
  <c r="V60" i="28"/>
  <c r="W60" i="28"/>
  <c r="W61" i="28" s="1"/>
  <c r="X60" i="28"/>
  <c r="Y60" i="28"/>
  <c r="Y61" i="28" s="1"/>
  <c r="Z60" i="28"/>
  <c r="AA60" i="28"/>
  <c r="AB60" i="28"/>
  <c r="AC60" i="28"/>
  <c r="AD60" i="28"/>
  <c r="AE60" i="28"/>
  <c r="AE61" i="28" s="1"/>
  <c r="F61" i="28"/>
  <c r="J61" i="28"/>
  <c r="N61" i="28"/>
  <c r="R61" i="28"/>
  <c r="S61" i="28"/>
  <c r="V61" i="28"/>
  <c r="X61" i="28"/>
  <c r="Z61" i="28"/>
  <c r="AA61" i="28"/>
  <c r="D64" i="28"/>
  <c r="F64" i="40" s="1"/>
  <c r="E64" i="28"/>
  <c r="E66" i="28" s="1"/>
  <c r="F64" i="28"/>
  <c r="G64" i="28"/>
  <c r="H64" i="28"/>
  <c r="I64" i="28"/>
  <c r="J64" i="28"/>
  <c r="K64" i="28"/>
  <c r="L64" i="28"/>
  <c r="L66" i="28" s="1"/>
  <c r="M64" i="28"/>
  <c r="M66" i="28" s="1"/>
  <c r="N64" i="28"/>
  <c r="O64" i="28"/>
  <c r="O66" i="28" s="1"/>
  <c r="P64" i="28"/>
  <c r="Q64" i="28"/>
  <c r="R64" i="28"/>
  <c r="S64" i="28"/>
  <c r="T64" i="28"/>
  <c r="T66" i="28" s="1"/>
  <c r="U64" i="28"/>
  <c r="U66" i="28" s="1"/>
  <c r="V64" i="28"/>
  <c r="W64" i="28"/>
  <c r="X64" i="28"/>
  <c r="X66" i="28" s="1"/>
  <c r="Y64" i="28"/>
  <c r="Z64" i="28"/>
  <c r="AA64" i="28"/>
  <c r="AB64" i="28"/>
  <c r="AB66" i="28" s="1"/>
  <c r="AC64" i="28"/>
  <c r="AC66" i="28" s="1"/>
  <c r="AD64" i="28"/>
  <c r="AD66" i="28" s="1"/>
  <c r="AE64" i="28"/>
  <c r="F65" i="28"/>
  <c r="G65" i="28"/>
  <c r="H65" i="28"/>
  <c r="D65" i="28" s="1"/>
  <c r="F65" i="40" s="1"/>
  <c r="I65" i="28"/>
  <c r="E65" i="28" s="1"/>
  <c r="G65" i="40" s="1"/>
  <c r="J65" i="28"/>
  <c r="J66" i="28" s="1"/>
  <c r="K65" i="28"/>
  <c r="K66" i="28" s="1"/>
  <c r="L65" i="28"/>
  <c r="M65" i="28"/>
  <c r="N65" i="28"/>
  <c r="O65" i="28"/>
  <c r="P65" i="28"/>
  <c r="P66" i="28" s="1"/>
  <c r="Q65" i="28"/>
  <c r="Q66" i="28" s="1"/>
  <c r="R65" i="28"/>
  <c r="S65" i="28"/>
  <c r="S66" i="28" s="1"/>
  <c r="T65" i="28"/>
  <c r="U65" i="28"/>
  <c r="V65" i="28"/>
  <c r="W65" i="28"/>
  <c r="X65" i="28"/>
  <c r="Y65" i="28"/>
  <c r="Y66" i="28" s="1"/>
  <c r="Z65" i="28"/>
  <c r="AA65" i="28"/>
  <c r="AA66" i="28" s="1"/>
  <c r="AB65" i="28"/>
  <c r="AC65" i="28"/>
  <c r="AD65" i="28"/>
  <c r="AE65" i="28"/>
  <c r="F66" i="28"/>
  <c r="G66" i="28"/>
  <c r="N66" i="28"/>
  <c r="R66" i="28"/>
  <c r="V66" i="28"/>
  <c r="W66" i="28"/>
  <c r="Z66" i="28"/>
  <c r="AE66" i="28"/>
  <c r="D70" i="28"/>
  <c r="F70" i="40" s="1"/>
  <c r="F70" i="28"/>
  <c r="G70" i="28"/>
  <c r="H70" i="28"/>
  <c r="I70" i="28"/>
  <c r="J70" i="28"/>
  <c r="J72" i="28" s="1"/>
  <c r="K70" i="28"/>
  <c r="E70" i="28" s="1"/>
  <c r="L70" i="28"/>
  <c r="L72" i="28" s="1"/>
  <c r="M70" i="28"/>
  <c r="N70" i="28"/>
  <c r="N72" i="28" s="1"/>
  <c r="O70" i="28"/>
  <c r="P70" i="28"/>
  <c r="Q70" i="28"/>
  <c r="R70" i="28"/>
  <c r="S70" i="28"/>
  <c r="S72" i="28" s="1"/>
  <c r="T70" i="28"/>
  <c r="T72" i="28" s="1"/>
  <c r="U70" i="28"/>
  <c r="V70" i="28"/>
  <c r="W70" i="28"/>
  <c r="X70" i="28"/>
  <c r="Y70" i="28"/>
  <c r="Z70" i="28"/>
  <c r="AA70" i="28"/>
  <c r="AA72" i="28" s="1"/>
  <c r="AB70" i="28"/>
  <c r="AB72" i="28" s="1"/>
  <c r="AC70" i="28"/>
  <c r="AC72" i="28" s="1"/>
  <c r="AD70" i="28"/>
  <c r="AE70" i="28"/>
  <c r="F71" i="28"/>
  <c r="G71" i="28"/>
  <c r="G72" i="28" s="1"/>
  <c r="H71" i="28"/>
  <c r="H72" i="28" s="1"/>
  <c r="I71" i="28"/>
  <c r="J71" i="28"/>
  <c r="K71" i="28"/>
  <c r="L71" i="28"/>
  <c r="M71" i="28"/>
  <c r="N71" i="28"/>
  <c r="O71" i="28"/>
  <c r="O72" i="28" s="1"/>
  <c r="P71" i="28"/>
  <c r="P72" i="28" s="1"/>
  <c r="Q71" i="28"/>
  <c r="R71" i="28"/>
  <c r="R72" i="28" s="1"/>
  <c r="S71" i="28"/>
  <c r="T71" i="28"/>
  <c r="U71" i="28"/>
  <c r="V71" i="28"/>
  <c r="W71" i="28"/>
  <c r="W72" i="28" s="1"/>
  <c r="X71" i="28"/>
  <c r="X72" i="28" s="1"/>
  <c r="Y71" i="28"/>
  <c r="Z71" i="28"/>
  <c r="AA71" i="28"/>
  <c r="AB71" i="28"/>
  <c r="AC71" i="28"/>
  <c r="AD71" i="28"/>
  <c r="AE71" i="28"/>
  <c r="AE72" i="28" s="1"/>
  <c r="F72" i="28"/>
  <c r="I72" i="28"/>
  <c r="M72" i="28"/>
  <c r="Q72" i="28"/>
  <c r="U72" i="28"/>
  <c r="V72" i="28"/>
  <c r="Y72" i="28"/>
  <c r="Z72" i="28"/>
  <c r="AD72" i="28"/>
  <c r="D73" i="28"/>
  <c r="F73" i="40" s="1"/>
  <c r="H73" i="40" s="1"/>
  <c r="F73" i="28"/>
  <c r="G73" i="28"/>
  <c r="E73" i="28" s="1"/>
  <c r="G73" i="40" s="1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F74" i="28"/>
  <c r="G74" i="28"/>
  <c r="H74" i="28"/>
  <c r="D74" i="28" s="1"/>
  <c r="F74" i="40" s="1"/>
  <c r="I74" i="28"/>
  <c r="E74" i="28" s="1"/>
  <c r="G74" i="40" s="1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F75" i="28"/>
  <c r="G75" i="28"/>
  <c r="E75" i="28" s="1"/>
  <c r="G75" i="40" s="1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D75" i="28" s="1"/>
  <c r="F75" i="40" s="1"/>
  <c r="H75" i="40" s="1"/>
  <c r="AC75" i="28"/>
  <c r="AD75" i="28"/>
  <c r="AE75" i="28"/>
  <c r="F76" i="28"/>
  <c r="G76" i="28"/>
  <c r="H76" i="28"/>
  <c r="D76" i="28" s="1"/>
  <c r="F76" i="40" s="1"/>
  <c r="I76" i="28"/>
  <c r="E76" i="28" s="1"/>
  <c r="G76" i="40" s="1"/>
  <c r="I76" i="40" s="1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F77" i="40" s="1"/>
  <c r="H77" i="40" s="1"/>
  <c r="F77" i="28"/>
  <c r="G77" i="28"/>
  <c r="E77" i="28" s="1"/>
  <c r="G77" i="40" s="1"/>
  <c r="I77" i="40" s="1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F78" i="28"/>
  <c r="G78" i="28"/>
  <c r="E78" i="28" s="1"/>
  <c r="G78" i="40" s="1"/>
  <c r="I78" i="40" s="1"/>
  <c r="H78" i="28"/>
  <c r="D78" i="28" s="1"/>
  <c r="F78" i="40" s="1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F79" i="40" s="1"/>
  <c r="H79" i="40" s="1"/>
  <c r="F79" i="28"/>
  <c r="G79" i="28"/>
  <c r="E79" i="28" s="1"/>
  <c r="G79" i="40" s="1"/>
  <c r="I79" i="40" s="1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F80" i="28"/>
  <c r="G80" i="28"/>
  <c r="E80" i="28" s="1"/>
  <c r="G80" i="40" s="1"/>
  <c r="I80" i="40" s="1"/>
  <c r="H80" i="28"/>
  <c r="D80" i="28" s="1"/>
  <c r="F80" i="40" s="1"/>
  <c r="H80" i="40" s="1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F81" i="28"/>
  <c r="G81" i="28"/>
  <c r="E81" i="28" s="1"/>
  <c r="G81" i="40" s="1"/>
  <c r="I81" i="40" s="1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D81" i="28" s="1"/>
  <c r="F81" i="40" s="1"/>
  <c r="H81" i="40" s="1"/>
  <c r="U81" i="28"/>
  <c r="V81" i="28"/>
  <c r="W81" i="28"/>
  <c r="X81" i="28"/>
  <c r="Y81" i="28"/>
  <c r="Z81" i="28"/>
  <c r="AA81" i="28"/>
  <c r="AB81" i="28"/>
  <c r="AC81" i="28"/>
  <c r="AD81" i="28"/>
  <c r="AE81" i="28"/>
  <c r="A5" i="40"/>
  <c r="E11" i="40"/>
  <c r="D12" i="40"/>
  <c r="E12" i="40"/>
  <c r="E13" i="40"/>
  <c r="G13" i="40"/>
  <c r="I13" i="40" s="1"/>
  <c r="D14" i="40"/>
  <c r="E14" i="40"/>
  <c r="E21" i="40"/>
  <c r="E22" i="40"/>
  <c r="D28" i="40"/>
  <c r="E28" i="40"/>
  <c r="E32" i="40"/>
  <c r="E33" i="40"/>
  <c r="E36" i="40" s="1"/>
  <c r="D34" i="40"/>
  <c r="E34" i="40"/>
  <c r="E35" i="40"/>
  <c r="E40" i="40"/>
  <c r="E42" i="40" s="1"/>
  <c r="E43" i="40" s="1"/>
  <c r="E41" i="40"/>
  <c r="G41" i="40"/>
  <c r="I41" i="40" s="1"/>
  <c r="E47" i="40"/>
  <c r="F47" i="40"/>
  <c r="G47" i="40"/>
  <c r="I47" i="40" s="1"/>
  <c r="E49" i="40"/>
  <c r="E51" i="40"/>
  <c r="D54" i="40"/>
  <c r="D56" i="40" s="1"/>
  <c r="E59" i="40"/>
  <c r="E61" i="40" s="1"/>
  <c r="D60" i="40"/>
  <c r="E60" i="40"/>
  <c r="E70" i="40"/>
  <c r="E71" i="40"/>
  <c r="E72" i="40"/>
  <c r="D73" i="40"/>
  <c r="E76" i="40"/>
  <c r="E79" i="40"/>
  <c r="E80" i="40"/>
  <c r="D81" i="40"/>
  <c r="E81" i="40"/>
  <c r="V82" i="28" l="1"/>
  <c r="T648" i="44" s="1"/>
  <c r="G40" i="40"/>
  <c r="E42" i="28"/>
  <c r="E43" i="28" s="1"/>
  <c r="H13" i="40"/>
  <c r="J82" i="28"/>
  <c r="H648" i="44" s="1"/>
  <c r="H78" i="40"/>
  <c r="I75" i="40"/>
  <c r="I59" i="40"/>
  <c r="I61" i="40" s="1"/>
  <c r="G32" i="40"/>
  <c r="M82" i="28"/>
  <c r="K648" i="44" s="1"/>
  <c r="AA82" i="28"/>
  <c r="Y648" i="44" s="1"/>
  <c r="D70" i="40"/>
  <c r="D72" i="40" s="1"/>
  <c r="L72" i="16"/>
  <c r="F70" i="38"/>
  <c r="H74" i="40"/>
  <c r="H33" i="40"/>
  <c r="I20" i="40"/>
  <c r="L82" i="28"/>
  <c r="J648" i="44" s="1"/>
  <c r="X82" i="28"/>
  <c r="V648" i="44" s="1"/>
  <c r="H82" i="28"/>
  <c r="F648" i="44" s="1"/>
  <c r="E15" i="40"/>
  <c r="E16" i="40" s="1"/>
  <c r="M16" i="16"/>
  <c r="I73" i="38"/>
  <c r="G70" i="40"/>
  <c r="F40" i="40"/>
  <c r="F66" i="40"/>
  <c r="H64" i="40"/>
  <c r="F54" i="40"/>
  <c r="D56" i="28"/>
  <c r="I15" i="40"/>
  <c r="E54" i="40"/>
  <c r="H27" i="38"/>
  <c r="F29" i="38"/>
  <c r="AB82" i="28"/>
  <c r="Z648" i="44" s="1"/>
  <c r="T82" i="28"/>
  <c r="R648" i="44" s="1"/>
  <c r="G66" i="38"/>
  <c r="I73" i="40"/>
  <c r="G29" i="40"/>
  <c r="D24" i="28"/>
  <c r="F19" i="40"/>
  <c r="K82" i="28"/>
  <c r="I648" i="44" s="1"/>
  <c r="D11" i="40"/>
  <c r="D16" i="40" s="1"/>
  <c r="H79" i="38"/>
  <c r="K646" i="44"/>
  <c r="M91" i="46"/>
  <c r="M24" i="16"/>
  <c r="I81" i="38"/>
  <c r="H47" i="40"/>
  <c r="H51" i="40"/>
  <c r="H39" i="40"/>
  <c r="S82" i="28"/>
  <c r="Q648" i="44" s="1"/>
  <c r="H76" i="40"/>
  <c r="H35" i="40"/>
  <c r="AE82" i="28"/>
  <c r="AC648" i="44" s="1"/>
  <c r="Z82" i="28"/>
  <c r="X648" i="44" s="1"/>
  <c r="R82" i="28"/>
  <c r="P648" i="44" s="1"/>
  <c r="F66" i="16"/>
  <c r="L42" i="16"/>
  <c r="L43" i="16" s="1"/>
  <c r="D40" i="40"/>
  <c r="D42" i="40" s="1"/>
  <c r="D43" i="40" s="1"/>
  <c r="D27" i="40"/>
  <c r="D29" i="40" s="1"/>
  <c r="L29" i="16"/>
  <c r="I40" i="38"/>
  <c r="I42" i="38" s="1"/>
  <c r="G42" i="38"/>
  <c r="G43" i="38" s="1"/>
  <c r="AD82" i="26"/>
  <c r="AB645" i="44" s="1"/>
  <c r="N82" i="26"/>
  <c r="L645" i="44" s="1"/>
  <c r="M36" i="14"/>
  <c r="D59" i="28"/>
  <c r="E33" i="28"/>
  <c r="G33" i="40" s="1"/>
  <c r="I33" i="40" s="1"/>
  <c r="Z24" i="46"/>
  <c r="D21" i="46"/>
  <c r="F21" i="47" s="1"/>
  <c r="H21" i="47" s="1"/>
  <c r="H24" i="47" s="1"/>
  <c r="D11" i="28"/>
  <c r="L56" i="16"/>
  <c r="D40" i="26"/>
  <c r="H42" i="14"/>
  <c r="H43" i="14" s="1"/>
  <c r="F40" i="14"/>
  <c r="F42" i="14" s="1"/>
  <c r="F43" i="14" s="1"/>
  <c r="L40" i="14"/>
  <c r="M39" i="45"/>
  <c r="E39" i="47" s="1"/>
  <c r="E43" i="47" s="1"/>
  <c r="G39" i="45"/>
  <c r="G64" i="40"/>
  <c r="E19" i="40"/>
  <c r="E24" i="40" s="1"/>
  <c r="K72" i="28"/>
  <c r="I42" i="28"/>
  <c r="I43" i="28" s="1"/>
  <c r="D41" i="28"/>
  <c r="F41" i="40" s="1"/>
  <c r="H41" i="40" s="1"/>
  <c r="V36" i="28"/>
  <c r="N36" i="28"/>
  <c r="N82" i="28" s="1"/>
  <c r="L648" i="44" s="1"/>
  <c r="F36" i="28"/>
  <c r="G29" i="28"/>
  <c r="F24" i="28"/>
  <c r="F82" i="28" s="1"/>
  <c r="F80" i="16"/>
  <c r="G77" i="16"/>
  <c r="I66" i="16"/>
  <c r="H61" i="16"/>
  <c r="M61" i="16"/>
  <c r="I42" i="16"/>
  <c r="I43" i="16" s="1"/>
  <c r="F41" i="16"/>
  <c r="F42" i="16" s="1"/>
  <c r="F43" i="16" s="1"/>
  <c r="F33" i="16"/>
  <c r="F36" i="16" s="1"/>
  <c r="F27" i="16"/>
  <c r="F29" i="16" s="1"/>
  <c r="F21" i="16"/>
  <c r="F24" i="16" s="1"/>
  <c r="F11" i="16"/>
  <c r="F16" i="16" s="1"/>
  <c r="E40" i="38"/>
  <c r="E42" i="38" s="1"/>
  <c r="E43" i="38" s="1"/>
  <c r="H72" i="26"/>
  <c r="D54" i="26"/>
  <c r="D51" i="26"/>
  <c r="F51" i="38" s="1"/>
  <c r="H51" i="38" s="1"/>
  <c r="D45" i="26"/>
  <c r="F45" i="38" s="1"/>
  <c r="H45" i="38" s="1"/>
  <c r="I39" i="38"/>
  <c r="AC82" i="26"/>
  <c r="AA645" i="44" s="1"/>
  <c r="M82" i="26"/>
  <c r="K645" i="44" s="1"/>
  <c r="D11" i="26"/>
  <c r="F89" i="47"/>
  <c r="H88" i="47"/>
  <c r="H89" i="47" s="1"/>
  <c r="F56" i="47"/>
  <c r="H54" i="47"/>
  <c r="H56" i="47" s="1"/>
  <c r="D78" i="46"/>
  <c r="F78" i="47" s="1"/>
  <c r="H78" i="47" s="1"/>
  <c r="E29" i="46"/>
  <c r="G27" i="47"/>
  <c r="F27" i="47"/>
  <c r="M20" i="45"/>
  <c r="G20" i="45"/>
  <c r="G24" i="45" s="1"/>
  <c r="I24" i="45"/>
  <c r="G54" i="15"/>
  <c r="M54" i="15"/>
  <c r="E61" i="28"/>
  <c r="D66" i="28"/>
  <c r="E61" i="26"/>
  <c r="G59" i="38"/>
  <c r="D20" i="26"/>
  <c r="F20" i="38" s="1"/>
  <c r="H20" i="38" s="1"/>
  <c r="L36" i="14"/>
  <c r="E56" i="46"/>
  <c r="G54" i="47"/>
  <c r="D20" i="25"/>
  <c r="F20" i="37" s="1"/>
  <c r="H20" i="37" s="1"/>
  <c r="F24" i="25"/>
  <c r="D19" i="40"/>
  <c r="E71" i="28"/>
  <c r="G71" i="40" s="1"/>
  <c r="I71" i="40" s="1"/>
  <c r="D27" i="28"/>
  <c r="Y24" i="28"/>
  <c r="Q24" i="28"/>
  <c r="I24" i="28"/>
  <c r="F77" i="16"/>
  <c r="F70" i="16"/>
  <c r="F72" i="16" s="1"/>
  <c r="M65" i="16"/>
  <c r="E65" i="40" s="1"/>
  <c r="I65" i="40" s="1"/>
  <c r="L59" i="16"/>
  <c r="L45" i="16"/>
  <c r="D45" i="40" s="1"/>
  <c r="H45" i="40" s="1"/>
  <c r="H42" i="16"/>
  <c r="H43" i="16" s="1"/>
  <c r="M42" i="16"/>
  <c r="M43" i="16" s="1"/>
  <c r="L35" i="16"/>
  <c r="D35" i="40" s="1"/>
  <c r="L32" i="16"/>
  <c r="L23" i="16"/>
  <c r="D23" i="40" s="1"/>
  <c r="H23" i="40" s="1"/>
  <c r="G22" i="16"/>
  <c r="G24" i="16" s="1"/>
  <c r="M20" i="16"/>
  <c r="E20" i="40" s="1"/>
  <c r="G15" i="16"/>
  <c r="G16" i="16" s="1"/>
  <c r="G82" i="16" s="1"/>
  <c r="G91" i="16" s="1"/>
  <c r="L13" i="16"/>
  <c r="D13" i="40" s="1"/>
  <c r="D64" i="26"/>
  <c r="G32" i="38"/>
  <c r="E36" i="26"/>
  <c r="Z24" i="26"/>
  <c r="Z82" i="26" s="1"/>
  <c r="X645" i="44" s="1"/>
  <c r="F79" i="14"/>
  <c r="L79" i="14"/>
  <c r="D79" i="38" s="1"/>
  <c r="F75" i="14"/>
  <c r="L75" i="14"/>
  <c r="D75" i="38" s="1"/>
  <c r="H75" i="38" s="1"/>
  <c r="F49" i="14"/>
  <c r="L49" i="14"/>
  <c r="D49" i="38" s="1"/>
  <c r="D49" i="5" s="1"/>
  <c r="F36" i="14"/>
  <c r="F21" i="14"/>
  <c r="F24" i="14" s="1"/>
  <c r="L21" i="14"/>
  <c r="D21" i="38" s="1"/>
  <c r="D24" i="38" s="1"/>
  <c r="H24" i="14"/>
  <c r="E77" i="46"/>
  <c r="G77" i="47" s="1"/>
  <c r="I77" i="47" s="1"/>
  <c r="H71" i="47"/>
  <c r="AB76" i="27"/>
  <c r="T76" i="27"/>
  <c r="L76" i="27"/>
  <c r="D64" i="37"/>
  <c r="E64" i="40"/>
  <c r="D71" i="28"/>
  <c r="F71" i="40" s="1"/>
  <c r="H71" i="40" s="1"/>
  <c r="I66" i="28"/>
  <c r="E60" i="28"/>
  <c r="G60" i="40" s="1"/>
  <c r="I60" i="40" s="1"/>
  <c r="AD36" i="28"/>
  <c r="AD82" i="28" s="1"/>
  <c r="AB648" i="44" s="1"/>
  <c r="D32" i="28"/>
  <c r="L65" i="16"/>
  <c r="D65" i="40" s="1"/>
  <c r="D66" i="40" s="1"/>
  <c r="I29" i="16"/>
  <c r="L20" i="16"/>
  <c r="D20" i="40" s="1"/>
  <c r="H20" i="40" s="1"/>
  <c r="I16" i="16"/>
  <c r="E29" i="38"/>
  <c r="E66" i="26"/>
  <c r="Z55" i="27"/>
  <c r="Z56" i="26"/>
  <c r="AB56" i="27"/>
  <c r="F36" i="26"/>
  <c r="D32" i="26"/>
  <c r="H13" i="15"/>
  <c r="F13" i="14"/>
  <c r="F16" i="14" s="1"/>
  <c r="F82" i="14" s="1"/>
  <c r="L13" i="14"/>
  <c r="D13" i="38" s="1"/>
  <c r="H13" i="38" s="1"/>
  <c r="H16" i="14"/>
  <c r="D89" i="47"/>
  <c r="F66" i="46"/>
  <c r="D64" i="46"/>
  <c r="D33" i="46"/>
  <c r="F33" i="47" s="1"/>
  <c r="H33" i="47" s="1"/>
  <c r="AD82" i="46"/>
  <c r="AB646" i="44" s="1"/>
  <c r="AE82" i="46"/>
  <c r="AC646" i="44" s="1"/>
  <c r="G28" i="45"/>
  <c r="M28" i="45"/>
  <c r="E28" i="47" s="1"/>
  <c r="I28" i="47" s="1"/>
  <c r="X81" i="27"/>
  <c r="P81" i="27"/>
  <c r="H81" i="27"/>
  <c r="Z80" i="27"/>
  <c r="R80" i="27"/>
  <c r="J80" i="27"/>
  <c r="D80" i="25"/>
  <c r="F80" i="37" s="1"/>
  <c r="H80" i="37" s="1"/>
  <c r="AD34" i="27"/>
  <c r="AC28" i="27"/>
  <c r="AC29" i="25"/>
  <c r="Q28" i="27"/>
  <c r="Q29" i="25"/>
  <c r="AC54" i="27"/>
  <c r="AC56" i="27" s="1"/>
  <c r="AC56" i="25"/>
  <c r="S54" i="27"/>
  <c r="S56" i="25"/>
  <c r="K54" i="27"/>
  <c r="K56" i="25"/>
  <c r="E29" i="28"/>
  <c r="H66" i="28"/>
  <c r="D60" i="28"/>
  <c r="F60" i="40" s="1"/>
  <c r="H60" i="40" s="1"/>
  <c r="I56" i="28"/>
  <c r="E19" i="28"/>
  <c r="G16" i="28"/>
  <c r="G82" i="28" s="1"/>
  <c r="Y16" i="28"/>
  <c r="Y82" i="28" s="1"/>
  <c r="W648" i="44" s="1"/>
  <c r="Q16" i="28"/>
  <c r="Q82" i="28" s="1"/>
  <c r="O648" i="44" s="1"/>
  <c r="I16" i="28"/>
  <c r="H29" i="16"/>
  <c r="H16" i="16"/>
  <c r="G70" i="38"/>
  <c r="G54" i="38"/>
  <c r="D29" i="38"/>
  <c r="F19" i="38"/>
  <c r="F42" i="26"/>
  <c r="F43" i="26" s="1"/>
  <c r="D22" i="26"/>
  <c r="F22" i="38" s="1"/>
  <c r="H22" i="38" s="1"/>
  <c r="Q82" i="26"/>
  <c r="O645" i="44" s="1"/>
  <c r="G36" i="14"/>
  <c r="F29" i="14"/>
  <c r="H646" i="44"/>
  <c r="J91" i="46"/>
  <c r="Z82" i="46"/>
  <c r="X646" i="44" s="1"/>
  <c r="L66" i="45"/>
  <c r="D64" i="47"/>
  <c r="D66" i="47" s="1"/>
  <c r="L16" i="45"/>
  <c r="D11" i="47"/>
  <c r="D16" i="47" s="1"/>
  <c r="D82" i="47" s="1"/>
  <c r="D91" i="47" s="1"/>
  <c r="E89" i="25"/>
  <c r="G87" i="37"/>
  <c r="V11" i="27"/>
  <c r="V16" i="25"/>
  <c r="N11" i="27"/>
  <c r="N16" i="27" s="1"/>
  <c r="N16" i="25"/>
  <c r="D11" i="25"/>
  <c r="F16" i="25"/>
  <c r="E32" i="37"/>
  <c r="F61" i="26"/>
  <c r="D60" i="26"/>
  <c r="F60" i="38" s="1"/>
  <c r="H60" i="38" s="1"/>
  <c r="V82" i="26"/>
  <c r="T645" i="44" s="1"/>
  <c r="X11" i="27"/>
  <c r="X16" i="26"/>
  <c r="X82" i="26" s="1"/>
  <c r="V645" i="44" s="1"/>
  <c r="H28" i="15"/>
  <c r="F28" i="14"/>
  <c r="H29" i="14"/>
  <c r="L28" i="14"/>
  <c r="D28" i="38" s="1"/>
  <c r="E51" i="25"/>
  <c r="G51" i="37" s="1"/>
  <c r="I51" i="37" s="1"/>
  <c r="M20" i="15"/>
  <c r="E20" i="39" s="1"/>
  <c r="G20" i="15"/>
  <c r="J42" i="28"/>
  <c r="J43" i="28" s="1"/>
  <c r="F47" i="16"/>
  <c r="E54" i="28"/>
  <c r="D34" i="28"/>
  <c r="F34" i="40" s="1"/>
  <c r="H34" i="40" s="1"/>
  <c r="H72" i="16"/>
  <c r="I56" i="16"/>
  <c r="M27" i="16"/>
  <c r="D59" i="26"/>
  <c r="D49" i="26"/>
  <c r="F49" i="38" s="1"/>
  <c r="AD29" i="26"/>
  <c r="AD28" i="27"/>
  <c r="F29" i="26"/>
  <c r="D28" i="26"/>
  <c r="F28" i="38" s="1"/>
  <c r="H28" i="38" s="1"/>
  <c r="D29" i="26"/>
  <c r="I21" i="38"/>
  <c r="U82" i="26"/>
  <c r="S645" i="44" s="1"/>
  <c r="F35" i="14"/>
  <c r="H36" i="14"/>
  <c r="L35" i="14"/>
  <c r="D35" i="38" s="1"/>
  <c r="D36" i="38" s="1"/>
  <c r="L24" i="14"/>
  <c r="F24" i="47"/>
  <c r="G36" i="45"/>
  <c r="Z35" i="27"/>
  <c r="Z36" i="25"/>
  <c r="R35" i="27"/>
  <c r="R36" i="25"/>
  <c r="J36" i="25"/>
  <c r="J35" i="27"/>
  <c r="D35" i="25"/>
  <c r="F35" i="37" s="1"/>
  <c r="H35" i="37" s="1"/>
  <c r="J23" i="27"/>
  <c r="X12" i="27"/>
  <c r="X16" i="25"/>
  <c r="P12" i="27"/>
  <c r="P16" i="25"/>
  <c r="P82" i="25" s="1"/>
  <c r="E11" i="28"/>
  <c r="G76" i="16"/>
  <c r="M74" i="16"/>
  <c r="E74" i="40" s="1"/>
  <c r="I74" i="40" s="1"/>
  <c r="M55" i="16"/>
  <c r="E55" i="40" s="1"/>
  <c r="I55" i="40" s="1"/>
  <c r="H36" i="16"/>
  <c r="I24" i="16"/>
  <c r="I34" i="38"/>
  <c r="I28" i="38"/>
  <c r="I22" i="38"/>
  <c r="D71" i="26"/>
  <c r="F71" i="38" s="1"/>
  <c r="H71" i="38" s="1"/>
  <c r="D65" i="26"/>
  <c r="F65" i="38" s="1"/>
  <c r="H65" i="38" s="1"/>
  <c r="E29" i="26"/>
  <c r="G27" i="38"/>
  <c r="G11" i="38"/>
  <c r="E16" i="26"/>
  <c r="H72" i="14"/>
  <c r="F70" i="14"/>
  <c r="F72" i="14" s="1"/>
  <c r="L70" i="14"/>
  <c r="H61" i="14"/>
  <c r="F59" i="14"/>
  <c r="F61" i="14" s="1"/>
  <c r="L59" i="14"/>
  <c r="D42" i="47"/>
  <c r="D43" i="47" s="1"/>
  <c r="E75" i="46"/>
  <c r="G75" i="47" s="1"/>
  <c r="M34" i="45"/>
  <c r="I36" i="45"/>
  <c r="G34" i="45"/>
  <c r="H15" i="27"/>
  <c r="L40" i="13"/>
  <c r="H40" i="15"/>
  <c r="H42" i="13"/>
  <c r="H43" i="13" s="1"/>
  <c r="F40" i="13"/>
  <c r="F42" i="13" s="1"/>
  <c r="X56" i="27"/>
  <c r="H42" i="26"/>
  <c r="H43" i="26" s="1"/>
  <c r="H36" i="26"/>
  <c r="H82" i="26" s="1"/>
  <c r="F645" i="44" s="1"/>
  <c r="T29" i="26"/>
  <c r="T82" i="26" s="1"/>
  <c r="R645" i="44" s="1"/>
  <c r="F16" i="26"/>
  <c r="F82" i="26" s="1"/>
  <c r="F16" i="47"/>
  <c r="D76" i="46"/>
  <c r="F76" i="47" s="1"/>
  <c r="H76" i="47" s="1"/>
  <c r="E70" i="46"/>
  <c r="D65" i="46"/>
  <c r="F65" i="47" s="1"/>
  <c r="H65" i="47" s="1"/>
  <c r="K66" i="46"/>
  <c r="E64" i="46"/>
  <c r="E41" i="46"/>
  <c r="G41" i="47" s="1"/>
  <c r="I41" i="47" s="1"/>
  <c r="AB82" i="46"/>
  <c r="Z646" i="44" s="1"/>
  <c r="E15" i="46"/>
  <c r="G15" i="47" s="1"/>
  <c r="I15" i="47" s="1"/>
  <c r="G29" i="45"/>
  <c r="AB80" i="27"/>
  <c r="T80" i="27"/>
  <c r="L80" i="27"/>
  <c r="Y75" i="27"/>
  <c r="Q75" i="27"/>
  <c r="Y71" i="27"/>
  <c r="Q71" i="27"/>
  <c r="I71" i="27"/>
  <c r="AC59" i="27"/>
  <c r="AC61" i="27" s="1"/>
  <c r="M59" i="27"/>
  <c r="M61" i="27" s="1"/>
  <c r="AE51" i="27"/>
  <c r="W51" i="27"/>
  <c r="O51" i="27"/>
  <c r="W49" i="27"/>
  <c r="O49" i="27"/>
  <c r="E49" i="25"/>
  <c r="G49" i="37" s="1"/>
  <c r="I49" i="37" s="1"/>
  <c r="Z47" i="27"/>
  <c r="R47" i="27"/>
  <c r="D47" i="27" s="1"/>
  <c r="F47" i="39" s="1"/>
  <c r="J47" i="27"/>
  <c r="AB45" i="27"/>
  <c r="T45" i="27"/>
  <c r="L45" i="27"/>
  <c r="H40" i="27"/>
  <c r="AA39" i="27"/>
  <c r="AB35" i="27"/>
  <c r="T35" i="27"/>
  <c r="L35" i="27"/>
  <c r="Y33" i="27"/>
  <c r="I33" i="27"/>
  <c r="E32" i="25"/>
  <c r="AE28" i="27"/>
  <c r="S28" i="27"/>
  <c r="K28" i="27"/>
  <c r="E28" i="27" s="1"/>
  <c r="G28" i="39" s="1"/>
  <c r="K29" i="25"/>
  <c r="F27" i="37"/>
  <c r="S22" i="27"/>
  <c r="R24" i="25"/>
  <c r="W13" i="27"/>
  <c r="I12" i="27"/>
  <c r="AB11" i="27"/>
  <c r="H11" i="27"/>
  <c r="H73" i="15"/>
  <c r="L73" i="13"/>
  <c r="D73" i="37" s="1"/>
  <c r="D73" i="5" s="1"/>
  <c r="F73" i="13"/>
  <c r="I88" i="15"/>
  <c r="D33" i="54"/>
  <c r="F33" i="52" s="1"/>
  <c r="O82" i="46"/>
  <c r="M646" i="44" s="1"/>
  <c r="E40" i="46"/>
  <c r="R82" i="46"/>
  <c r="P646" i="44" s="1"/>
  <c r="D20" i="46"/>
  <c r="F20" i="47" s="1"/>
  <c r="H20" i="47" s="1"/>
  <c r="M56" i="45"/>
  <c r="I86" i="37"/>
  <c r="Y81" i="27"/>
  <c r="AD79" i="27"/>
  <c r="V79" i="27"/>
  <c r="N79" i="27"/>
  <c r="D79" i="25"/>
  <c r="F79" i="37" s="1"/>
  <c r="H79" i="37" s="1"/>
  <c r="U76" i="27"/>
  <c r="X75" i="27"/>
  <c r="P75" i="27"/>
  <c r="H75" i="27"/>
  <c r="D75" i="27" s="1"/>
  <c r="F75" i="39" s="1"/>
  <c r="Z74" i="27"/>
  <c r="R74" i="27"/>
  <c r="I74" i="27"/>
  <c r="H71" i="27"/>
  <c r="Y60" i="27"/>
  <c r="Q60" i="27"/>
  <c r="I60" i="27"/>
  <c r="AB59" i="27"/>
  <c r="AB61" i="27" s="1"/>
  <c r="T59" i="27"/>
  <c r="D41" i="25"/>
  <c r="F41" i="37" s="1"/>
  <c r="H41" i="37" s="1"/>
  <c r="Z39" i="27"/>
  <c r="K35" i="27"/>
  <c r="V34" i="27"/>
  <c r="V36" i="25"/>
  <c r="N34" i="27"/>
  <c r="N36" i="25"/>
  <c r="D34" i="25"/>
  <c r="F34" i="37" s="1"/>
  <c r="H34" i="37" s="1"/>
  <c r="N32" i="27"/>
  <c r="F36" i="25"/>
  <c r="AB29" i="25"/>
  <c r="AB27" i="27"/>
  <c r="T27" i="27"/>
  <c r="T29" i="27" s="1"/>
  <c r="T29" i="25"/>
  <c r="L27" i="27"/>
  <c r="L29" i="25"/>
  <c r="X23" i="27"/>
  <c r="P23" i="27"/>
  <c r="H23" i="27"/>
  <c r="Q19" i="27"/>
  <c r="I19" i="27"/>
  <c r="Y16" i="25"/>
  <c r="Y82" i="25" s="1"/>
  <c r="W82" i="25"/>
  <c r="G16" i="25"/>
  <c r="I80" i="15"/>
  <c r="M80" i="13"/>
  <c r="E80" i="37" s="1"/>
  <c r="H77" i="15"/>
  <c r="F77" i="13"/>
  <c r="D60" i="5"/>
  <c r="E40" i="37"/>
  <c r="E42" i="37" s="1"/>
  <c r="E43" i="37" s="1"/>
  <c r="M42" i="13"/>
  <c r="M43" i="13" s="1"/>
  <c r="E71" i="26"/>
  <c r="G71" i="38" s="1"/>
  <c r="I71" i="38" s="1"/>
  <c r="E60" i="26"/>
  <c r="G60" i="38" s="1"/>
  <c r="I60" i="38" s="1"/>
  <c r="M81" i="14"/>
  <c r="E81" i="38" s="1"/>
  <c r="G79" i="14"/>
  <c r="M77" i="14"/>
  <c r="E77" i="38" s="1"/>
  <c r="I77" i="38" s="1"/>
  <c r="G75" i="14"/>
  <c r="M73" i="14"/>
  <c r="E73" i="38" s="1"/>
  <c r="G70" i="14"/>
  <c r="G72" i="14" s="1"/>
  <c r="M64" i="14"/>
  <c r="G59" i="14"/>
  <c r="G61" i="14" s="1"/>
  <c r="M54" i="14"/>
  <c r="G49" i="14"/>
  <c r="M45" i="14"/>
  <c r="E45" i="38" s="1"/>
  <c r="I45" i="38" s="1"/>
  <c r="G40" i="14"/>
  <c r="G42" i="14" s="1"/>
  <c r="G43" i="14" s="1"/>
  <c r="I36" i="14"/>
  <c r="G35" i="14"/>
  <c r="M33" i="14"/>
  <c r="E33" i="38" s="1"/>
  <c r="E36" i="38" s="1"/>
  <c r="I29" i="14"/>
  <c r="G28" i="14"/>
  <c r="G29" i="14" s="1"/>
  <c r="M23" i="14"/>
  <c r="E23" i="38" s="1"/>
  <c r="I23" i="38" s="1"/>
  <c r="G21" i="14"/>
  <c r="G24" i="14" s="1"/>
  <c r="M19" i="14"/>
  <c r="M15" i="14"/>
  <c r="E15" i="38" s="1"/>
  <c r="I15" i="38" s="1"/>
  <c r="G13" i="14"/>
  <c r="G16" i="14" s="1"/>
  <c r="M11" i="14"/>
  <c r="G89" i="47"/>
  <c r="G89" i="46"/>
  <c r="E59" i="46"/>
  <c r="K61" i="46"/>
  <c r="K82" i="46" s="1"/>
  <c r="I66" i="45"/>
  <c r="Q77" i="27"/>
  <c r="I77" i="27"/>
  <c r="AD75" i="27"/>
  <c r="V75" i="27"/>
  <c r="N75" i="27"/>
  <c r="D75" i="25"/>
  <c r="F75" i="37" s="1"/>
  <c r="H75" i="37" s="1"/>
  <c r="Y73" i="27"/>
  <c r="Q64" i="27"/>
  <c r="I64" i="27"/>
  <c r="T49" i="27"/>
  <c r="L49" i="27"/>
  <c r="AD40" i="27"/>
  <c r="AD42" i="27" s="1"/>
  <c r="AD43" i="27" s="1"/>
  <c r="AD42" i="25"/>
  <c r="AD43" i="25" s="1"/>
  <c r="M40" i="27"/>
  <c r="M42" i="25"/>
  <c r="M43" i="25" s="1"/>
  <c r="E40" i="25"/>
  <c r="X39" i="27"/>
  <c r="H39" i="27"/>
  <c r="Z21" i="27"/>
  <c r="AE19" i="27"/>
  <c r="AE24" i="27" s="1"/>
  <c r="AE24" i="25"/>
  <c r="W19" i="27"/>
  <c r="O19" i="27"/>
  <c r="O24" i="25"/>
  <c r="E19" i="25"/>
  <c r="AB13" i="27"/>
  <c r="T13" i="27"/>
  <c r="T16" i="25"/>
  <c r="L13" i="27"/>
  <c r="G80" i="13"/>
  <c r="H60" i="15"/>
  <c r="F60" i="13"/>
  <c r="H23" i="15"/>
  <c r="F23" i="13"/>
  <c r="L23" i="13"/>
  <c r="D23" i="37" s="1"/>
  <c r="H23" i="37" s="1"/>
  <c r="H19" i="15"/>
  <c r="F19" i="13"/>
  <c r="H24" i="13"/>
  <c r="E86" i="27"/>
  <c r="I89" i="27"/>
  <c r="I23" i="42"/>
  <c r="G23" i="5"/>
  <c r="D80" i="46"/>
  <c r="F80" i="47" s="1"/>
  <c r="H80" i="47" s="1"/>
  <c r="G61" i="46"/>
  <c r="E60" i="46"/>
  <c r="G60" i="47" s="1"/>
  <c r="I60" i="47" s="1"/>
  <c r="D51" i="46"/>
  <c r="F51" i="47" s="1"/>
  <c r="H51" i="47" s="1"/>
  <c r="W82" i="46"/>
  <c r="U646" i="44" s="1"/>
  <c r="D22" i="46"/>
  <c r="F22" i="47" s="1"/>
  <c r="H22" i="47" s="1"/>
  <c r="E11" i="46"/>
  <c r="AD81" i="27"/>
  <c r="V81" i="27"/>
  <c r="N81" i="27"/>
  <c r="D81" i="25"/>
  <c r="F81" i="37" s="1"/>
  <c r="H81" i="37" s="1"/>
  <c r="H78" i="37"/>
  <c r="X77" i="27"/>
  <c r="P77" i="27"/>
  <c r="H77" i="27"/>
  <c r="Z76" i="27"/>
  <c r="R76" i="27"/>
  <c r="J76" i="27"/>
  <c r="X73" i="27"/>
  <c r="P73" i="27"/>
  <c r="H73" i="27"/>
  <c r="X70" i="27"/>
  <c r="X72" i="27" s="1"/>
  <c r="P70" i="27"/>
  <c r="P72" i="27" s="1"/>
  <c r="P72" i="25"/>
  <c r="H70" i="27"/>
  <c r="X64" i="27"/>
  <c r="X66" i="25"/>
  <c r="P64" i="27"/>
  <c r="H64" i="27"/>
  <c r="H66" i="27" s="1"/>
  <c r="D64" i="25"/>
  <c r="H66" i="25"/>
  <c r="Y59" i="27"/>
  <c r="Y61" i="27" s="1"/>
  <c r="Q59" i="27"/>
  <c r="Q61" i="27" s="1"/>
  <c r="Q61" i="25"/>
  <c r="Q82" i="25" s="1"/>
  <c r="I59" i="27"/>
  <c r="AC55" i="27"/>
  <c r="Q55" i="27"/>
  <c r="I55" i="27"/>
  <c r="AA54" i="27"/>
  <c r="AA56" i="27" s="1"/>
  <c r="AA56" i="25"/>
  <c r="Q54" i="27"/>
  <c r="I54" i="27"/>
  <c r="I56" i="25"/>
  <c r="AA51" i="27"/>
  <c r="S51" i="27"/>
  <c r="K49" i="27"/>
  <c r="D47" i="25"/>
  <c r="F47" i="37" s="1"/>
  <c r="H47" i="37" s="1"/>
  <c r="S34" i="27"/>
  <c r="AE32" i="27"/>
  <c r="AE36" i="25"/>
  <c r="S32" i="27"/>
  <c r="S36" i="27" s="1"/>
  <c r="S36" i="25"/>
  <c r="K32" i="27"/>
  <c r="K36" i="27" s="1"/>
  <c r="K36" i="25"/>
  <c r="E28" i="25"/>
  <c r="G28" i="37" s="1"/>
  <c r="I28" i="37" s="1"/>
  <c r="Q27" i="27"/>
  <c r="Q29" i="27" s="1"/>
  <c r="I29" i="25"/>
  <c r="U23" i="27"/>
  <c r="Y21" i="27"/>
  <c r="Q24" i="25"/>
  <c r="Q21" i="27"/>
  <c r="I21" i="27"/>
  <c r="I24" i="25"/>
  <c r="AA20" i="27"/>
  <c r="AA24" i="25"/>
  <c r="N20" i="27"/>
  <c r="Y14" i="27"/>
  <c r="Q14" i="27"/>
  <c r="I14" i="27"/>
  <c r="I16" i="25"/>
  <c r="V12" i="27"/>
  <c r="N12" i="27"/>
  <c r="T11" i="27"/>
  <c r="T16" i="27" s="1"/>
  <c r="L11" i="27"/>
  <c r="M88" i="15"/>
  <c r="E88" i="39" s="1"/>
  <c r="E88" i="37"/>
  <c r="I88" i="37" s="1"/>
  <c r="I70" i="15"/>
  <c r="M70" i="13"/>
  <c r="I72" i="13"/>
  <c r="G56" i="13"/>
  <c r="G56" i="27"/>
  <c r="U40" i="27"/>
  <c r="U42" i="27" s="1"/>
  <c r="U43" i="27" s="1"/>
  <c r="Q15" i="27"/>
  <c r="AD12" i="27"/>
  <c r="AA36" i="27"/>
  <c r="E19" i="26"/>
  <c r="I16" i="26"/>
  <c r="I82" i="26" s="1"/>
  <c r="G645" i="44" s="1"/>
  <c r="M64" i="15"/>
  <c r="G64" i="15"/>
  <c r="I42" i="14"/>
  <c r="I43" i="14" s="1"/>
  <c r="F646" i="44"/>
  <c r="H91" i="46"/>
  <c r="D39" i="46"/>
  <c r="F39" i="47" s="1"/>
  <c r="H39" i="47" s="1"/>
  <c r="F43" i="46"/>
  <c r="D35" i="46"/>
  <c r="F35" i="47" s="1"/>
  <c r="H35" i="47" s="1"/>
  <c r="E13" i="46"/>
  <c r="G13" i="47" s="1"/>
  <c r="L72" i="45"/>
  <c r="L42" i="45"/>
  <c r="L43" i="45" s="1"/>
  <c r="I16" i="45"/>
  <c r="E87" i="5"/>
  <c r="I39" i="37"/>
  <c r="AB78" i="27"/>
  <c r="T78" i="27"/>
  <c r="L78" i="27"/>
  <c r="AE73" i="27"/>
  <c r="W73" i="27"/>
  <c r="O73" i="27"/>
  <c r="AB71" i="27"/>
  <c r="AB72" i="27" s="1"/>
  <c r="AB72" i="25"/>
  <c r="T71" i="27"/>
  <c r="T72" i="27" s="1"/>
  <c r="L71" i="27"/>
  <c r="G70" i="37"/>
  <c r="AB66" i="25"/>
  <c r="AB65" i="27"/>
  <c r="T65" i="27"/>
  <c r="L65" i="27"/>
  <c r="G64" i="37"/>
  <c r="E66" i="25"/>
  <c r="AC60" i="27"/>
  <c r="AC61" i="25"/>
  <c r="U60" i="27"/>
  <c r="M60" i="27"/>
  <c r="E60" i="25"/>
  <c r="G60" i="37" s="1"/>
  <c r="I60" i="37" s="1"/>
  <c r="P55" i="27"/>
  <c r="H55" i="27"/>
  <c r="R51" i="27"/>
  <c r="J51" i="27"/>
  <c r="AC47" i="27"/>
  <c r="U47" i="27"/>
  <c r="AE45" i="27"/>
  <c r="W45" i="27"/>
  <c r="Z41" i="27"/>
  <c r="Z42" i="25"/>
  <c r="Z43" i="25" s="1"/>
  <c r="R41" i="27"/>
  <c r="R42" i="25"/>
  <c r="R43" i="25" s="1"/>
  <c r="J41" i="27"/>
  <c r="J42" i="25"/>
  <c r="J43" i="25" s="1"/>
  <c r="AB40" i="27"/>
  <c r="AB42" i="25"/>
  <c r="AB43" i="25" s="1"/>
  <c r="S40" i="27"/>
  <c r="S42" i="27" s="1"/>
  <c r="S42" i="25"/>
  <c r="S43" i="25" s="1"/>
  <c r="AD39" i="27"/>
  <c r="V39" i="27"/>
  <c r="N39" i="27"/>
  <c r="D39" i="25"/>
  <c r="F39" i="37" s="1"/>
  <c r="H39" i="37" s="1"/>
  <c r="L23" i="27"/>
  <c r="AD24" i="25"/>
  <c r="AD82" i="25" s="1"/>
  <c r="AD22" i="27"/>
  <c r="V22" i="27"/>
  <c r="V24" i="25"/>
  <c r="N22" i="27"/>
  <c r="D22" i="25"/>
  <c r="F22" i="37" s="1"/>
  <c r="AC15" i="27"/>
  <c r="U15" i="27"/>
  <c r="M15" i="27"/>
  <c r="E15" i="25"/>
  <c r="G15" i="37" s="1"/>
  <c r="I15" i="37" s="1"/>
  <c r="P14" i="27"/>
  <c r="Z13" i="27"/>
  <c r="R13" i="27"/>
  <c r="J13" i="27"/>
  <c r="M86" i="15"/>
  <c r="M89" i="13"/>
  <c r="B21" i="4" s="1"/>
  <c r="C21" i="4" s="1"/>
  <c r="D81" i="5"/>
  <c r="H74" i="15"/>
  <c r="F74" i="13"/>
  <c r="H70" i="15"/>
  <c r="M55" i="13"/>
  <c r="E55" i="37" s="1"/>
  <c r="E56" i="37" s="1"/>
  <c r="I56" i="13"/>
  <c r="G55" i="13"/>
  <c r="I55" i="15"/>
  <c r="I56" i="15" s="1"/>
  <c r="F34" i="13"/>
  <c r="H34" i="15"/>
  <c r="D11" i="37"/>
  <c r="K40" i="27"/>
  <c r="H71" i="15"/>
  <c r="Z36" i="27"/>
  <c r="H11" i="47"/>
  <c r="H16" i="47" s="1"/>
  <c r="D74" i="46"/>
  <c r="F74" i="47" s="1"/>
  <c r="H74" i="47" s="1"/>
  <c r="F61" i="46"/>
  <c r="E45" i="46"/>
  <c r="G45" i="47" s="1"/>
  <c r="I45" i="47" s="1"/>
  <c r="T82" i="46"/>
  <c r="R646" i="44" s="1"/>
  <c r="L82" i="46"/>
  <c r="F36" i="46"/>
  <c r="D16" i="46"/>
  <c r="M75" i="45"/>
  <c r="E75" i="47" s="1"/>
  <c r="G74" i="45"/>
  <c r="I72" i="45"/>
  <c r="G70" i="45"/>
  <c r="G72" i="45" s="1"/>
  <c r="I42" i="45"/>
  <c r="I43" i="45" s="1"/>
  <c r="G40" i="45"/>
  <c r="G42" i="45" s="1"/>
  <c r="G43" i="45" s="1"/>
  <c r="K82" i="45"/>
  <c r="M27" i="45"/>
  <c r="I29" i="45"/>
  <c r="G12" i="45"/>
  <c r="G16" i="45" s="1"/>
  <c r="I80" i="37"/>
  <c r="G89" i="25"/>
  <c r="I79" i="27"/>
  <c r="AD77" i="27"/>
  <c r="V77" i="27"/>
  <c r="N77" i="27"/>
  <c r="D77" i="25"/>
  <c r="F77" i="37" s="1"/>
  <c r="H77" i="37" s="1"/>
  <c r="AC74" i="27"/>
  <c r="U74" i="27"/>
  <c r="AD70" i="27"/>
  <c r="AD72" i="25"/>
  <c r="V70" i="27"/>
  <c r="V72" i="27" s="1"/>
  <c r="V72" i="25"/>
  <c r="N70" i="27"/>
  <c r="N72" i="25"/>
  <c r="D70" i="25"/>
  <c r="P66" i="25"/>
  <c r="AD64" i="27"/>
  <c r="V64" i="27"/>
  <c r="N64" i="27"/>
  <c r="N66" i="27" s="1"/>
  <c r="AE59" i="27"/>
  <c r="AE61" i="27" s="1"/>
  <c r="AE61" i="25"/>
  <c r="W59" i="27"/>
  <c r="W61" i="27" s="1"/>
  <c r="W61" i="25"/>
  <c r="O59" i="27"/>
  <c r="O61" i="25"/>
  <c r="E59" i="25"/>
  <c r="W55" i="27"/>
  <c r="O55" i="27"/>
  <c r="E55" i="27" s="1"/>
  <c r="G55" i="39" s="1"/>
  <c r="O56" i="25"/>
  <c r="E55" i="25"/>
  <c r="G55" i="37" s="1"/>
  <c r="I55" i="37" s="1"/>
  <c r="E54" i="25"/>
  <c r="I51" i="27"/>
  <c r="T47" i="27"/>
  <c r="L47" i="27"/>
  <c r="AD45" i="27"/>
  <c r="V45" i="27"/>
  <c r="N45" i="27"/>
  <c r="D45" i="25"/>
  <c r="F45" i="37" s="1"/>
  <c r="H45" i="37" s="1"/>
  <c r="I34" i="27"/>
  <c r="S33" i="27"/>
  <c r="K33" i="27"/>
  <c r="AC32" i="27"/>
  <c r="AC36" i="25"/>
  <c r="Q32" i="27"/>
  <c r="Q36" i="25"/>
  <c r="I32" i="27"/>
  <c r="U28" i="27"/>
  <c r="N24" i="25"/>
  <c r="AC22" i="27"/>
  <c r="AE21" i="27"/>
  <c r="W21" i="27"/>
  <c r="O21" i="27"/>
  <c r="E21" i="25"/>
  <c r="G21" i="37" s="1"/>
  <c r="Y20" i="27"/>
  <c r="L19" i="27"/>
  <c r="Z16" i="25"/>
  <c r="AB15" i="27"/>
  <c r="AE14" i="27"/>
  <c r="W14" i="27"/>
  <c r="O14" i="27"/>
  <c r="O16" i="25"/>
  <c r="E14" i="25"/>
  <c r="G14" i="37" s="1"/>
  <c r="I14" i="37" s="1"/>
  <c r="T12" i="27"/>
  <c r="R11" i="27"/>
  <c r="G88" i="13"/>
  <c r="G88" i="15" s="1"/>
  <c r="G70" i="13"/>
  <c r="G72" i="13" s="1"/>
  <c r="H65" i="15"/>
  <c r="D59" i="37"/>
  <c r="L61" i="13"/>
  <c r="I41" i="15"/>
  <c r="G41" i="13"/>
  <c r="Y56" i="26"/>
  <c r="Y82" i="26" s="1"/>
  <c r="W645" i="44" s="1"/>
  <c r="Y56" i="27"/>
  <c r="Y42" i="27"/>
  <c r="G64" i="14"/>
  <c r="G66" i="14" s="1"/>
  <c r="I24" i="14"/>
  <c r="I16" i="14"/>
  <c r="I91" i="46"/>
  <c r="D70" i="46"/>
  <c r="D59" i="46"/>
  <c r="D40" i="46"/>
  <c r="X42" i="46"/>
  <c r="X43" i="46" s="1"/>
  <c r="X82" i="46" s="1"/>
  <c r="V646" i="44" s="1"/>
  <c r="D32" i="46"/>
  <c r="D28" i="46"/>
  <c r="F28" i="47" s="1"/>
  <c r="H28" i="47" s="1"/>
  <c r="F29" i="46"/>
  <c r="F24" i="46"/>
  <c r="E19" i="46"/>
  <c r="G24" i="46"/>
  <c r="G65" i="45"/>
  <c r="G66" i="45" s="1"/>
  <c r="I61" i="45"/>
  <c r="G59" i="45"/>
  <c r="G61" i="45" s="1"/>
  <c r="L24" i="45"/>
  <c r="M13" i="45"/>
  <c r="E13" i="47" s="1"/>
  <c r="E16" i="47" s="1"/>
  <c r="AC80" i="27"/>
  <c r="X79" i="27"/>
  <c r="P79" i="27"/>
  <c r="H79" i="27"/>
  <c r="D79" i="27" s="1"/>
  <c r="F79" i="39" s="1"/>
  <c r="Z78" i="27"/>
  <c r="R78" i="27"/>
  <c r="J78" i="27"/>
  <c r="AB74" i="27"/>
  <c r="T74" i="27"/>
  <c r="D74" i="25"/>
  <c r="F74" i="37" s="1"/>
  <c r="H74" i="37" s="1"/>
  <c r="L74" i="27"/>
  <c r="AC73" i="27"/>
  <c r="U73" i="27"/>
  <c r="M73" i="27"/>
  <c r="H72" i="25"/>
  <c r="Z71" i="27"/>
  <c r="Z72" i="25"/>
  <c r="R71" i="27"/>
  <c r="R72" i="25"/>
  <c r="J71" i="27"/>
  <c r="D71" i="27" s="1"/>
  <c r="F71" i="39" s="1"/>
  <c r="J72" i="25"/>
  <c r="AC70" i="27"/>
  <c r="U70" i="27"/>
  <c r="U72" i="27" s="1"/>
  <c r="M70" i="27"/>
  <c r="Z65" i="27"/>
  <c r="R65" i="27"/>
  <c r="J65" i="27"/>
  <c r="I61" i="25"/>
  <c r="AA60" i="27"/>
  <c r="AA61" i="25"/>
  <c r="S60" i="27"/>
  <c r="K60" i="27"/>
  <c r="K61" i="25"/>
  <c r="Q56" i="25"/>
  <c r="K47" i="27"/>
  <c r="X41" i="27"/>
  <c r="X42" i="25"/>
  <c r="X43" i="25" s="1"/>
  <c r="P41" i="27"/>
  <c r="H41" i="27"/>
  <c r="H42" i="25"/>
  <c r="H43" i="25" s="1"/>
  <c r="Y36" i="25"/>
  <c r="X34" i="27"/>
  <c r="X36" i="25"/>
  <c r="P34" i="27"/>
  <c r="H34" i="27"/>
  <c r="D34" i="27" s="1"/>
  <c r="F34" i="39" s="1"/>
  <c r="H36" i="25"/>
  <c r="H82" i="25" s="1"/>
  <c r="Z33" i="27"/>
  <c r="AD27" i="27"/>
  <c r="AD29" i="27" s="1"/>
  <c r="AD29" i="25"/>
  <c r="V27" i="27"/>
  <c r="N27" i="27"/>
  <c r="N29" i="25"/>
  <c r="Z23" i="27"/>
  <c r="Z24" i="25"/>
  <c r="R23" i="27"/>
  <c r="AB22" i="27"/>
  <c r="L22" i="27"/>
  <c r="K19" i="27"/>
  <c r="S82" i="25"/>
  <c r="AA15" i="27"/>
  <c r="AA16" i="25"/>
  <c r="AA82" i="25" s="1"/>
  <c r="S15" i="27"/>
  <c r="K15" i="27"/>
  <c r="K16" i="25"/>
  <c r="X13" i="27"/>
  <c r="Q11" i="27"/>
  <c r="L86" i="15"/>
  <c r="D86" i="37"/>
  <c r="L77" i="13"/>
  <c r="D77" i="37" s="1"/>
  <c r="I47" i="15"/>
  <c r="M47" i="13"/>
  <c r="E47" i="37" s="1"/>
  <c r="I14" i="15"/>
  <c r="M14" i="13"/>
  <c r="E14" i="37" s="1"/>
  <c r="E16" i="37" s="1"/>
  <c r="G14" i="13"/>
  <c r="G16" i="13" s="1"/>
  <c r="E32" i="46"/>
  <c r="F81" i="45"/>
  <c r="F77" i="45"/>
  <c r="F73" i="45"/>
  <c r="F64" i="45"/>
  <c r="F66" i="45" s="1"/>
  <c r="F54" i="45"/>
  <c r="F56" i="45" s="1"/>
  <c r="F45" i="45"/>
  <c r="F33" i="45"/>
  <c r="F36" i="45" s="1"/>
  <c r="H24" i="45"/>
  <c r="F23" i="45"/>
  <c r="F19" i="45"/>
  <c r="H16" i="45"/>
  <c r="F15" i="45"/>
  <c r="F11" i="45"/>
  <c r="AE81" i="27"/>
  <c r="W81" i="27"/>
  <c r="O81" i="27"/>
  <c r="AA80" i="27"/>
  <c r="S80" i="27"/>
  <c r="K80" i="27"/>
  <c r="AE79" i="27"/>
  <c r="W79" i="27"/>
  <c r="O79" i="27"/>
  <c r="AA78" i="27"/>
  <c r="S78" i="27"/>
  <c r="K78" i="27"/>
  <c r="AE77" i="27"/>
  <c r="W77" i="27"/>
  <c r="O77" i="27"/>
  <c r="AA76" i="27"/>
  <c r="S76" i="27"/>
  <c r="K76" i="27"/>
  <c r="AE75" i="27"/>
  <c r="W75" i="27"/>
  <c r="O75" i="27"/>
  <c r="AA74" i="27"/>
  <c r="S74" i="27"/>
  <c r="J74" i="27"/>
  <c r="AD73" i="27"/>
  <c r="V73" i="27"/>
  <c r="N73" i="27"/>
  <c r="AA71" i="27"/>
  <c r="S71" i="27"/>
  <c r="K71" i="27"/>
  <c r="AE70" i="27"/>
  <c r="W70" i="27"/>
  <c r="O70" i="27"/>
  <c r="Q66" i="25"/>
  <c r="AA65" i="27"/>
  <c r="S65" i="27"/>
  <c r="K65" i="27"/>
  <c r="AE64" i="27"/>
  <c r="W64" i="27"/>
  <c r="O64" i="27"/>
  <c r="AB60" i="27"/>
  <c r="T60" i="27"/>
  <c r="L60" i="27"/>
  <c r="D60" i="27" s="1"/>
  <c r="F60" i="39" s="1"/>
  <c r="D60" i="25"/>
  <c r="F60" i="37" s="1"/>
  <c r="H60" i="37" s="1"/>
  <c r="X59" i="27"/>
  <c r="X61" i="27" s="1"/>
  <c r="P59" i="27"/>
  <c r="P61" i="27" s="1"/>
  <c r="H59" i="27"/>
  <c r="AB55" i="27"/>
  <c r="R54" i="27"/>
  <c r="J54" i="27"/>
  <c r="AD51" i="27"/>
  <c r="V51" i="27"/>
  <c r="N51" i="27"/>
  <c r="D51" i="25"/>
  <c r="F51" i="37" s="1"/>
  <c r="H51" i="37" s="1"/>
  <c r="V49" i="27"/>
  <c r="N49" i="27"/>
  <c r="Y47" i="27"/>
  <c r="Q47" i="27"/>
  <c r="I47" i="27"/>
  <c r="E47" i="27" s="1"/>
  <c r="G47" i="39" s="1"/>
  <c r="AC45" i="27"/>
  <c r="U45" i="27"/>
  <c r="Y41" i="27"/>
  <c r="I41" i="27"/>
  <c r="AC40" i="27"/>
  <c r="L40" i="27"/>
  <c r="L42" i="27" s="1"/>
  <c r="L43" i="27" s="1"/>
  <c r="AE39" i="27"/>
  <c r="W39" i="27"/>
  <c r="O39" i="27"/>
  <c r="AA35" i="27"/>
  <c r="S35" i="27"/>
  <c r="AE34" i="27"/>
  <c r="W34" i="27"/>
  <c r="O34" i="27"/>
  <c r="R33" i="27"/>
  <c r="J33" i="27"/>
  <c r="AD32" i="27"/>
  <c r="AD36" i="27" s="1"/>
  <c r="R32" i="27"/>
  <c r="J32" i="27"/>
  <c r="R28" i="27"/>
  <c r="J28" i="27"/>
  <c r="AC27" i="27"/>
  <c r="AC29" i="27" s="1"/>
  <c r="U27" i="27"/>
  <c r="U29" i="27" s="1"/>
  <c r="M27" i="27"/>
  <c r="M29" i="27" s="1"/>
  <c r="E27" i="25"/>
  <c r="Y23" i="27"/>
  <c r="Q23" i="27"/>
  <c r="I23" i="27"/>
  <c r="U22" i="27"/>
  <c r="M22" i="27"/>
  <c r="X21" i="27"/>
  <c r="H21" i="27"/>
  <c r="D21" i="27" s="1"/>
  <c r="F21" i="39" s="1"/>
  <c r="AB20" i="27"/>
  <c r="P20" i="27"/>
  <c r="X19" i="27"/>
  <c r="P19" i="27"/>
  <c r="H19" i="27"/>
  <c r="R16" i="25"/>
  <c r="R82" i="25" s="1"/>
  <c r="T15" i="27"/>
  <c r="L15" i="27"/>
  <c r="X14" i="27"/>
  <c r="H14" i="27"/>
  <c r="AA13" i="27"/>
  <c r="S13" i="27"/>
  <c r="K13" i="27"/>
  <c r="AE12" i="27"/>
  <c r="W12" i="27"/>
  <c r="O12" i="27"/>
  <c r="D12" i="25"/>
  <c r="F12" i="37" s="1"/>
  <c r="H12" i="37" s="1"/>
  <c r="U11" i="27"/>
  <c r="U16" i="25"/>
  <c r="U82" i="25" s="1"/>
  <c r="M11" i="27"/>
  <c r="M16" i="25"/>
  <c r="E11" i="25"/>
  <c r="I89" i="13"/>
  <c r="H88" i="15"/>
  <c r="L88" i="13"/>
  <c r="H80" i="15"/>
  <c r="I77" i="15"/>
  <c r="G77" i="13"/>
  <c r="F76" i="13"/>
  <c r="I74" i="15"/>
  <c r="F65" i="13"/>
  <c r="F66" i="13" s="1"/>
  <c r="F59" i="13"/>
  <c r="F61" i="13" s="1"/>
  <c r="H54" i="15"/>
  <c r="H47" i="15"/>
  <c r="F45" i="13"/>
  <c r="G40" i="13"/>
  <c r="G42" i="13" s="1"/>
  <c r="I34" i="15"/>
  <c r="M34" i="13"/>
  <c r="E34" i="37" s="1"/>
  <c r="I34" i="37" s="1"/>
  <c r="F33" i="13"/>
  <c r="G28" i="13"/>
  <c r="I19" i="15"/>
  <c r="H14" i="15"/>
  <c r="L14" i="13"/>
  <c r="D14" i="37" s="1"/>
  <c r="H14" i="37" s="1"/>
  <c r="F16" i="27"/>
  <c r="F15" i="53"/>
  <c r="L15" i="53"/>
  <c r="D15" i="52" s="1"/>
  <c r="E11" i="52"/>
  <c r="E16" i="52" s="1"/>
  <c r="M16" i="53"/>
  <c r="AC24" i="46"/>
  <c r="AC82" i="46" s="1"/>
  <c r="AA646" i="44" s="1"/>
  <c r="H66" i="45"/>
  <c r="H56" i="45"/>
  <c r="AC81" i="27"/>
  <c r="U81" i="27"/>
  <c r="M81" i="27"/>
  <c r="Y80" i="27"/>
  <c r="Q80" i="27"/>
  <c r="I80" i="27"/>
  <c r="E80" i="27" s="1"/>
  <c r="G80" i="39" s="1"/>
  <c r="AC79" i="27"/>
  <c r="U79" i="27"/>
  <c r="M79" i="27"/>
  <c r="E79" i="25"/>
  <c r="G79" i="37" s="1"/>
  <c r="Y78" i="27"/>
  <c r="Q78" i="27"/>
  <c r="I78" i="27"/>
  <c r="AC77" i="27"/>
  <c r="U77" i="27"/>
  <c r="M77" i="27"/>
  <c r="E77" i="25"/>
  <c r="G77" i="37" s="1"/>
  <c r="I77" i="37" s="1"/>
  <c r="Y76" i="27"/>
  <c r="Q76" i="27"/>
  <c r="I76" i="27"/>
  <c r="AC75" i="27"/>
  <c r="U75" i="27"/>
  <c r="E75" i="27" s="1"/>
  <c r="G75" i="39" s="1"/>
  <c r="M75" i="27"/>
  <c r="Y74" i="27"/>
  <c r="Q74" i="27"/>
  <c r="H74" i="27"/>
  <c r="AB73" i="27"/>
  <c r="T73" i="27"/>
  <c r="L73" i="27"/>
  <c r="D73" i="25"/>
  <c r="F73" i="37" s="1"/>
  <c r="H73" i="37" s="1"/>
  <c r="W72" i="25"/>
  <c r="O66" i="25"/>
  <c r="Y65" i="27"/>
  <c r="Y66" i="27" s="1"/>
  <c r="Q65" i="27"/>
  <c r="I65" i="27"/>
  <c r="AC64" i="27"/>
  <c r="AC66" i="27" s="1"/>
  <c r="U64" i="27"/>
  <c r="U66" i="27" s="1"/>
  <c r="M64" i="27"/>
  <c r="M66" i="27" s="1"/>
  <c r="X61" i="25"/>
  <c r="Z60" i="27"/>
  <c r="Z61" i="25"/>
  <c r="R60" i="27"/>
  <c r="R61" i="25"/>
  <c r="J60" i="27"/>
  <c r="J61" i="25"/>
  <c r="AD59" i="27"/>
  <c r="AD61" i="27" s="1"/>
  <c r="V59" i="27"/>
  <c r="N59" i="27"/>
  <c r="N61" i="27" s="1"/>
  <c r="P56" i="25"/>
  <c r="G56" i="25"/>
  <c r="P54" i="27"/>
  <c r="T51" i="27"/>
  <c r="L51" i="27"/>
  <c r="AE49" i="27"/>
  <c r="W47" i="27"/>
  <c r="O47" i="27"/>
  <c r="AA45" i="27"/>
  <c r="S45" i="27"/>
  <c r="K45" i="27"/>
  <c r="AE42" i="25"/>
  <c r="AE43" i="25" s="1"/>
  <c r="AE41" i="27"/>
  <c r="AE42" i="27" s="1"/>
  <c r="AE43" i="27" s="1"/>
  <c r="O41" i="27"/>
  <c r="AA40" i="27"/>
  <c r="R40" i="27"/>
  <c r="R42" i="27" s="1"/>
  <c r="R43" i="27" s="1"/>
  <c r="J40" i="27"/>
  <c r="J42" i="27" s="1"/>
  <c r="AC39" i="27"/>
  <c r="U39" i="27"/>
  <c r="M39" i="27"/>
  <c r="Y35" i="27"/>
  <c r="Y36" i="27" s="1"/>
  <c r="Q35" i="27"/>
  <c r="I35" i="27"/>
  <c r="U34" i="27"/>
  <c r="M34" i="27"/>
  <c r="H33" i="27"/>
  <c r="AB32" i="27"/>
  <c r="H32" i="27"/>
  <c r="D32" i="27" s="1"/>
  <c r="AB28" i="27"/>
  <c r="P28" i="27"/>
  <c r="D28" i="27" s="1"/>
  <c r="F28" i="39" s="1"/>
  <c r="H28" i="27"/>
  <c r="AA27" i="27"/>
  <c r="AA29" i="27" s="1"/>
  <c r="S27" i="27"/>
  <c r="S29" i="27" s="1"/>
  <c r="K27" i="27"/>
  <c r="AE23" i="27"/>
  <c r="O23" i="27"/>
  <c r="AA22" i="27"/>
  <c r="K22" i="27"/>
  <c r="E22" i="27" s="1"/>
  <c r="G22" i="39" s="1"/>
  <c r="AD21" i="27"/>
  <c r="V21" i="27"/>
  <c r="N21" i="27"/>
  <c r="Z20" i="27"/>
  <c r="L20" i="27"/>
  <c r="AD19" i="27"/>
  <c r="V19" i="27"/>
  <c r="V24" i="27" s="1"/>
  <c r="N19" i="27"/>
  <c r="N24" i="27" s="1"/>
  <c r="Z15" i="27"/>
  <c r="R15" i="27"/>
  <c r="J15" i="27"/>
  <c r="AD14" i="27"/>
  <c r="V14" i="27"/>
  <c r="N14" i="27"/>
  <c r="Y13" i="27"/>
  <c r="Y16" i="27" s="1"/>
  <c r="Q13" i="27"/>
  <c r="E13" i="27" s="1"/>
  <c r="G13" i="39" s="1"/>
  <c r="I13" i="27"/>
  <c r="AC12" i="27"/>
  <c r="AE11" i="27"/>
  <c r="S11" i="27"/>
  <c r="K11" i="27"/>
  <c r="F88" i="13"/>
  <c r="F88" i="15" s="1"/>
  <c r="I81" i="15"/>
  <c r="G81" i="13"/>
  <c r="F80" i="13"/>
  <c r="I78" i="15"/>
  <c r="I75" i="15"/>
  <c r="M75" i="13"/>
  <c r="E75" i="37" s="1"/>
  <c r="I75" i="37" s="1"/>
  <c r="I71" i="15"/>
  <c r="F70" i="13"/>
  <c r="F72" i="13" s="1"/>
  <c r="H55" i="15"/>
  <c r="F54" i="13"/>
  <c r="F56" i="13" s="1"/>
  <c r="I49" i="15"/>
  <c r="F47" i="13"/>
  <c r="H41" i="15"/>
  <c r="G34" i="13"/>
  <c r="I32" i="15"/>
  <c r="G32" i="13"/>
  <c r="H29" i="13"/>
  <c r="L27" i="13"/>
  <c r="I22" i="15"/>
  <c r="G22" i="13"/>
  <c r="G24" i="13" s="1"/>
  <c r="X89" i="27"/>
  <c r="P89" i="27"/>
  <c r="H89" i="27"/>
  <c r="K41" i="27"/>
  <c r="F36" i="27"/>
  <c r="I71" i="42"/>
  <c r="AB81" i="27"/>
  <c r="T81" i="27"/>
  <c r="L81" i="27"/>
  <c r="X80" i="27"/>
  <c r="P80" i="27"/>
  <c r="H80" i="27"/>
  <c r="AB79" i="27"/>
  <c r="T79" i="27"/>
  <c r="L79" i="27"/>
  <c r="X78" i="27"/>
  <c r="P78" i="27"/>
  <c r="H78" i="27"/>
  <c r="D78" i="27" s="1"/>
  <c r="F78" i="39" s="1"/>
  <c r="AB77" i="27"/>
  <c r="T77" i="27"/>
  <c r="L77" i="27"/>
  <c r="X76" i="27"/>
  <c r="P76" i="27"/>
  <c r="H76" i="27"/>
  <c r="AB75" i="27"/>
  <c r="T75" i="27"/>
  <c r="L75" i="27"/>
  <c r="X74" i="27"/>
  <c r="P74" i="27"/>
  <c r="AA73" i="27"/>
  <c r="S73" i="27"/>
  <c r="K73" i="27"/>
  <c r="E73" i="27" s="1"/>
  <c r="G73" i="39" s="1"/>
  <c r="M66" i="25"/>
  <c r="X65" i="27"/>
  <c r="P65" i="27"/>
  <c r="H65" i="27"/>
  <c r="AB64" i="27"/>
  <c r="AB66" i="27" s="1"/>
  <c r="T64" i="27"/>
  <c r="L64" i="27"/>
  <c r="U55" i="27"/>
  <c r="M55" i="27"/>
  <c r="W54" i="27"/>
  <c r="W56" i="27" s="1"/>
  <c r="O54" i="27"/>
  <c r="O56" i="27" s="1"/>
  <c r="K51" i="27"/>
  <c r="S49" i="27"/>
  <c r="AD47" i="27"/>
  <c r="V47" i="27"/>
  <c r="N47" i="27"/>
  <c r="Z45" i="27"/>
  <c r="R45" i="27"/>
  <c r="J45" i="27"/>
  <c r="AD41" i="27"/>
  <c r="V41" i="27"/>
  <c r="N41" i="27"/>
  <c r="Z40" i="27"/>
  <c r="Q40" i="27"/>
  <c r="I40" i="27"/>
  <c r="AB39" i="27"/>
  <c r="T39" i="27"/>
  <c r="L39" i="27"/>
  <c r="X35" i="27"/>
  <c r="P35" i="27"/>
  <c r="H35" i="27"/>
  <c r="AB34" i="27"/>
  <c r="L34" i="27"/>
  <c r="AE33" i="27"/>
  <c r="W33" i="27"/>
  <c r="O33" i="27"/>
  <c r="O36" i="27" s="1"/>
  <c r="W32" i="27"/>
  <c r="W28" i="27"/>
  <c r="O28" i="27"/>
  <c r="R27" i="27"/>
  <c r="R29" i="27" s="1"/>
  <c r="J27" i="27"/>
  <c r="J29" i="27" s="1"/>
  <c r="K24" i="25"/>
  <c r="AD23" i="27"/>
  <c r="V23" i="27"/>
  <c r="N23" i="27"/>
  <c r="Z22" i="27"/>
  <c r="R22" i="27"/>
  <c r="J22" i="27"/>
  <c r="AC21" i="27"/>
  <c r="U21" i="27"/>
  <c r="U24" i="27" s="1"/>
  <c r="M21" i="27"/>
  <c r="E21" i="27" s="1"/>
  <c r="G21" i="39" s="1"/>
  <c r="J20" i="27"/>
  <c r="AC19" i="27"/>
  <c r="M19" i="27"/>
  <c r="Y15" i="27"/>
  <c r="U14" i="27"/>
  <c r="M14" i="27"/>
  <c r="P13" i="27"/>
  <c r="H13" i="27"/>
  <c r="D13" i="27" s="1"/>
  <c r="F13" i="39" s="1"/>
  <c r="AB12" i="27"/>
  <c r="L12" i="27"/>
  <c r="AD11" i="27"/>
  <c r="J11" i="27"/>
  <c r="I89" i="15"/>
  <c r="H81" i="15"/>
  <c r="H78" i="15"/>
  <c r="H75" i="15"/>
  <c r="H61" i="13"/>
  <c r="H49" i="15"/>
  <c r="I39" i="15"/>
  <c r="M39" i="13"/>
  <c r="E39" i="37" s="1"/>
  <c r="I35" i="15"/>
  <c r="H32" i="15"/>
  <c r="L32" i="13"/>
  <c r="I27" i="15"/>
  <c r="M27" i="13"/>
  <c r="L22" i="13"/>
  <c r="D22" i="37" s="1"/>
  <c r="D24" i="37" s="1"/>
  <c r="H22" i="15"/>
  <c r="E88" i="27"/>
  <c r="G88" i="39" s="1"/>
  <c r="I88" i="39" s="1"/>
  <c r="M78" i="27"/>
  <c r="L70" i="27"/>
  <c r="M65" i="27"/>
  <c r="E41" i="27"/>
  <c r="G41" i="39" s="1"/>
  <c r="G36" i="27"/>
  <c r="I60" i="15"/>
  <c r="G56" i="46"/>
  <c r="AC29" i="46"/>
  <c r="H36" i="45"/>
  <c r="F89" i="37"/>
  <c r="AA81" i="27"/>
  <c r="S81" i="27"/>
  <c r="K81" i="27"/>
  <c r="E81" i="27" s="1"/>
  <c r="G81" i="39" s="1"/>
  <c r="AE80" i="27"/>
  <c r="W80" i="27"/>
  <c r="O80" i="27"/>
  <c r="AA79" i="27"/>
  <c r="S79" i="27"/>
  <c r="K79" i="27"/>
  <c r="AE78" i="27"/>
  <c r="W78" i="27"/>
  <c r="O78" i="27"/>
  <c r="AA77" i="27"/>
  <c r="S77" i="27"/>
  <c r="K77" i="27"/>
  <c r="AE76" i="27"/>
  <c r="W76" i="27"/>
  <c r="O76" i="27"/>
  <c r="AA75" i="27"/>
  <c r="S75" i="27"/>
  <c r="K75" i="27"/>
  <c r="AE74" i="27"/>
  <c r="W74" i="27"/>
  <c r="O74" i="27"/>
  <c r="Z73" i="27"/>
  <c r="R73" i="27"/>
  <c r="J73" i="27"/>
  <c r="D73" i="27" s="1"/>
  <c r="F73" i="39" s="1"/>
  <c r="AE71" i="27"/>
  <c r="W71" i="27"/>
  <c r="O71" i="27"/>
  <c r="AA70" i="27"/>
  <c r="S70" i="27"/>
  <c r="S72" i="27" s="1"/>
  <c r="K70" i="27"/>
  <c r="K72" i="27" s="1"/>
  <c r="L66" i="25"/>
  <c r="AE65" i="27"/>
  <c r="W65" i="27"/>
  <c r="O65" i="27"/>
  <c r="AA64" i="27"/>
  <c r="S64" i="27"/>
  <c r="K64" i="27"/>
  <c r="K66" i="27" s="1"/>
  <c r="M61" i="25"/>
  <c r="D59" i="25"/>
  <c r="W56" i="25"/>
  <c r="M56" i="25"/>
  <c r="T55" i="27"/>
  <c r="L55" i="27"/>
  <c r="V54" i="27"/>
  <c r="V56" i="25"/>
  <c r="N54" i="27"/>
  <c r="N56" i="25"/>
  <c r="Z51" i="27"/>
  <c r="AB49" i="27"/>
  <c r="R49" i="27"/>
  <c r="J49" i="27"/>
  <c r="M47" i="27"/>
  <c r="E47" i="25"/>
  <c r="G47" i="37" s="1"/>
  <c r="I47" i="37" s="1"/>
  <c r="Y45" i="27"/>
  <c r="Q45" i="27"/>
  <c r="I45" i="27"/>
  <c r="AC41" i="27"/>
  <c r="AC42" i="25"/>
  <c r="AC43" i="25" s="1"/>
  <c r="M41" i="27"/>
  <c r="X40" i="27"/>
  <c r="P40" i="27"/>
  <c r="P42" i="27" s="1"/>
  <c r="P43" i="27" s="1"/>
  <c r="S39" i="27"/>
  <c r="K39" i="27"/>
  <c r="AE35" i="27"/>
  <c r="O35" i="27"/>
  <c r="AA34" i="27"/>
  <c r="K34" i="27"/>
  <c r="E34" i="27" s="1"/>
  <c r="G34" i="39" s="1"/>
  <c r="AD33" i="27"/>
  <c r="V33" i="27"/>
  <c r="N33" i="27"/>
  <c r="V32" i="27"/>
  <c r="V28" i="27"/>
  <c r="N28" i="27"/>
  <c r="D28" i="25"/>
  <c r="F28" i="37" s="1"/>
  <c r="H28" i="37" s="1"/>
  <c r="Y27" i="27"/>
  <c r="Y29" i="27" s="1"/>
  <c r="I27" i="27"/>
  <c r="I29" i="27" s="1"/>
  <c r="AC24" i="25"/>
  <c r="AC23" i="27"/>
  <c r="M23" i="27"/>
  <c r="Y22" i="27"/>
  <c r="Q22" i="27"/>
  <c r="AB21" i="27"/>
  <c r="T21" i="27"/>
  <c r="L21" i="27"/>
  <c r="X20" i="27"/>
  <c r="I20" i="27"/>
  <c r="E20" i="27" s="1"/>
  <c r="G20" i="39" s="1"/>
  <c r="I20" i="39" s="1"/>
  <c r="AB19" i="27"/>
  <c r="AB24" i="25"/>
  <c r="AB82" i="25" s="1"/>
  <c r="T19" i="27"/>
  <c r="T24" i="25"/>
  <c r="L24" i="25"/>
  <c r="D19" i="25"/>
  <c r="X15" i="27"/>
  <c r="P15" i="27"/>
  <c r="AB14" i="27"/>
  <c r="T14" i="27"/>
  <c r="L14" i="27"/>
  <c r="AE13" i="27"/>
  <c r="O13" i="27"/>
  <c r="AA12" i="27"/>
  <c r="AA16" i="27" s="1"/>
  <c r="S12" i="27"/>
  <c r="J12" i="27"/>
  <c r="D12" i="27" s="1"/>
  <c r="F12" i="39" s="1"/>
  <c r="AC11" i="27"/>
  <c r="AC16" i="25"/>
  <c r="I11" i="27"/>
  <c r="H86" i="15"/>
  <c r="F86" i="13"/>
  <c r="F81" i="13"/>
  <c r="I79" i="15"/>
  <c r="M79" i="13"/>
  <c r="E79" i="37" s="1"/>
  <c r="L65" i="13"/>
  <c r="D65" i="37" s="1"/>
  <c r="H65" i="37" s="1"/>
  <c r="H64" i="15"/>
  <c r="H39" i="15"/>
  <c r="F39" i="13"/>
  <c r="H35" i="15"/>
  <c r="F32" i="13"/>
  <c r="F22" i="13"/>
  <c r="D81" i="27"/>
  <c r="F81" i="39" s="1"/>
  <c r="U59" i="27"/>
  <c r="U61" i="27" s="1"/>
  <c r="G29" i="27"/>
  <c r="M13" i="27"/>
  <c r="W91" i="7"/>
  <c r="G91" i="7"/>
  <c r="G16" i="46"/>
  <c r="G82" i="46" s="1"/>
  <c r="G91" i="46" s="1"/>
  <c r="Z81" i="27"/>
  <c r="R81" i="27"/>
  <c r="J81" i="27"/>
  <c r="AD80" i="27"/>
  <c r="V80" i="27"/>
  <c r="N80" i="27"/>
  <c r="Z79" i="27"/>
  <c r="R79" i="27"/>
  <c r="J79" i="27"/>
  <c r="AD78" i="27"/>
  <c r="V78" i="27"/>
  <c r="N78" i="27"/>
  <c r="Z77" i="27"/>
  <c r="R77" i="27"/>
  <c r="J77" i="27"/>
  <c r="D77" i="27" s="1"/>
  <c r="F77" i="39" s="1"/>
  <c r="AD76" i="27"/>
  <c r="V76" i="27"/>
  <c r="N76" i="27"/>
  <c r="Z75" i="27"/>
  <c r="R75" i="27"/>
  <c r="J75" i="27"/>
  <c r="AD74" i="27"/>
  <c r="V74" i="27"/>
  <c r="N74" i="27"/>
  <c r="K72" i="25"/>
  <c r="AD71" i="27"/>
  <c r="V71" i="27"/>
  <c r="N71" i="27"/>
  <c r="Z70" i="27"/>
  <c r="Z72" i="27" s="1"/>
  <c r="R70" i="27"/>
  <c r="R72" i="27" s="1"/>
  <c r="J70" i="27"/>
  <c r="J72" i="27" s="1"/>
  <c r="T66" i="25"/>
  <c r="K66" i="25"/>
  <c r="AD65" i="27"/>
  <c r="AD66" i="25"/>
  <c r="V65" i="27"/>
  <c r="V66" i="25"/>
  <c r="N65" i="27"/>
  <c r="N66" i="25"/>
  <c r="Z64" i="27"/>
  <c r="Z66" i="27" s="1"/>
  <c r="R64" i="27"/>
  <c r="J64" i="27"/>
  <c r="J66" i="27" s="1"/>
  <c r="AE60" i="27"/>
  <c r="W60" i="27"/>
  <c r="O60" i="27"/>
  <c r="AA59" i="27"/>
  <c r="S59" i="27"/>
  <c r="S61" i="27" s="1"/>
  <c r="K59" i="27"/>
  <c r="K61" i="27" s="1"/>
  <c r="U56" i="25"/>
  <c r="AE55" i="27"/>
  <c r="S55" i="27"/>
  <c r="K55" i="27"/>
  <c r="AE54" i="27"/>
  <c r="U54" i="27"/>
  <c r="U56" i="27" s="1"/>
  <c r="M54" i="27"/>
  <c r="M56" i="27" s="1"/>
  <c r="Y51" i="27"/>
  <c r="E51" i="27" s="1"/>
  <c r="G51" i="39" s="1"/>
  <c r="Q51" i="27"/>
  <c r="AA49" i="27"/>
  <c r="Q49" i="27"/>
  <c r="I49" i="27"/>
  <c r="AB47" i="27"/>
  <c r="X45" i="27"/>
  <c r="P45" i="27"/>
  <c r="H45" i="27"/>
  <c r="D45" i="27" s="1"/>
  <c r="F45" i="39" s="1"/>
  <c r="I42" i="25"/>
  <c r="I43" i="25" s="1"/>
  <c r="AB41" i="27"/>
  <c r="T41" i="27"/>
  <c r="T42" i="27" s="1"/>
  <c r="T43" i="27" s="1"/>
  <c r="W40" i="27"/>
  <c r="W42" i="27" s="1"/>
  <c r="O40" i="27"/>
  <c r="R39" i="27"/>
  <c r="J39" i="27"/>
  <c r="AD36" i="25"/>
  <c r="AD35" i="27"/>
  <c r="V35" i="27"/>
  <c r="N35" i="27"/>
  <c r="Z34" i="27"/>
  <c r="R34" i="27"/>
  <c r="J34" i="27"/>
  <c r="AC33" i="27"/>
  <c r="U33" i="27"/>
  <c r="E33" i="27" s="1"/>
  <c r="G33" i="39" s="1"/>
  <c r="M33" i="27"/>
  <c r="U32" i="27"/>
  <c r="M32" i="27"/>
  <c r="M36" i="27" s="1"/>
  <c r="M28" i="27"/>
  <c r="X27" i="27"/>
  <c r="X29" i="27" s="1"/>
  <c r="H27" i="27"/>
  <c r="AB23" i="27"/>
  <c r="T23" i="27"/>
  <c r="X22" i="27"/>
  <c r="P22" i="27"/>
  <c r="D22" i="27" s="1"/>
  <c r="F22" i="39" s="1"/>
  <c r="S21" i="27"/>
  <c r="K21" i="27"/>
  <c r="AE20" i="27"/>
  <c r="V20" i="27"/>
  <c r="H20" i="27"/>
  <c r="AA24" i="27"/>
  <c r="S19" i="27"/>
  <c r="AE16" i="25"/>
  <c r="L16" i="25"/>
  <c r="AE15" i="27"/>
  <c r="W15" i="27"/>
  <c r="O15" i="27"/>
  <c r="S14" i="27"/>
  <c r="K14" i="27"/>
  <c r="AD13" i="27"/>
  <c r="V13" i="27"/>
  <c r="N13" i="27"/>
  <c r="Z12" i="27"/>
  <c r="Z16" i="27" s="1"/>
  <c r="R12" i="27"/>
  <c r="P11" i="27"/>
  <c r="G86" i="13"/>
  <c r="H79" i="15"/>
  <c r="F78" i="13"/>
  <c r="I76" i="15"/>
  <c r="F75" i="13"/>
  <c r="I65" i="15"/>
  <c r="M65" i="13"/>
  <c r="E65" i="37" s="1"/>
  <c r="I65" i="37" s="1"/>
  <c r="I59" i="15"/>
  <c r="I61" i="13"/>
  <c r="H56" i="13"/>
  <c r="M56" i="13"/>
  <c r="I51" i="15"/>
  <c r="G51" i="13"/>
  <c r="F49" i="13"/>
  <c r="I45" i="15"/>
  <c r="G39" i="13"/>
  <c r="G35" i="13"/>
  <c r="G27" i="13"/>
  <c r="G29" i="13" s="1"/>
  <c r="F15" i="13"/>
  <c r="H15" i="15"/>
  <c r="M76" i="27"/>
  <c r="G16" i="27"/>
  <c r="H27" i="15"/>
  <c r="E24" i="30"/>
  <c r="G19" i="42"/>
  <c r="D35" i="5"/>
  <c r="AC71" i="27"/>
  <c r="U71" i="27"/>
  <c r="M71" i="27"/>
  <c r="E71" i="25"/>
  <c r="G71" i="37" s="1"/>
  <c r="I71" i="37" s="1"/>
  <c r="Y70" i="27"/>
  <c r="Y72" i="27" s="1"/>
  <c r="Q70" i="27"/>
  <c r="Q72" i="27" s="1"/>
  <c r="I70" i="27"/>
  <c r="AD60" i="27"/>
  <c r="V60" i="27"/>
  <c r="N60" i="27"/>
  <c r="Z59" i="27"/>
  <c r="R59" i="27"/>
  <c r="R61" i="27" s="1"/>
  <c r="J59" i="27"/>
  <c r="J61" i="27" s="1"/>
  <c r="AD55" i="27"/>
  <c r="R55" i="27"/>
  <c r="J55" i="27"/>
  <c r="AD54" i="27"/>
  <c r="AD56" i="27" s="1"/>
  <c r="AD56" i="25"/>
  <c r="T54" i="27"/>
  <c r="T56" i="27" s="1"/>
  <c r="L54" i="27"/>
  <c r="L56" i="27" s="1"/>
  <c r="D54" i="25"/>
  <c r="X51" i="27"/>
  <c r="P51" i="27"/>
  <c r="H51" i="27"/>
  <c r="Z49" i="27"/>
  <c r="P49" i="27"/>
  <c r="H49" i="27"/>
  <c r="D49" i="27" s="1"/>
  <c r="F49" i="39" s="1"/>
  <c r="AA47" i="27"/>
  <c r="S47" i="27"/>
  <c r="O45" i="27"/>
  <c r="E45" i="25"/>
  <c r="G45" i="37" s="1"/>
  <c r="I45" i="37" s="1"/>
  <c r="AA41" i="27"/>
  <c r="S41" i="27"/>
  <c r="V40" i="27"/>
  <c r="N40" i="27"/>
  <c r="N42" i="27" s="1"/>
  <c r="N43" i="27" s="1"/>
  <c r="D40" i="25"/>
  <c r="Y39" i="27"/>
  <c r="I39" i="27"/>
  <c r="E39" i="27" s="1"/>
  <c r="G39" i="39" s="1"/>
  <c r="AC35" i="27"/>
  <c r="U35" i="27"/>
  <c r="M35" i="27"/>
  <c r="E35" i="27" s="1"/>
  <c r="G35" i="39" s="1"/>
  <c r="E35" i="25"/>
  <c r="G35" i="37" s="1"/>
  <c r="I35" i="37" s="1"/>
  <c r="Y34" i="27"/>
  <c r="Q34" i="27"/>
  <c r="AB33" i="27"/>
  <c r="AB36" i="25"/>
  <c r="T33" i="27"/>
  <c r="L33" i="27"/>
  <c r="D33" i="25"/>
  <c r="F33" i="37" s="1"/>
  <c r="H33" i="37" s="1"/>
  <c r="T32" i="27"/>
  <c r="T36" i="25"/>
  <c r="L32" i="27"/>
  <c r="L36" i="27" s="1"/>
  <c r="L36" i="25"/>
  <c r="D32" i="25"/>
  <c r="L28" i="27"/>
  <c r="AE27" i="27"/>
  <c r="AE29" i="27" s="1"/>
  <c r="W27" i="27"/>
  <c r="W29" i="27" s="1"/>
  <c r="O27" i="27"/>
  <c r="O29" i="27" s="1"/>
  <c r="AA23" i="27"/>
  <c r="S23" i="27"/>
  <c r="K23" i="27"/>
  <c r="E23" i="27" s="1"/>
  <c r="G23" i="39" s="1"/>
  <c r="AE22" i="27"/>
  <c r="W22" i="27"/>
  <c r="O22" i="27"/>
  <c r="R21" i="27"/>
  <c r="J21" i="27"/>
  <c r="AD20" i="27"/>
  <c r="T20" i="27"/>
  <c r="E20" i="25"/>
  <c r="G20" i="37" s="1"/>
  <c r="I20" i="37" s="1"/>
  <c r="Z19" i="27"/>
  <c r="R19" i="27"/>
  <c r="R24" i="27" s="1"/>
  <c r="J19" i="27"/>
  <c r="AD15" i="27"/>
  <c r="V15" i="27"/>
  <c r="N15" i="27"/>
  <c r="Z14" i="27"/>
  <c r="R14" i="27"/>
  <c r="J14" i="27"/>
  <c r="D14" i="27" s="1"/>
  <c r="F14" i="39" s="1"/>
  <c r="AC13" i="27"/>
  <c r="U13" i="27"/>
  <c r="Y12" i="27"/>
  <c r="Q12" i="27"/>
  <c r="H12" i="27"/>
  <c r="W11" i="27"/>
  <c r="W16" i="27" s="1"/>
  <c r="O11" i="27"/>
  <c r="O16" i="27" s="1"/>
  <c r="H76" i="15"/>
  <c r="I73" i="15"/>
  <c r="G73" i="13"/>
  <c r="H59" i="15"/>
  <c r="H51" i="15"/>
  <c r="H45" i="15"/>
  <c r="I40" i="15"/>
  <c r="I42" i="13"/>
  <c r="I43" i="13" s="1"/>
  <c r="H33" i="15"/>
  <c r="I28" i="15"/>
  <c r="I23" i="15"/>
  <c r="I21" i="15"/>
  <c r="M21" i="13"/>
  <c r="I24" i="13"/>
  <c r="H11" i="15"/>
  <c r="F11" i="13"/>
  <c r="F16" i="13" s="1"/>
  <c r="H16" i="13"/>
  <c r="G24" i="27"/>
  <c r="E12" i="27"/>
  <c r="G12" i="39" s="1"/>
  <c r="G36" i="30"/>
  <c r="E33" i="30"/>
  <c r="E64" i="42"/>
  <c r="M66" i="18"/>
  <c r="W650" i="44"/>
  <c r="Y91" i="31"/>
  <c r="I21" i="43"/>
  <c r="V55" i="27"/>
  <c r="N55" i="27"/>
  <c r="Z54" i="27"/>
  <c r="Q41" i="27"/>
  <c r="X33" i="27"/>
  <c r="X36" i="27" s="1"/>
  <c r="P32" i="27"/>
  <c r="I15" i="27"/>
  <c r="E15" i="27" s="1"/>
  <c r="G15" i="39" s="1"/>
  <c r="AC14" i="27"/>
  <c r="M12" i="27"/>
  <c r="I33" i="15"/>
  <c r="I15" i="15"/>
  <c r="I11" i="15"/>
  <c r="G42" i="27"/>
  <c r="G43" i="27" s="1"/>
  <c r="D89" i="7"/>
  <c r="I82" i="7"/>
  <c r="I91" i="7" s="1"/>
  <c r="E82" i="7"/>
  <c r="E91" i="7" s="1"/>
  <c r="E42" i="30"/>
  <c r="E43" i="30" s="1"/>
  <c r="G41" i="42"/>
  <c r="G64" i="18"/>
  <c r="G66" i="18" s="1"/>
  <c r="I66" i="18"/>
  <c r="F54" i="52"/>
  <c r="I32" i="43"/>
  <c r="G36" i="43"/>
  <c r="F75" i="18"/>
  <c r="L75" i="18"/>
  <c r="D75" i="42" s="1"/>
  <c r="M28" i="18"/>
  <c r="E28" i="42" s="1"/>
  <c r="G28" i="18"/>
  <c r="H66" i="53"/>
  <c r="F64" i="53"/>
  <c r="F66" i="53" s="1"/>
  <c r="L64" i="53"/>
  <c r="E19" i="54"/>
  <c r="O24" i="54"/>
  <c r="O82" i="54" s="1"/>
  <c r="M652" i="44" s="1"/>
  <c r="H15" i="52"/>
  <c r="I16" i="13"/>
  <c r="I12" i="15"/>
  <c r="E66" i="15"/>
  <c r="R82" i="7"/>
  <c r="R91" i="7" s="1"/>
  <c r="J91" i="7"/>
  <c r="AE82" i="7"/>
  <c r="AE91" i="7" s="1"/>
  <c r="O82" i="7"/>
  <c r="O91" i="7" s="1"/>
  <c r="H15" i="42"/>
  <c r="F72" i="30"/>
  <c r="D71" i="30"/>
  <c r="D20" i="54"/>
  <c r="F20" i="52" s="1"/>
  <c r="H20" i="52" s="1"/>
  <c r="F24" i="54"/>
  <c r="U82" i="54"/>
  <c r="S652" i="44" s="1"/>
  <c r="I28" i="43"/>
  <c r="G28" i="5"/>
  <c r="H20" i="15"/>
  <c r="H12" i="15"/>
  <c r="D86" i="27"/>
  <c r="Y82" i="7"/>
  <c r="Y91" i="7" s="1"/>
  <c r="P72" i="54"/>
  <c r="D70" i="54"/>
  <c r="I13" i="15"/>
  <c r="J72" i="15"/>
  <c r="H77" i="42"/>
  <c r="M78" i="18"/>
  <c r="E78" i="42" s="1"/>
  <c r="G78" i="18"/>
  <c r="I42" i="18"/>
  <c r="I43" i="18" s="1"/>
  <c r="M40" i="18"/>
  <c r="G40" i="18"/>
  <c r="G42" i="18" s="1"/>
  <c r="G43" i="18" s="1"/>
  <c r="D13" i="5"/>
  <c r="E80" i="54"/>
  <c r="G80" i="52" s="1"/>
  <c r="I80" i="52" s="1"/>
  <c r="E76" i="54"/>
  <c r="G76" i="52" s="1"/>
  <c r="I76" i="52" s="1"/>
  <c r="M55" i="19"/>
  <c r="I56" i="19"/>
  <c r="G55" i="19"/>
  <c r="G56" i="19" s="1"/>
  <c r="H21" i="15"/>
  <c r="F20" i="13"/>
  <c r="F12" i="13"/>
  <c r="F24" i="27"/>
  <c r="E36" i="15"/>
  <c r="J29" i="15"/>
  <c r="J82" i="15" s="1"/>
  <c r="J91" i="15" s="1"/>
  <c r="D16" i="7"/>
  <c r="D82" i="7" s="1"/>
  <c r="D91" i="7" s="1"/>
  <c r="I39" i="42"/>
  <c r="F29" i="42"/>
  <c r="S82" i="30"/>
  <c r="Q649" i="44" s="1"/>
  <c r="G23" i="53"/>
  <c r="M23" i="53"/>
  <c r="E23" i="52" s="1"/>
  <c r="E19" i="52"/>
  <c r="M24" i="53"/>
  <c r="X36" i="54"/>
  <c r="P36" i="54"/>
  <c r="D32" i="54"/>
  <c r="D16" i="15"/>
  <c r="D82" i="15" s="1"/>
  <c r="D91" i="15" s="1"/>
  <c r="E89" i="7"/>
  <c r="I28" i="42"/>
  <c r="E23" i="5"/>
  <c r="I20" i="42"/>
  <c r="I79" i="42"/>
  <c r="E72" i="30"/>
  <c r="E84" i="30" s="1"/>
  <c r="G70" i="42"/>
  <c r="F64" i="42"/>
  <c r="D66" i="30"/>
  <c r="AC82" i="30"/>
  <c r="AA649" i="44" s="1"/>
  <c r="M34" i="18"/>
  <c r="E34" i="42" s="1"/>
  <c r="E36" i="42" s="1"/>
  <c r="G34" i="18"/>
  <c r="F19" i="53"/>
  <c r="F24" i="53" s="1"/>
  <c r="H24" i="53"/>
  <c r="L19" i="53"/>
  <c r="AE43" i="54"/>
  <c r="AE82" i="54" s="1"/>
  <c r="AC652" i="44" s="1"/>
  <c r="I20" i="52"/>
  <c r="X82" i="7"/>
  <c r="X91" i="7" s="1"/>
  <c r="H82" i="7"/>
  <c r="H91" i="7" s="1"/>
  <c r="U82" i="7"/>
  <c r="U91" i="7" s="1"/>
  <c r="I74" i="42"/>
  <c r="H60" i="42"/>
  <c r="F61" i="42"/>
  <c r="H55" i="42"/>
  <c r="H51" i="42"/>
  <c r="I34" i="42"/>
  <c r="D42" i="30"/>
  <c r="D43" i="30" s="1"/>
  <c r="F40" i="42"/>
  <c r="D24" i="30"/>
  <c r="F19" i="42"/>
  <c r="P82" i="30"/>
  <c r="N649" i="44" s="1"/>
  <c r="H82" i="30"/>
  <c r="F649" i="44" s="1"/>
  <c r="M61" i="18"/>
  <c r="E59" i="42"/>
  <c r="I59" i="42" s="1"/>
  <c r="E66" i="52"/>
  <c r="E81" i="54"/>
  <c r="G81" i="52" s="1"/>
  <c r="I81" i="52" s="1"/>
  <c r="E77" i="54"/>
  <c r="G77" i="52" s="1"/>
  <c r="I77" i="52" s="1"/>
  <c r="E73" i="54"/>
  <c r="G73" i="52" s="1"/>
  <c r="I73" i="52" s="1"/>
  <c r="D61" i="54"/>
  <c r="F59" i="52"/>
  <c r="D55" i="54"/>
  <c r="F55" i="52" s="1"/>
  <c r="H55" i="52" s="1"/>
  <c r="F56" i="54"/>
  <c r="I45" i="52"/>
  <c r="E13" i="31"/>
  <c r="G13" i="43" s="1"/>
  <c r="G16" i="31"/>
  <c r="AB82" i="7"/>
  <c r="AB91" i="7" s="1"/>
  <c r="T82" i="7"/>
  <c r="T91" i="7" s="1"/>
  <c r="L82" i="7"/>
  <c r="L91" i="7" s="1"/>
  <c r="I81" i="42"/>
  <c r="H33" i="42"/>
  <c r="H21" i="42"/>
  <c r="W82" i="30"/>
  <c r="U649" i="44" s="1"/>
  <c r="H14" i="42"/>
  <c r="E16" i="30"/>
  <c r="G11" i="42"/>
  <c r="G49" i="18"/>
  <c r="I36" i="18"/>
  <c r="M21" i="18"/>
  <c r="G77" i="53"/>
  <c r="F33" i="53"/>
  <c r="F36" i="53" s="1"/>
  <c r="L33" i="53"/>
  <c r="D33" i="52" s="1"/>
  <c r="D36" i="52" s="1"/>
  <c r="H36" i="53"/>
  <c r="I65" i="52"/>
  <c r="D64" i="54"/>
  <c r="I60" i="52"/>
  <c r="D22" i="54"/>
  <c r="F22" i="52" s="1"/>
  <c r="H22" i="52" s="1"/>
  <c r="G11" i="24"/>
  <c r="G11" i="21"/>
  <c r="I16" i="6"/>
  <c r="I82" i="6" s="1"/>
  <c r="E11" i="6"/>
  <c r="E16" i="6" s="1"/>
  <c r="E82" i="6" s="1"/>
  <c r="H650" i="44"/>
  <c r="J91" i="31"/>
  <c r="H61" i="42"/>
  <c r="D43" i="42"/>
  <c r="F81" i="5"/>
  <c r="H81" i="5" s="1"/>
  <c r="H73" i="42"/>
  <c r="AA82" i="30"/>
  <c r="Y649" i="44" s="1"/>
  <c r="K82" i="30"/>
  <c r="I649" i="44" s="1"/>
  <c r="M29" i="18"/>
  <c r="D19" i="42"/>
  <c r="L24" i="18"/>
  <c r="I23" i="52"/>
  <c r="M60" i="53"/>
  <c r="E60" i="52" s="1"/>
  <c r="I61" i="53"/>
  <c r="M56" i="53"/>
  <c r="E54" i="52"/>
  <c r="E56" i="52" s="1"/>
  <c r="E39" i="54"/>
  <c r="G39" i="52" s="1"/>
  <c r="I39" i="52" s="1"/>
  <c r="G32" i="52"/>
  <c r="E36" i="54"/>
  <c r="G27" i="52"/>
  <c r="E66" i="31"/>
  <c r="G64" i="43"/>
  <c r="D59" i="31"/>
  <c r="F61" i="31"/>
  <c r="F54" i="43"/>
  <c r="AD82" i="7"/>
  <c r="AD91" i="7" s="1"/>
  <c r="Z82" i="7"/>
  <c r="Z91" i="7" s="1"/>
  <c r="I76" i="42"/>
  <c r="H56" i="42"/>
  <c r="I78" i="42"/>
  <c r="I75" i="42"/>
  <c r="G65" i="42"/>
  <c r="E66" i="30"/>
  <c r="G60" i="42"/>
  <c r="E61" i="30"/>
  <c r="I49" i="42"/>
  <c r="I45" i="42"/>
  <c r="G43" i="30"/>
  <c r="F32" i="42"/>
  <c r="D36" i="30"/>
  <c r="G27" i="42"/>
  <c r="E29" i="30"/>
  <c r="M82" i="30"/>
  <c r="K649" i="44" s="1"/>
  <c r="I15" i="42"/>
  <c r="D16" i="30"/>
  <c r="D82" i="30" s="1"/>
  <c r="F11" i="42"/>
  <c r="D33" i="42"/>
  <c r="D36" i="42" s="1"/>
  <c r="L12" i="18"/>
  <c r="F12" i="18"/>
  <c r="H16" i="18"/>
  <c r="H82" i="18" s="1"/>
  <c r="M66" i="53"/>
  <c r="M32" i="53"/>
  <c r="G32" i="53"/>
  <c r="G36" i="53" s="1"/>
  <c r="H65" i="52"/>
  <c r="E28" i="54"/>
  <c r="G28" i="52" s="1"/>
  <c r="I28" i="52" s="1"/>
  <c r="D89" i="15"/>
  <c r="E29" i="15"/>
  <c r="E82" i="15" s="1"/>
  <c r="E91" i="15" s="1"/>
  <c r="K24" i="15"/>
  <c r="K82" i="15" s="1"/>
  <c r="K91" i="15" s="1"/>
  <c r="D42" i="7"/>
  <c r="D43" i="7" s="1"/>
  <c r="Q82" i="7"/>
  <c r="Q91" i="7" s="1"/>
  <c r="Y82" i="30"/>
  <c r="W649" i="44" s="1"/>
  <c r="Q82" i="30"/>
  <c r="O649" i="44" s="1"/>
  <c r="I82" i="30"/>
  <c r="G649" i="44" s="1"/>
  <c r="AB82" i="30"/>
  <c r="Z649" i="44" s="1"/>
  <c r="H13" i="42"/>
  <c r="F81" i="18"/>
  <c r="F70" i="18"/>
  <c r="F72" i="18" s="1"/>
  <c r="L70" i="18"/>
  <c r="H72" i="18"/>
  <c r="K82" i="18"/>
  <c r="F14" i="18"/>
  <c r="L14" i="18"/>
  <c r="D14" i="42" s="1"/>
  <c r="E11" i="42"/>
  <c r="M16" i="18"/>
  <c r="G60" i="53"/>
  <c r="G61" i="53" s="1"/>
  <c r="F66" i="54"/>
  <c r="I34" i="52"/>
  <c r="H80" i="42"/>
  <c r="G66" i="30"/>
  <c r="G82" i="30" s="1"/>
  <c r="G81" i="18"/>
  <c r="L64" i="18"/>
  <c r="F60" i="18"/>
  <c r="F61" i="18" s="1"/>
  <c r="H36" i="18"/>
  <c r="L34" i="18"/>
  <c r="D34" i="42" s="1"/>
  <c r="G12" i="18"/>
  <c r="G16" i="18" s="1"/>
  <c r="G81" i="53"/>
  <c r="I66" i="53"/>
  <c r="G64" i="53"/>
  <c r="G66" i="53" s="1"/>
  <c r="G41" i="53"/>
  <c r="G42" i="53" s="1"/>
  <c r="G43" i="53" s="1"/>
  <c r="F23" i="53"/>
  <c r="L23" i="53"/>
  <c r="D23" i="52" s="1"/>
  <c r="G19" i="53"/>
  <c r="G24" i="53" s="1"/>
  <c r="I24" i="53"/>
  <c r="D80" i="54"/>
  <c r="F80" i="52" s="1"/>
  <c r="H80" i="52" s="1"/>
  <c r="D76" i="54"/>
  <c r="F76" i="52" s="1"/>
  <c r="H76" i="52" s="1"/>
  <c r="E51" i="54"/>
  <c r="G51" i="52" s="1"/>
  <c r="I51" i="52" s="1"/>
  <c r="W43" i="54"/>
  <c r="D21" i="54"/>
  <c r="F21" i="52" s="1"/>
  <c r="H21" i="52" s="1"/>
  <c r="T82" i="54"/>
  <c r="R652" i="44" s="1"/>
  <c r="F89" i="31"/>
  <c r="D86" i="31"/>
  <c r="Q29" i="31"/>
  <c r="E27" i="31"/>
  <c r="L75" i="19"/>
  <c r="D75" i="43" s="1"/>
  <c r="H75" i="43" s="1"/>
  <c r="F75" i="19"/>
  <c r="G72" i="19"/>
  <c r="G70" i="35"/>
  <c r="D32" i="23"/>
  <c r="AD82" i="23"/>
  <c r="AB641" i="44" s="1"/>
  <c r="L47" i="11"/>
  <c r="D47" i="35" s="1"/>
  <c r="H47" i="35" s="1"/>
  <c r="F47" i="11"/>
  <c r="E24" i="7"/>
  <c r="M80" i="18"/>
  <c r="E80" i="42" s="1"/>
  <c r="M65" i="18"/>
  <c r="E65" i="42" s="1"/>
  <c r="M35" i="18"/>
  <c r="E35" i="42" s="1"/>
  <c r="E35" i="5" s="1"/>
  <c r="I29" i="18"/>
  <c r="I56" i="53"/>
  <c r="G54" i="53"/>
  <c r="G56" i="53" s="1"/>
  <c r="G11" i="53"/>
  <c r="G16" i="53" s="1"/>
  <c r="I16" i="53"/>
  <c r="D81" i="54"/>
  <c r="F81" i="52" s="1"/>
  <c r="H81" i="52" s="1"/>
  <c r="D77" i="54"/>
  <c r="F77" i="52" s="1"/>
  <c r="H77" i="52" s="1"/>
  <c r="D73" i="54"/>
  <c r="F73" i="52" s="1"/>
  <c r="H73" i="52" s="1"/>
  <c r="P61" i="54"/>
  <c r="E55" i="54"/>
  <c r="G55" i="52" s="1"/>
  <c r="I55" i="52" s="1"/>
  <c r="D23" i="54"/>
  <c r="F23" i="52" s="1"/>
  <c r="H23" i="52" s="1"/>
  <c r="E60" i="31"/>
  <c r="G60" i="43" s="1"/>
  <c r="I60" i="43" s="1"/>
  <c r="G61" i="31"/>
  <c r="E49" i="31"/>
  <c r="G49" i="43" s="1"/>
  <c r="I49" i="43" s="1"/>
  <c r="E36" i="31"/>
  <c r="F72" i="19"/>
  <c r="H80" i="33"/>
  <c r="G42" i="42"/>
  <c r="G43" i="42" s="1"/>
  <c r="AD82" i="30"/>
  <c r="AB649" i="44" s="1"/>
  <c r="V82" i="30"/>
  <c r="T649" i="44" s="1"/>
  <c r="N82" i="30"/>
  <c r="L649" i="44" s="1"/>
  <c r="F82" i="30"/>
  <c r="M77" i="18"/>
  <c r="E77" i="42" s="1"/>
  <c r="E77" i="5" s="1"/>
  <c r="L65" i="18"/>
  <c r="D65" i="42" s="1"/>
  <c r="I56" i="18"/>
  <c r="L47" i="18"/>
  <c r="D47" i="42" s="1"/>
  <c r="L39" i="18"/>
  <c r="D39" i="42" s="1"/>
  <c r="G36" i="18"/>
  <c r="H29" i="18"/>
  <c r="L27" i="18"/>
  <c r="I24" i="18"/>
  <c r="I82" i="18" s="1"/>
  <c r="J82" i="18"/>
  <c r="D59" i="52"/>
  <c r="D61" i="52" s="1"/>
  <c r="D27" i="52"/>
  <c r="D29" i="52" s="1"/>
  <c r="M78" i="53"/>
  <c r="E78" i="52" s="1"/>
  <c r="M61" i="53"/>
  <c r="E59" i="52"/>
  <c r="E61" i="52" s="1"/>
  <c r="H56" i="53"/>
  <c r="F54" i="53"/>
  <c r="F56" i="53" s="1"/>
  <c r="L54" i="53"/>
  <c r="I42" i="53"/>
  <c r="I43" i="53" s="1"/>
  <c r="L42" i="53"/>
  <c r="L43" i="53" s="1"/>
  <c r="D40" i="52"/>
  <c r="D42" i="52" s="1"/>
  <c r="D43" i="52" s="1"/>
  <c r="D12" i="52"/>
  <c r="L16" i="53"/>
  <c r="E78" i="54"/>
  <c r="G78" i="52" s="1"/>
  <c r="I78" i="52" s="1"/>
  <c r="E74" i="54"/>
  <c r="G74" i="52" s="1"/>
  <c r="I74" i="52" s="1"/>
  <c r="V72" i="54"/>
  <c r="N72" i="54"/>
  <c r="Q61" i="54"/>
  <c r="E59" i="54"/>
  <c r="D49" i="54"/>
  <c r="F49" i="52" s="1"/>
  <c r="H49" i="52" s="1"/>
  <c r="D40" i="54"/>
  <c r="J82" i="54"/>
  <c r="H652" i="44" s="1"/>
  <c r="AB29" i="54"/>
  <c r="AB82" i="54" s="1"/>
  <c r="Z652" i="44" s="1"/>
  <c r="T29" i="54"/>
  <c r="D27" i="54"/>
  <c r="L29" i="54"/>
  <c r="L82" i="54" s="1"/>
  <c r="J652" i="44" s="1"/>
  <c r="P16" i="54"/>
  <c r="S16" i="54"/>
  <c r="E13" i="54"/>
  <c r="G13" i="52" s="1"/>
  <c r="I13" i="52" s="1"/>
  <c r="Y82" i="54"/>
  <c r="W652" i="44" s="1"/>
  <c r="E11" i="54"/>
  <c r="U82" i="6"/>
  <c r="D16" i="6"/>
  <c r="D82" i="6" s="1"/>
  <c r="D55" i="43"/>
  <c r="E78" i="31"/>
  <c r="G78" i="43" s="1"/>
  <c r="D70" i="31"/>
  <c r="F72" i="31"/>
  <c r="I65" i="43"/>
  <c r="AE82" i="31"/>
  <c r="E14" i="31"/>
  <c r="G14" i="43" s="1"/>
  <c r="I14" i="43" s="1"/>
  <c r="E64" i="43"/>
  <c r="G61" i="19"/>
  <c r="F56" i="42"/>
  <c r="E70" i="52"/>
  <c r="E72" i="52" s="1"/>
  <c r="M72" i="53"/>
  <c r="F45" i="53"/>
  <c r="L45" i="53"/>
  <c r="D45" i="52" s="1"/>
  <c r="H45" i="52" s="1"/>
  <c r="D78" i="54"/>
  <c r="F78" i="52" s="1"/>
  <c r="D74" i="54"/>
  <c r="F74" i="52" s="1"/>
  <c r="E70" i="54"/>
  <c r="M72" i="54"/>
  <c r="M82" i="54" s="1"/>
  <c r="K652" i="44" s="1"/>
  <c r="X61" i="54"/>
  <c r="G43" i="54"/>
  <c r="G82" i="54" s="1"/>
  <c r="AC43" i="54"/>
  <c r="AC82" i="54" s="1"/>
  <c r="AA652" i="44" s="1"/>
  <c r="AA36" i="54"/>
  <c r="S36" i="54"/>
  <c r="D28" i="54"/>
  <c r="F28" i="52" s="1"/>
  <c r="H28" i="52" s="1"/>
  <c r="E71" i="31"/>
  <c r="G71" i="43" s="1"/>
  <c r="I71" i="43" s="1"/>
  <c r="G72" i="31"/>
  <c r="I39" i="43"/>
  <c r="D14" i="31"/>
  <c r="F14" i="43" s="1"/>
  <c r="F16" i="31"/>
  <c r="F82" i="31" s="1"/>
  <c r="F91" i="31" s="1"/>
  <c r="M40" i="19"/>
  <c r="I42" i="19"/>
  <c r="I43" i="19" s="1"/>
  <c r="G40" i="19"/>
  <c r="G42" i="19" s="1"/>
  <c r="G43" i="19" s="1"/>
  <c r="J82" i="19"/>
  <c r="J91" i="19" s="1"/>
  <c r="G74" i="24"/>
  <c r="G74" i="21"/>
  <c r="E74" i="21" s="1"/>
  <c r="G74" i="33" s="1"/>
  <c r="I74" i="33" s="1"/>
  <c r="E74" i="7"/>
  <c r="E94" i="7" s="1"/>
  <c r="E96" i="7" s="1"/>
  <c r="E101" i="7" s="1"/>
  <c r="H76" i="42"/>
  <c r="G72" i="30"/>
  <c r="F32" i="18"/>
  <c r="F36" i="18" s="1"/>
  <c r="F24" i="18"/>
  <c r="M14" i="18"/>
  <c r="E14" i="42" s="1"/>
  <c r="F78" i="53"/>
  <c r="L78" i="53"/>
  <c r="D78" i="52" s="1"/>
  <c r="L72" i="53"/>
  <c r="M33" i="53"/>
  <c r="E33" i="52" s="1"/>
  <c r="I33" i="52" s="1"/>
  <c r="M29" i="53"/>
  <c r="E27" i="52"/>
  <c r="E29" i="52" s="1"/>
  <c r="K82" i="53"/>
  <c r="E79" i="54"/>
  <c r="G79" i="52" s="1"/>
  <c r="I79" i="52" s="1"/>
  <c r="E75" i="54"/>
  <c r="G75" i="52" s="1"/>
  <c r="I75" i="52" s="1"/>
  <c r="E71" i="54"/>
  <c r="G71" i="52" s="1"/>
  <c r="I71" i="52" s="1"/>
  <c r="E54" i="54"/>
  <c r="Q24" i="54"/>
  <c r="Q82" i="54" s="1"/>
  <c r="O652" i="44" s="1"/>
  <c r="X16" i="54"/>
  <c r="D12" i="54"/>
  <c r="F12" i="52" s="1"/>
  <c r="H12" i="52" s="1"/>
  <c r="F16" i="54"/>
  <c r="AA82" i="6"/>
  <c r="Y82" i="6"/>
  <c r="E79" i="31"/>
  <c r="G79" i="43" s="1"/>
  <c r="I79" i="43" s="1"/>
  <c r="E75" i="31"/>
  <c r="G75" i="43" s="1"/>
  <c r="G75" i="5" s="1"/>
  <c r="AD82" i="31"/>
  <c r="I23" i="43"/>
  <c r="M21" i="19"/>
  <c r="E21" i="43" s="1"/>
  <c r="G21" i="19"/>
  <c r="G24" i="19" s="1"/>
  <c r="M15" i="19"/>
  <c r="E15" i="43" s="1"/>
  <c r="E15" i="5" s="1"/>
  <c r="G15" i="19"/>
  <c r="D61" i="42"/>
  <c r="H56" i="18"/>
  <c r="G47" i="18"/>
  <c r="L43" i="18"/>
  <c r="G39" i="18"/>
  <c r="G27" i="18"/>
  <c r="G29" i="18" s="1"/>
  <c r="F22" i="18"/>
  <c r="L22" i="18"/>
  <c r="D22" i="42" s="1"/>
  <c r="H22" i="42" s="1"/>
  <c r="L20" i="18"/>
  <c r="D20" i="42" s="1"/>
  <c r="F20" i="18"/>
  <c r="F16" i="18"/>
  <c r="D16" i="52"/>
  <c r="F74" i="53"/>
  <c r="L74" i="53"/>
  <c r="D74" i="52" s="1"/>
  <c r="D79" i="54"/>
  <c r="F79" i="52" s="1"/>
  <c r="H79" i="52" s="1"/>
  <c r="D75" i="54"/>
  <c r="F75" i="52" s="1"/>
  <c r="H75" i="52" s="1"/>
  <c r="G64" i="52"/>
  <c r="E66" i="54"/>
  <c r="R56" i="54"/>
  <c r="E40" i="54"/>
  <c r="Y36" i="54"/>
  <c r="Q36" i="54"/>
  <c r="Y29" i="54"/>
  <c r="E15" i="54"/>
  <c r="G15" i="52" s="1"/>
  <c r="I15" i="52" s="1"/>
  <c r="H14" i="52"/>
  <c r="V82" i="54"/>
  <c r="T652" i="44" s="1"/>
  <c r="N82" i="54"/>
  <c r="L652" i="44" s="1"/>
  <c r="G74" i="20"/>
  <c r="E74" i="20" s="1"/>
  <c r="G74" i="32" s="1"/>
  <c r="E74" i="6"/>
  <c r="D80" i="31"/>
  <c r="F80" i="43" s="1"/>
  <c r="H80" i="43" s="1"/>
  <c r="H78" i="43"/>
  <c r="F80" i="53"/>
  <c r="F76" i="53"/>
  <c r="F71" i="53"/>
  <c r="F72" i="53" s="1"/>
  <c r="F59" i="53"/>
  <c r="F61" i="53" s="1"/>
  <c r="F49" i="53"/>
  <c r="F40" i="53"/>
  <c r="F42" i="53" s="1"/>
  <c r="F43" i="53" s="1"/>
  <c r="F35" i="53"/>
  <c r="F28" i="53"/>
  <c r="F29" i="53" s="1"/>
  <c r="F21" i="53"/>
  <c r="F13" i="53"/>
  <c r="F16" i="53" s="1"/>
  <c r="AE72" i="54"/>
  <c r="W72" i="54"/>
  <c r="O72" i="54"/>
  <c r="X42" i="54"/>
  <c r="X43" i="54" s="1"/>
  <c r="P42" i="54"/>
  <c r="P43" i="54" s="1"/>
  <c r="Z36" i="54"/>
  <c r="R36" i="54"/>
  <c r="Z24" i="54"/>
  <c r="Z82" i="54" s="1"/>
  <c r="X652" i="44" s="1"/>
  <c r="D19" i="54"/>
  <c r="E14" i="54"/>
  <c r="G14" i="52" s="1"/>
  <c r="I14" i="52" s="1"/>
  <c r="E12" i="54"/>
  <c r="G12" i="52" s="1"/>
  <c r="I12" i="52" s="1"/>
  <c r="D77" i="31"/>
  <c r="F77" i="43" s="1"/>
  <c r="H77" i="43" s="1"/>
  <c r="D73" i="31"/>
  <c r="F73" i="43" s="1"/>
  <c r="H73" i="43" s="1"/>
  <c r="S72" i="31"/>
  <c r="E70" i="31"/>
  <c r="D64" i="31"/>
  <c r="S61" i="31"/>
  <c r="E59" i="31"/>
  <c r="E55" i="31"/>
  <c r="G55" i="43" s="1"/>
  <c r="E47" i="31"/>
  <c r="G47" i="43" s="1"/>
  <c r="R36" i="31"/>
  <c r="P29" i="31"/>
  <c r="P82" i="31" s="1"/>
  <c r="D27" i="31"/>
  <c r="E20" i="31"/>
  <c r="G20" i="43" s="1"/>
  <c r="G20" i="5" s="1"/>
  <c r="Q24" i="31"/>
  <c r="Q82" i="31" s="1"/>
  <c r="D13" i="31"/>
  <c r="F13" i="43" s="1"/>
  <c r="V82" i="31"/>
  <c r="D11" i="31"/>
  <c r="F40" i="19"/>
  <c r="F42" i="19" s="1"/>
  <c r="F43" i="19" s="1"/>
  <c r="L40" i="19"/>
  <c r="H42" i="19"/>
  <c r="H43" i="19" s="1"/>
  <c r="K82" i="19"/>
  <c r="K91" i="19" s="1"/>
  <c r="D66" i="35"/>
  <c r="W82" i="23"/>
  <c r="U641" i="44" s="1"/>
  <c r="G36" i="35"/>
  <c r="D16" i="23"/>
  <c r="F16" i="11"/>
  <c r="AE61" i="54"/>
  <c r="W61" i="54"/>
  <c r="W82" i="54" s="1"/>
  <c r="U652" i="44" s="1"/>
  <c r="O61" i="54"/>
  <c r="D51" i="54"/>
  <c r="F51" i="52" s="1"/>
  <c r="H51" i="52" s="1"/>
  <c r="AC16" i="6"/>
  <c r="AC82" i="6" s="1"/>
  <c r="M82" i="6"/>
  <c r="E89" i="31"/>
  <c r="G25" i="4" s="1"/>
  <c r="H25" i="4" s="1"/>
  <c r="E80" i="31"/>
  <c r="G80" i="43" s="1"/>
  <c r="E76" i="31"/>
  <c r="G76" i="43" s="1"/>
  <c r="D71" i="31"/>
  <c r="F71" i="43" s="1"/>
  <c r="W66" i="31"/>
  <c r="O66" i="31"/>
  <c r="O82" i="31" s="1"/>
  <c r="D60" i="31"/>
  <c r="F60" i="43" s="1"/>
  <c r="H60" i="43" s="1"/>
  <c r="D55" i="31"/>
  <c r="F55" i="43" s="1"/>
  <c r="D47" i="31"/>
  <c r="F47" i="43" s="1"/>
  <c r="W36" i="31"/>
  <c r="AC82" i="31"/>
  <c r="V24" i="31"/>
  <c r="N24" i="31"/>
  <c r="E19" i="31"/>
  <c r="E15" i="31"/>
  <c r="G15" i="43" s="1"/>
  <c r="S16" i="31"/>
  <c r="K82" i="31"/>
  <c r="I66" i="19"/>
  <c r="G64" i="19"/>
  <c r="G66" i="19" s="1"/>
  <c r="F21" i="19"/>
  <c r="F24" i="19" s="1"/>
  <c r="L21" i="19"/>
  <c r="D21" i="43" s="1"/>
  <c r="D21" i="5" s="1"/>
  <c r="L15" i="19"/>
  <c r="D15" i="43" s="1"/>
  <c r="H16" i="19"/>
  <c r="F15" i="19"/>
  <c r="G29" i="35"/>
  <c r="I27" i="35"/>
  <c r="I29" i="35" s="1"/>
  <c r="AE82" i="23"/>
  <c r="AC641" i="44" s="1"/>
  <c r="E42" i="23"/>
  <c r="E43" i="23" s="1"/>
  <c r="G40" i="35"/>
  <c r="AC39" i="24"/>
  <c r="AC43" i="21"/>
  <c r="U39" i="24"/>
  <c r="U43" i="21"/>
  <c r="M39" i="24"/>
  <c r="M43" i="21"/>
  <c r="E39" i="21"/>
  <c r="G39" i="33" s="1"/>
  <c r="I39" i="33" s="1"/>
  <c r="H16" i="53"/>
  <c r="G89" i="43"/>
  <c r="D81" i="31"/>
  <c r="F81" i="43" s="1"/>
  <c r="H81" i="43" s="1"/>
  <c r="E51" i="31"/>
  <c r="G51" i="43" s="1"/>
  <c r="Q42" i="31"/>
  <c r="Q43" i="31" s="1"/>
  <c r="E40" i="31"/>
  <c r="D35" i="31"/>
  <c r="F35" i="43" s="1"/>
  <c r="W24" i="31"/>
  <c r="U82" i="31"/>
  <c r="F19" i="43"/>
  <c r="X82" i="31"/>
  <c r="D15" i="31"/>
  <c r="F15" i="43" s="1"/>
  <c r="H15" i="43" s="1"/>
  <c r="R16" i="31"/>
  <c r="R82" i="31" s="1"/>
  <c r="I16" i="31"/>
  <c r="I82" i="31" s="1"/>
  <c r="E11" i="31"/>
  <c r="M86" i="19"/>
  <c r="I89" i="19"/>
  <c r="G86" i="19"/>
  <c r="G89" i="19" s="1"/>
  <c r="L78" i="19"/>
  <c r="D78" i="43" s="1"/>
  <c r="F78" i="19"/>
  <c r="M71" i="19"/>
  <c r="E71" i="43" s="1"/>
  <c r="G71" i="19"/>
  <c r="F36" i="19"/>
  <c r="M27" i="19"/>
  <c r="I29" i="19"/>
  <c r="G27" i="19"/>
  <c r="G29" i="19" s="1"/>
  <c r="F16" i="19"/>
  <c r="I65" i="35"/>
  <c r="I66" i="35" s="1"/>
  <c r="G66" i="35"/>
  <c r="I11" i="35"/>
  <c r="G16" i="35"/>
  <c r="F70" i="35"/>
  <c r="D72" i="23"/>
  <c r="K82" i="23"/>
  <c r="J42" i="23"/>
  <c r="J43" i="23" s="1"/>
  <c r="D41" i="23"/>
  <c r="F41" i="35" s="1"/>
  <c r="S82" i="23"/>
  <c r="Q641" i="44" s="1"/>
  <c r="AD29" i="54"/>
  <c r="AD82" i="54" s="1"/>
  <c r="AB652" i="44" s="1"/>
  <c r="V29" i="54"/>
  <c r="N29" i="54"/>
  <c r="D11" i="54"/>
  <c r="E74" i="31"/>
  <c r="G74" i="43" s="1"/>
  <c r="I74" i="43" s="1"/>
  <c r="G54" i="48"/>
  <c r="AA56" i="6"/>
  <c r="E43" i="6"/>
  <c r="X650" i="44"/>
  <c r="Z91" i="31"/>
  <c r="E81" i="31"/>
  <c r="G81" i="43" s="1"/>
  <c r="E77" i="31"/>
  <c r="G77" i="43" s="1"/>
  <c r="G77" i="5" s="1"/>
  <c r="I77" i="5" s="1"/>
  <c r="V56" i="31"/>
  <c r="N56" i="31"/>
  <c r="D49" i="31"/>
  <c r="F49" i="43" s="1"/>
  <c r="P42" i="31"/>
  <c r="P43" i="31" s="1"/>
  <c r="D40" i="31"/>
  <c r="AA82" i="31"/>
  <c r="D23" i="31"/>
  <c r="F23" i="43" s="1"/>
  <c r="E12" i="31"/>
  <c r="G12" i="43" s="1"/>
  <c r="F650" i="44"/>
  <c r="H91" i="31"/>
  <c r="F71" i="19"/>
  <c r="L71" i="19"/>
  <c r="L47" i="19"/>
  <c r="D47" i="43" s="1"/>
  <c r="F47" i="19"/>
  <c r="M33" i="19"/>
  <c r="G33" i="19"/>
  <c r="G36" i="19" s="1"/>
  <c r="H29" i="19"/>
  <c r="L27" i="19"/>
  <c r="F27" i="19"/>
  <c r="F29" i="19" s="1"/>
  <c r="M12" i="19"/>
  <c r="G12" i="19"/>
  <c r="G16" i="19" s="1"/>
  <c r="I16" i="19"/>
  <c r="V82" i="23"/>
  <c r="T641" i="44" s="1"/>
  <c r="D41" i="35"/>
  <c r="D42" i="35" s="1"/>
  <c r="D43" i="35" s="1"/>
  <c r="L42" i="11"/>
  <c r="L43" i="11" s="1"/>
  <c r="AA66" i="54"/>
  <c r="S66" i="54"/>
  <c r="K82" i="54"/>
  <c r="I652" i="44" s="1"/>
  <c r="AA16" i="54"/>
  <c r="R16" i="54"/>
  <c r="R82" i="54" s="1"/>
  <c r="P652" i="44" s="1"/>
  <c r="G54" i="24"/>
  <c r="G54" i="21"/>
  <c r="I56" i="6"/>
  <c r="E54" i="6"/>
  <c r="E56" i="6" s="1"/>
  <c r="D76" i="31"/>
  <c r="F76" i="43" s="1"/>
  <c r="H76" i="43" s="1"/>
  <c r="E54" i="31"/>
  <c r="M56" i="31"/>
  <c r="M82" i="31" s="1"/>
  <c r="E45" i="31"/>
  <c r="G45" i="43" s="1"/>
  <c r="I45" i="43" s="1"/>
  <c r="D12" i="31"/>
  <c r="F12" i="43" s="1"/>
  <c r="H12" i="43" s="1"/>
  <c r="M75" i="19"/>
  <c r="E75" i="43" s="1"/>
  <c r="G75" i="19"/>
  <c r="L33" i="19"/>
  <c r="D33" i="43" s="1"/>
  <c r="D36" i="43" s="1"/>
  <c r="H36" i="19"/>
  <c r="F33" i="19"/>
  <c r="H59" i="35"/>
  <c r="X54" i="24"/>
  <c r="X56" i="23"/>
  <c r="L29" i="23"/>
  <c r="D28" i="23"/>
  <c r="F28" i="35" s="1"/>
  <c r="H28" i="35" s="1"/>
  <c r="N82" i="23"/>
  <c r="L641" i="44" s="1"/>
  <c r="J65" i="24"/>
  <c r="J66" i="21"/>
  <c r="E11" i="20"/>
  <c r="G16" i="20"/>
  <c r="AB91" i="31"/>
  <c r="T24" i="31"/>
  <c r="T82" i="31" s="1"/>
  <c r="L24" i="31"/>
  <c r="N16" i="31"/>
  <c r="L76" i="19"/>
  <c r="D76" i="43" s="1"/>
  <c r="D76" i="5" s="1"/>
  <c r="M65" i="19"/>
  <c r="E65" i="43" s="1"/>
  <c r="M51" i="19"/>
  <c r="E51" i="43" s="1"/>
  <c r="L34" i="19"/>
  <c r="D34" i="43" s="1"/>
  <c r="L28" i="19"/>
  <c r="D28" i="43" s="1"/>
  <c r="D28" i="5" s="1"/>
  <c r="M13" i="19"/>
  <c r="E13" i="43" s="1"/>
  <c r="F11" i="35"/>
  <c r="E80" i="23"/>
  <c r="G80" i="35" s="1"/>
  <c r="I80" i="35" s="1"/>
  <c r="E77" i="23"/>
  <c r="G77" i="35" s="1"/>
  <c r="I77" i="35" s="1"/>
  <c r="L72" i="23"/>
  <c r="L43" i="23"/>
  <c r="AB36" i="23"/>
  <c r="AB82" i="23" s="1"/>
  <c r="Z641" i="44" s="1"/>
  <c r="D27" i="23"/>
  <c r="L24" i="23"/>
  <c r="L82" i="23" s="1"/>
  <c r="J641" i="44" s="1"/>
  <c r="G19" i="35"/>
  <c r="E24" i="23"/>
  <c r="L79" i="11"/>
  <c r="D79" i="35" s="1"/>
  <c r="H72" i="11"/>
  <c r="F70" i="11"/>
  <c r="F72" i="11" s="1"/>
  <c r="H61" i="11"/>
  <c r="F59" i="11"/>
  <c r="F61" i="11" s="1"/>
  <c r="G43" i="11"/>
  <c r="L34" i="11"/>
  <c r="H36" i="11"/>
  <c r="L28" i="11"/>
  <c r="D28" i="35" s="1"/>
  <c r="H16" i="11"/>
  <c r="E12" i="35"/>
  <c r="I12" i="35" s="1"/>
  <c r="F56" i="33"/>
  <c r="AE71" i="24"/>
  <c r="AE72" i="21"/>
  <c r="W71" i="24"/>
  <c r="W72" i="21"/>
  <c r="O71" i="24"/>
  <c r="O72" i="21"/>
  <c r="E71" i="21"/>
  <c r="G71" i="33" s="1"/>
  <c r="I71" i="33" s="1"/>
  <c r="Z72" i="24"/>
  <c r="H49" i="33"/>
  <c r="AA28" i="24"/>
  <c r="AA29" i="21"/>
  <c r="S28" i="24"/>
  <c r="S29" i="21"/>
  <c r="K28" i="24"/>
  <c r="K29" i="21"/>
  <c r="G19" i="24"/>
  <c r="G19" i="21"/>
  <c r="T36" i="31"/>
  <c r="L36" i="31"/>
  <c r="M88" i="19"/>
  <c r="E88" i="43" s="1"/>
  <c r="I88" i="43" s="1"/>
  <c r="M80" i="19"/>
  <c r="E80" i="43" s="1"/>
  <c r="M77" i="19"/>
  <c r="E77" i="43" s="1"/>
  <c r="I72" i="19"/>
  <c r="M70" i="19"/>
  <c r="L65" i="19"/>
  <c r="M59" i="19"/>
  <c r="M45" i="19"/>
  <c r="E45" i="43" s="1"/>
  <c r="M39" i="19"/>
  <c r="E39" i="43" s="1"/>
  <c r="M23" i="19"/>
  <c r="E23" i="43" s="1"/>
  <c r="M20" i="19"/>
  <c r="E20" i="43" s="1"/>
  <c r="L24" i="19"/>
  <c r="L13" i="19"/>
  <c r="D13" i="43" s="1"/>
  <c r="D16" i="43" s="1"/>
  <c r="D77" i="23"/>
  <c r="F77" i="35" s="1"/>
  <c r="H77" i="35" s="1"/>
  <c r="D60" i="23"/>
  <c r="D54" i="23"/>
  <c r="D45" i="23"/>
  <c r="F45" i="35" s="1"/>
  <c r="H45" i="35" s="1"/>
  <c r="T36" i="23"/>
  <c r="T82" i="23" s="1"/>
  <c r="R641" i="44" s="1"/>
  <c r="L36" i="23"/>
  <c r="D19" i="23"/>
  <c r="F16" i="23"/>
  <c r="F82" i="23" s="1"/>
  <c r="D13" i="23"/>
  <c r="F13" i="35" s="1"/>
  <c r="H13" i="35" s="1"/>
  <c r="L75" i="11"/>
  <c r="D75" i="35" s="1"/>
  <c r="H75" i="35" s="1"/>
  <c r="G72" i="11"/>
  <c r="L66" i="11"/>
  <c r="G61" i="11"/>
  <c r="L56" i="11"/>
  <c r="G24" i="11"/>
  <c r="L16" i="11"/>
  <c r="H51" i="33"/>
  <c r="AA80" i="24"/>
  <c r="S80" i="24"/>
  <c r="K80" i="24"/>
  <c r="D79" i="21"/>
  <c r="F79" i="33" s="1"/>
  <c r="Z73" i="24"/>
  <c r="R73" i="24"/>
  <c r="J73" i="24"/>
  <c r="D73" i="21"/>
  <c r="F73" i="33" s="1"/>
  <c r="H73" i="33" s="1"/>
  <c r="S32" i="24"/>
  <c r="S36" i="21"/>
  <c r="K32" i="24"/>
  <c r="E32" i="21"/>
  <c r="K36" i="21"/>
  <c r="G24" i="20"/>
  <c r="E19" i="20"/>
  <c r="M74" i="19"/>
  <c r="E74" i="43" s="1"/>
  <c r="F66" i="19"/>
  <c r="E76" i="23"/>
  <c r="G76" i="35" s="1"/>
  <c r="I76" i="35" s="1"/>
  <c r="E73" i="23"/>
  <c r="G73" i="35" s="1"/>
  <c r="I73" i="35" s="1"/>
  <c r="G641" i="44"/>
  <c r="Z11" i="24"/>
  <c r="Z16" i="24" s="1"/>
  <c r="Z16" i="23"/>
  <c r="F36" i="11"/>
  <c r="E89" i="21"/>
  <c r="G17" i="4" s="1"/>
  <c r="H17" i="4" s="1"/>
  <c r="G86" i="33"/>
  <c r="D75" i="21"/>
  <c r="F75" i="33" s="1"/>
  <c r="H75" i="33" s="1"/>
  <c r="U71" i="24"/>
  <c r="U72" i="21"/>
  <c r="X70" i="24"/>
  <c r="X72" i="21"/>
  <c r="P72" i="24"/>
  <c r="G72" i="21"/>
  <c r="E70" i="21"/>
  <c r="G55" i="21"/>
  <c r="E55" i="21" s="1"/>
  <c r="G55" i="33" s="1"/>
  <c r="I55" i="33" s="1"/>
  <c r="G15" i="24"/>
  <c r="G15" i="21"/>
  <c r="E15" i="21" s="1"/>
  <c r="G15" i="33" s="1"/>
  <c r="I15" i="33" s="1"/>
  <c r="D32" i="31"/>
  <c r="D20" i="31"/>
  <c r="F20" i="43" s="1"/>
  <c r="E79" i="23"/>
  <c r="G79" i="35" s="1"/>
  <c r="I79" i="35" s="1"/>
  <c r="D73" i="23"/>
  <c r="F73" i="35" s="1"/>
  <c r="H73" i="35" s="1"/>
  <c r="R36" i="23"/>
  <c r="J36" i="23"/>
  <c r="L24" i="11"/>
  <c r="Z91" i="21"/>
  <c r="AE81" i="24"/>
  <c r="W81" i="24"/>
  <c r="G81" i="21"/>
  <c r="E81" i="21" s="1"/>
  <c r="G81" i="33" s="1"/>
  <c r="I81" i="33" s="1"/>
  <c r="AA76" i="24"/>
  <c r="M72" i="21"/>
  <c r="D70" i="33"/>
  <c r="E15" i="6"/>
  <c r="P56" i="31"/>
  <c r="D33" i="31"/>
  <c r="F33" i="43" s="1"/>
  <c r="D21" i="31"/>
  <c r="F21" i="43" s="1"/>
  <c r="H89" i="19"/>
  <c r="H72" i="19"/>
  <c r="D79" i="23"/>
  <c r="F79" i="35" s="1"/>
  <c r="D65" i="23"/>
  <c r="F65" i="35" s="1"/>
  <c r="H65" i="35" s="1"/>
  <c r="D49" i="23"/>
  <c r="F49" i="35" s="1"/>
  <c r="H49" i="35" s="1"/>
  <c r="D34" i="23"/>
  <c r="F34" i="35" s="1"/>
  <c r="Q82" i="23"/>
  <c r="O641" i="44" s="1"/>
  <c r="D21" i="23"/>
  <c r="F21" i="35" s="1"/>
  <c r="H21" i="35" s="1"/>
  <c r="D15" i="23"/>
  <c r="F15" i="35" s="1"/>
  <c r="H15" i="35" s="1"/>
  <c r="X11" i="24"/>
  <c r="X16" i="23"/>
  <c r="X82" i="23" s="1"/>
  <c r="V641" i="44" s="1"/>
  <c r="P16" i="23"/>
  <c r="P82" i="23" s="1"/>
  <c r="N641" i="44" s="1"/>
  <c r="H16" i="23"/>
  <c r="H82" i="23" s="1"/>
  <c r="F641" i="44" s="1"/>
  <c r="H66" i="11"/>
  <c r="H56" i="11"/>
  <c r="F20" i="11"/>
  <c r="F24" i="11" s="1"/>
  <c r="L13" i="11"/>
  <c r="D13" i="35" s="1"/>
  <c r="D16" i="35" s="1"/>
  <c r="AE77" i="24"/>
  <c r="W77" i="24"/>
  <c r="O77" i="24"/>
  <c r="Z59" i="24"/>
  <c r="Z61" i="24" s="1"/>
  <c r="Z61" i="21"/>
  <c r="R61" i="24"/>
  <c r="J59" i="24"/>
  <c r="J61" i="21"/>
  <c r="F640" i="44"/>
  <c r="H91" i="21"/>
  <c r="G56" i="29"/>
  <c r="E54" i="29"/>
  <c r="G24" i="6"/>
  <c r="AE16" i="6"/>
  <c r="AE82" i="6" s="1"/>
  <c r="G16" i="6"/>
  <c r="G82" i="6" s="1"/>
  <c r="E11" i="29"/>
  <c r="G16" i="29"/>
  <c r="D34" i="31"/>
  <c r="F34" i="43" s="1"/>
  <c r="H34" i="43" s="1"/>
  <c r="D22" i="31"/>
  <c r="F22" i="43" s="1"/>
  <c r="L89" i="19"/>
  <c r="F45" i="19"/>
  <c r="F23" i="19"/>
  <c r="L16" i="19"/>
  <c r="E66" i="35"/>
  <c r="E78" i="23"/>
  <c r="G78" i="35" s="1"/>
  <c r="I78" i="35" s="1"/>
  <c r="E75" i="23"/>
  <c r="G75" i="35" s="1"/>
  <c r="I75" i="35" s="1"/>
  <c r="E66" i="23"/>
  <c r="Z56" i="24"/>
  <c r="Z24" i="23"/>
  <c r="R24" i="23"/>
  <c r="R82" i="23" s="1"/>
  <c r="P641" i="44" s="1"/>
  <c r="J24" i="23"/>
  <c r="J82" i="23" s="1"/>
  <c r="H641" i="44" s="1"/>
  <c r="F66" i="11"/>
  <c r="M61" i="11"/>
  <c r="F56" i="11"/>
  <c r="H42" i="11"/>
  <c r="H43" i="11" s="1"/>
  <c r="F40" i="11"/>
  <c r="F42" i="11" s="1"/>
  <c r="F43" i="11" s="1"/>
  <c r="J82" i="11"/>
  <c r="L27" i="11"/>
  <c r="H29" i="11"/>
  <c r="D88" i="21"/>
  <c r="F88" i="33" s="1"/>
  <c r="V640" i="44"/>
  <c r="X91" i="21"/>
  <c r="AB78" i="24"/>
  <c r="T78" i="24"/>
  <c r="L78" i="24"/>
  <c r="Q82" i="21"/>
  <c r="E81" i="23"/>
  <c r="G81" i="35" s="1"/>
  <c r="I81" i="35" s="1"/>
  <c r="F64" i="35"/>
  <c r="D40" i="23"/>
  <c r="E36" i="23"/>
  <c r="E77" i="21"/>
  <c r="G77" i="33" s="1"/>
  <c r="I77" i="33" s="1"/>
  <c r="AE27" i="24"/>
  <c r="AE29" i="24" s="1"/>
  <c r="AE29" i="21"/>
  <c r="W27" i="24"/>
  <c r="W29" i="21"/>
  <c r="E27" i="21"/>
  <c r="G29" i="21"/>
  <c r="R640" i="44"/>
  <c r="T91" i="21"/>
  <c r="Y56" i="24"/>
  <c r="G36" i="23"/>
  <c r="G82" i="23" s="1"/>
  <c r="M80" i="11"/>
  <c r="E80" i="35" s="1"/>
  <c r="G78" i="11"/>
  <c r="M76" i="11"/>
  <c r="E76" i="35" s="1"/>
  <c r="E76" i="5" s="1"/>
  <c r="G74" i="11"/>
  <c r="M71" i="11"/>
  <c r="E71" i="35" s="1"/>
  <c r="E72" i="35" s="1"/>
  <c r="I66" i="11"/>
  <c r="G65" i="11"/>
  <c r="G66" i="11" s="1"/>
  <c r="M60" i="11"/>
  <c r="E60" i="35" s="1"/>
  <c r="I56" i="11"/>
  <c r="I82" i="11" s="1"/>
  <c r="G55" i="11"/>
  <c r="G56" i="11" s="1"/>
  <c r="M51" i="11"/>
  <c r="E51" i="35" s="1"/>
  <c r="I51" i="35" s="1"/>
  <c r="G47" i="11"/>
  <c r="M41" i="11"/>
  <c r="E41" i="35" s="1"/>
  <c r="E41" i="5" s="1"/>
  <c r="G39" i="11"/>
  <c r="G34" i="11"/>
  <c r="G36" i="11" s="1"/>
  <c r="M32" i="11"/>
  <c r="G27" i="11"/>
  <c r="G29" i="11" s="1"/>
  <c r="M22" i="11"/>
  <c r="E22" i="35" s="1"/>
  <c r="G20" i="11"/>
  <c r="M14" i="11"/>
  <c r="E14" i="35" s="1"/>
  <c r="I14" i="35" s="1"/>
  <c r="G12" i="11"/>
  <c r="G16" i="11" s="1"/>
  <c r="G82" i="11" s="1"/>
  <c r="F36" i="33"/>
  <c r="H23" i="33"/>
  <c r="E88" i="21"/>
  <c r="G88" i="33" s="1"/>
  <c r="D86" i="21"/>
  <c r="X81" i="24"/>
  <c r="P81" i="24"/>
  <c r="H81" i="24"/>
  <c r="AB80" i="24"/>
  <c r="T80" i="24"/>
  <c r="L80" i="24"/>
  <c r="AE79" i="24"/>
  <c r="W79" i="24"/>
  <c r="O79" i="24"/>
  <c r="AA78" i="24"/>
  <c r="S78" i="24"/>
  <c r="K78" i="24"/>
  <c r="AD77" i="24"/>
  <c r="V77" i="24"/>
  <c r="N77" i="24"/>
  <c r="Z76" i="24"/>
  <c r="R76" i="24"/>
  <c r="J76" i="24"/>
  <c r="AC75" i="24"/>
  <c r="U75" i="24"/>
  <c r="M75" i="24"/>
  <c r="D74" i="21"/>
  <c r="F74" i="33" s="1"/>
  <c r="H74" i="33" s="1"/>
  <c r="Y73" i="24"/>
  <c r="Q73" i="24"/>
  <c r="I73" i="24"/>
  <c r="V64" i="24"/>
  <c r="V66" i="24" s="1"/>
  <c r="N64" i="24"/>
  <c r="N66" i="24" s="1"/>
  <c r="D64" i="21"/>
  <c r="Y60" i="24"/>
  <c r="Y61" i="21"/>
  <c r="Q60" i="24"/>
  <c r="Q61" i="21"/>
  <c r="I60" i="24"/>
  <c r="E60" i="21"/>
  <c r="G60" i="33" s="1"/>
  <c r="I60" i="33" s="1"/>
  <c r="I61" i="21"/>
  <c r="AE47" i="24"/>
  <c r="W47" i="24"/>
  <c r="O47" i="24"/>
  <c r="E47" i="21"/>
  <c r="G47" i="33" s="1"/>
  <c r="I47" i="33" s="1"/>
  <c r="E45" i="21"/>
  <c r="G45" i="33" s="1"/>
  <c r="AC33" i="24"/>
  <c r="AC36" i="21"/>
  <c r="AC82" i="21" s="1"/>
  <c r="U33" i="24"/>
  <c r="M33" i="24"/>
  <c r="E33" i="21"/>
  <c r="G33" i="33" s="1"/>
  <c r="I33" i="33" s="1"/>
  <c r="AE20" i="24"/>
  <c r="AE24" i="21"/>
  <c r="V20" i="24"/>
  <c r="V24" i="21"/>
  <c r="J20" i="24"/>
  <c r="J24" i="21"/>
  <c r="J82" i="21" s="1"/>
  <c r="D20" i="21"/>
  <c r="F20" i="33" s="1"/>
  <c r="AA13" i="24"/>
  <c r="AA16" i="21"/>
  <c r="AA82" i="21" s="1"/>
  <c r="S13" i="24"/>
  <c r="K13" i="24"/>
  <c r="K72" i="24"/>
  <c r="AA36" i="24"/>
  <c r="G87" i="24"/>
  <c r="E87" i="24" s="1"/>
  <c r="G87" i="36" s="1"/>
  <c r="I87" i="36" s="1"/>
  <c r="E87" i="21"/>
  <c r="G87" i="33" s="1"/>
  <c r="AD81" i="24"/>
  <c r="V81" i="24"/>
  <c r="N81" i="24"/>
  <c r="Z80" i="24"/>
  <c r="R80" i="24"/>
  <c r="J80" i="24"/>
  <c r="AC79" i="24"/>
  <c r="U79" i="24"/>
  <c r="M79" i="24"/>
  <c r="E79" i="21"/>
  <c r="G79" i="33" s="1"/>
  <c r="I79" i="33" s="1"/>
  <c r="Y78" i="24"/>
  <c r="Q78" i="24"/>
  <c r="I78" i="24"/>
  <c r="AB77" i="24"/>
  <c r="T77" i="24"/>
  <c r="L77" i="24"/>
  <c r="X76" i="24"/>
  <c r="P76" i="24"/>
  <c r="AA75" i="24"/>
  <c r="S75" i="24"/>
  <c r="K75" i="24"/>
  <c r="AD74" i="24"/>
  <c r="V74" i="24"/>
  <c r="N74" i="24"/>
  <c r="AE73" i="24"/>
  <c r="W73" i="24"/>
  <c r="O73" i="24"/>
  <c r="AB71" i="24"/>
  <c r="AB72" i="21"/>
  <c r="T71" i="24"/>
  <c r="T72" i="21"/>
  <c r="L71" i="24"/>
  <c r="D71" i="24" s="1"/>
  <c r="F71" i="36" s="1"/>
  <c r="L72" i="21"/>
  <c r="S49" i="24"/>
  <c r="K49" i="24"/>
  <c r="Y34" i="24"/>
  <c r="Q34" i="24"/>
  <c r="I34" i="24"/>
  <c r="AA21" i="24"/>
  <c r="S21" i="24"/>
  <c r="K21" i="24"/>
  <c r="E21" i="21"/>
  <c r="G21" i="33" s="1"/>
  <c r="I21" i="33" s="1"/>
  <c r="D19" i="21"/>
  <c r="AE14" i="24"/>
  <c r="W14" i="24"/>
  <c r="O14" i="24"/>
  <c r="E14" i="21"/>
  <c r="G14" i="33" s="1"/>
  <c r="I14" i="33" s="1"/>
  <c r="H80" i="12"/>
  <c r="F80" i="9"/>
  <c r="L80" i="9"/>
  <c r="D80" i="33" s="1"/>
  <c r="H76" i="12"/>
  <c r="F76" i="9"/>
  <c r="L76" i="9"/>
  <c r="D76" i="33" s="1"/>
  <c r="H76" i="33" s="1"/>
  <c r="F72" i="9"/>
  <c r="I82" i="9"/>
  <c r="I91" i="9" s="1"/>
  <c r="AC81" i="24"/>
  <c r="U81" i="24"/>
  <c r="M81" i="24"/>
  <c r="Y80" i="24"/>
  <c r="Q80" i="24"/>
  <c r="I80" i="24"/>
  <c r="AB79" i="24"/>
  <c r="T79" i="24"/>
  <c r="L79" i="24"/>
  <c r="X78" i="24"/>
  <c r="P78" i="24"/>
  <c r="H78" i="24"/>
  <c r="D78" i="24" s="1"/>
  <c r="F78" i="36" s="1"/>
  <c r="AA77" i="24"/>
  <c r="S77" i="24"/>
  <c r="K77" i="24"/>
  <c r="AE76" i="24"/>
  <c r="W76" i="24"/>
  <c r="O76" i="24"/>
  <c r="E76" i="24" s="1"/>
  <c r="G76" i="36" s="1"/>
  <c r="E76" i="21"/>
  <c r="G76" i="33" s="1"/>
  <c r="I76" i="33" s="1"/>
  <c r="Z75" i="24"/>
  <c r="R75" i="24"/>
  <c r="J75" i="24"/>
  <c r="AD73" i="24"/>
  <c r="AD70" i="24"/>
  <c r="V70" i="24"/>
  <c r="N70" i="24"/>
  <c r="H65" i="24"/>
  <c r="S64" i="24"/>
  <c r="S66" i="24" s="1"/>
  <c r="K64" i="24"/>
  <c r="AD60" i="24"/>
  <c r="AD61" i="21"/>
  <c r="V60" i="24"/>
  <c r="V61" i="21"/>
  <c r="N60" i="24"/>
  <c r="N61" i="21"/>
  <c r="F61" i="21"/>
  <c r="D60" i="21"/>
  <c r="F60" i="33" s="1"/>
  <c r="H60" i="33" s="1"/>
  <c r="D59" i="21"/>
  <c r="U51" i="24"/>
  <c r="M51" i="24"/>
  <c r="E51" i="21"/>
  <c r="G51" i="33" s="1"/>
  <c r="I51" i="33" s="1"/>
  <c r="Y40" i="24"/>
  <c r="Y42" i="21"/>
  <c r="Y43" i="21" s="1"/>
  <c r="Q40" i="24"/>
  <c r="Q42" i="24" s="1"/>
  <c r="Q43" i="24" s="1"/>
  <c r="Q42" i="21"/>
  <c r="Q43" i="21" s="1"/>
  <c r="I40" i="24"/>
  <c r="I42" i="24" s="1"/>
  <c r="I42" i="21"/>
  <c r="I43" i="21" s="1"/>
  <c r="AC35" i="24"/>
  <c r="U35" i="24"/>
  <c r="M35" i="24"/>
  <c r="E35" i="21"/>
  <c r="G35" i="33" s="1"/>
  <c r="I35" i="33" s="1"/>
  <c r="X34" i="24"/>
  <c r="E28" i="21"/>
  <c r="G28" i="33" s="1"/>
  <c r="I28" i="33" s="1"/>
  <c r="D11" i="21"/>
  <c r="F16" i="21"/>
  <c r="F82" i="21" s="1"/>
  <c r="F91" i="21" s="1"/>
  <c r="E71" i="23"/>
  <c r="G71" i="35" s="1"/>
  <c r="E60" i="23"/>
  <c r="G60" i="35" s="1"/>
  <c r="AC56" i="24"/>
  <c r="AA42" i="24"/>
  <c r="AA43" i="24" s="1"/>
  <c r="AA36" i="23"/>
  <c r="Y36" i="24"/>
  <c r="E15" i="23"/>
  <c r="G15" i="35" s="1"/>
  <c r="I15" i="35" s="1"/>
  <c r="F89" i="21"/>
  <c r="D87" i="21"/>
  <c r="F87" i="33" s="1"/>
  <c r="AB81" i="24"/>
  <c r="D81" i="24" s="1"/>
  <c r="F81" i="36" s="1"/>
  <c r="T81" i="24"/>
  <c r="L81" i="24"/>
  <c r="X80" i="24"/>
  <c r="P80" i="24"/>
  <c r="H80" i="24"/>
  <c r="AA79" i="24"/>
  <c r="S79" i="24"/>
  <c r="K79" i="24"/>
  <c r="AE78" i="24"/>
  <c r="W78" i="24"/>
  <c r="O78" i="24"/>
  <c r="E78" i="21"/>
  <c r="G78" i="33" s="1"/>
  <c r="I78" i="33" s="1"/>
  <c r="Z77" i="24"/>
  <c r="R77" i="24"/>
  <c r="J77" i="24"/>
  <c r="D77" i="24" s="1"/>
  <c r="F77" i="36" s="1"/>
  <c r="AD76" i="24"/>
  <c r="V76" i="24"/>
  <c r="N76" i="24"/>
  <c r="AB74" i="24"/>
  <c r="T74" i="24"/>
  <c r="L74" i="24"/>
  <c r="AC73" i="24"/>
  <c r="U73" i="24"/>
  <c r="M73" i="24"/>
  <c r="Z71" i="24"/>
  <c r="Z72" i="21"/>
  <c r="R71" i="24"/>
  <c r="R72" i="21"/>
  <c r="J71" i="24"/>
  <c r="AE59" i="24"/>
  <c r="W59" i="24"/>
  <c r="W61" i="24" s="1"/>
  <c r="O59" i="24"/>
  <c r="O61" i="24" s="1"/>
  <c r="E59" i="21"/>
  <c r="E49" i="21"/>
  <c r="G49" i="33" s="1"/>
  <c r="E34" i="21"/>
  <c r="G34" i="33" s="1"/>
  <c r="D36" i="21"/>
  <c r="AE22" i="24"/>
  <c r="W22" i="24"/>
  <c r="W24" i="21"/>
  <c r="W82" i="21" s="1"/>
  <c r="O22" i="24"/>
  <c r="O24" i="21"/>
  <c r="E22" i="21"/>
  <c r="G22" i="33" s="1"/>
  <c r="V11" i="24"/>
  <c r="V16" i="21"/>
  <c r="N11" i="24"/>
  <c r="N16" i="21"/>
  <c r="N82" i="21" s="1"/>
  <c r="H27" i="12"/>
  <c r="L27" i="9"/>
  <c r="H29" i="9"/>
  <c r="F27" i="9"/>
  <c r="F29" i="9" s="1"/>
  <c r="Z36" i="23"/>
  <c r="H35" i="33"/>
  <c r="AB91" i="21"/>
  <c r="E86" i="24"/>
  <c r="G89" i="24"/>
  <c r="AA81" i="24"/>
  <c r="S81" i="24"/>
  <c r="AE80" i="24"/>
  <c r="W80" i="24"/>
  <c r="O80" i="24"/>
  <c r="E80" i="21"/>
  <c r="G80" i="33" s="1"/>
  <c r="I80" i="33" s="1"/>
  <c r="Z79" i="24"/>
  <c r="R79" i="24"/>
  <c r="J79" i="24"/>
  <c r="AD78" i="24"/>
  <c r="V78" i="24"/>
  <c r="N78" i="24"/>
  <c r="X75" i="24"/>
  <c r="P75" i="24"/>
  <c r="H75" i="24"/>
  <c r="D75" i="24" s="1"/>
  <c r="F75" i="36" s="1"/>
  <c r="AB73" i="24"/>
  <c r="T73" i="24"/>
  <c r="L73" i="24"/>
  <c r="Y71" i="24"/>
  <c r="Q71" i="24"/>
  <c r="Q64" i="24"/>
  <c r="Q66" i="24" s="1"/>
  <c r="I64" i="24"/>
  <c r="E64" i="21"/>
  <c r="U54" i="24"/>
  <c r="U56" i="21"/>
  <c r="M54" i="24"/>
  <c r="M56" i="21"/>
  <c r="AE41" i="24"/>
  <c r="AE42" i="24" s="1"/>
  <c r="AE43" i="24" s="1"/>
  <c r="AE42" i="21"/>
  <c r="AE43" i="21" s="1"/>
  <c r="W41" i="24"/>
  <c r="O41" i="24"/>
  <c r="E41" i="21"/>
  <c r="G41" i="33" s="1"/>
  <c r="I41" i="33" s="1"/>
  <c r="E40" i="21"/>
  <c r="AA15" i="24"/>
  <c r="S15" i="24"/>
  <c r="K15" i="24"/>
  <c r="H87" i="12"/>
  <c r="H89" i="9"/>
  <c r="L87" i="9"/>
  <c r="AA56" i="23"/>
  <c r="AA56" i="24"/>
  <c r="AA16" i="24"/>
  <c r="D86" i="24"/>
  <c r="F89" i="24"/>
  <c r="Z81" i="24"/>
  <c r="R81" i="24"/>
  <c r="J81" i="24"/>
  <c r="AD80" i="24"/>
  <c r="V80" i="24"/>
  <c r="N80" i="24"/>
  <c r="D78" i="21"/>
  <c r="F78" i="33" s="1"/>
  <c r="H78" i="33" s="1"/>
  <c r="X77" i="24"/>
  <c r="P77" i="24"/>
  <c r="H77" i="24"/>
  <c r="AB76" i="24"/>
  <c r="T76" i="24"/>
  <c r="L76" i="24"/>
  <c r="Z74" i="24"/>
  <c r="R74" i="24"/>
  <c r="I74" i="24"/>
  <c r="AD72" i="21"/>
  <c r="X71" i="24"/>
  <c r="AA70" i="24"/>
  <c r="S70" i="24"/>
  <c r="J70" i="24"/>
  <c r="J72" i="24" s="1"/>
  <c r="J72" i="21"/>
  <c r="D70" i="21"/>
  <c r="E65" i="21"/>
  <c r="G65" i="33" s="1"/>
  <c r="I65" i="33" s="1"/>
  <c r="AA60" i="24"/>
  <c r="AA61" i="21"/>
  <c r="S60" i="24"/>
  <c r="S61" i="21"/>
  <c r="K60" i="24"/>
  <c r="E60" i="24" s="1"/>
  <c r="G60" i="36" s="1"/>
  <c r="K61" i="21"/>
  <c r="AC59" i="24"/>
  <c r="U59" i="24"/>
  <c r="M59" i="24"/>
  <c r="AD51" i="24"/>
  <c r="AA45" i="24"/>
  <c r="S45" i="24"/>
  <c r="K45" i="24"/>
  <c r="E45" i="24" s="1"/>
  <c r="G45" i="36" s="1"/>
  <c r="AD41" i="24"/>
  <c r="Y36" i="21"/>
  <c r="I36" i="21"/>
  <c r="I82" i="21" s="1"/>
  <c r="AE23" i="24"/>
  <c r="S23" i="24"/>
  <c r="K23" i="24"/>
  <c r="E23" i="21"/>
  <c r="G23" i="33" s="1"/>
  <c r="I23" i="33" s="1"/>
  <c r="AD19" i="24"/>
  <c r="AD24" i="21"/>
  <c r="AD82" i="21" s="1"/>
  <c r="S19" i="24"/>
  <c r="K19" i="24"/>
  <c r="AE12" i="24"/>
  <c r="W12" i="24"/>
  <c r="O12" i="24"/>
  <c r="E12" i="21"/>
  <c r="G12" i="33" s="1"/>
  <c r="I71" i="24"/>
  <c r="E71" i="24" s="1"/>
  <c r="G71" i="36" s="1"/>
  <c r="AC70" i="24"/>
  <c r="AC72" i="24" s="1"/>
  <c r="U70" i="24"/>
  <c r="U72" i="24" s="1"/>
  <c r="M70" i="24"/>
  <c r="M72" i="24" s="1"/>
  <c r="D65" i="21"/>
  <c r="F65" i="33" s="1"/>
  <c r="H65" i="33" s="1"/>
  <c r="P64" i="24"/>
  <c r="P66" i="24" s="1"/>
  <c r="H64" i="24"/>
  <c r="D64" i="24" s="1"/>
  <c r="X60" i="24"/>
  <c r="P60" i="24"/>
  <c r="D60" i="24" s="1"/>
  <c r="F60" i="36" s="1"/>
  <c r="H60" i="24"/>
  <c r="AB59" i="24"/>
  <c r="AB61" i="24" s="1"/>
  <c r="T59" i="24"/>
  <c r="L59" i="24"/>
  <c r="L61" i="24" s="1"/>
  <c r="H56" i="21"/>
  <c r="Z55" i="24"/>
  <c r="Q55" i="24"/>
  <c r="I55" i="24"/>
  <c r="E55" i="24" s="1"/>
  <c r="G55" i="36" s="1"/>
  <c r="W54" i="24"/>
  <c r="W56" i="24" s="1"/>
  <c r="O54" i="24"/>
  <c r="O56" i="24" s="1"/>
  <c r="W51" i="24"/>
  <c r="O51" i="24"/>
  <c r="U49" i="24"/>
  <c r="M49" i="24"/>
  <c r="Y47" i="24"/>
  <c r="Q47" i="24"/>
  <c r="I47" i="24"/>
  <c r="AC45" i="24"/>
  <c r="U45" i="24"/>
  <c r="M45" i="24"/>
  <c r="Y41" i="24"/>
  <c r="Q41" i="24"/>
  <c r="I41" i="24"/>
  <c r="AC40" i="24"/>
  <c r="AC42" i="24" s="1"/>
  <c r="AC43" i="24" s="1"/>
  <c r="S40" i="24"/>
  <c r="K40" i="24"/>
  <c r="K42" i="24" s="1"/>
  <c r="K43" i="24" s="1"/>
  <c r="W39" i="24"/>
  <c r="O39" i="24"/>
  <c r="AE35" i="24"/>
  <c r="O35" i="24"/>
  <c r="AA34" i="24"/>
  <c r="S34" i="24"/>
  <c r="K34" i="24"/>
  <c r="AE33" i="24"/>
  <c r="W33" i="24"/>
  <c r="O33" i="24"/>
  <c r="U32" i="24"/>
  <c r="M32" i="24"/>
  <c r="AC28" i="24"/>
  <c r="U28" i="24"/>
  <c r="M28" i="24"/>
  <c r="Y27" i="24"/>
  <c r="Y29" i="24" s="1"/>
  <c r="Q27" i="24"/>
  <c r="I27" i="24"/>
  <c r="U23" i="24"/>
  <c r="M23" i="24"/>
  <c r="Y22" i="24"/>
  <c r="Q22" i="24"/>
  <c r="I22" i="24"/>
  <c r="AC21" i="24"/>
  <c r="U21" i="24"/>
  <c r="M21" i="24"/>
  <c r="Y20" i="24"/>
  <c r="L20" i="24"/>
  <c r="U19" i="24"/>
  <c r="U24" i="24" s="1"/>
  <c r="M19" i="24"/>
  <c r="M24" i="24" s="1"/>
  <c r="AC15" i="24"/>
  <c r="U15" i="24"/>
  <c r="M15" i="24"/>
  <c r="Y14" i="24"/>
  <c r="Q14" i="24"/>
  <c r="I14" i="24"/>
  <c r="AC13" i="24"/>
  <c r="U13" i="24"/>
  <c r="M13" i="24"/>
  <c r="Y12" i="24"/>
  <c r="Y16" i="24" s="1"/>
  <c r="Q12" i="24"/>
  <c r="I12" i="24"/>
  <c r="AB11" i="24"/>
  <c r="P11" i="24"/>
  <c r="H11" i="24"/>
  <c r="H79" i="12"/>
  <c r="H75" i="12"/>
  <c r="H71" i="12"/>
  <c r="I64" i="12"/>
  <c r="G64" i="9"/>
  <c r="G66" i="9" s="1"/>
  <c r="L43" i="9"/>
  <c r="H28" i="24"/>
  <c r="D28" i="24" s="1"/>
  <c r="F28" i="36" s="1"/>
  <c r="Y81" i="24"/>
  <c r="Q81" i="24"/>
  <c r="I81" i="24"/>
  <c r="E81" i="24" s="1"/>
  <c r="G81" i="36" s="1"/>
  <c r="AC80" i="24"/>
  <c r="U80" i="24"/>
  <c r="M80" i="24"/>
  <c r="Y79" i="24"/>
  <c r="Q79" i="24"/>
  <c r="I79" i="24"/>
  <c r="E79" i="24" s="1"/>
  <c r="G79" i="36" s="1"/>
  <c r="AC78" i="24"/>
  <c r="U78" i="24"/>
  <c r="M78" i="24"/>
  <c r="Y77" i="24"/>
  <c r="Q77" i="24"/>
  <c r="I77" i="24"/>
  <c r="AC76" i="24"/>
  <c r="U76" i="24"/>
  <c r="M76" i="24"/>
  <c r="Y75" i="24"/>
  <c r="Q75" i="24"/>
  <c r="I75" i="24"/>
  <c r="AC74" i="24"/>
  <c r="U74" i="24"/>
  <c r="M74" i="24"/>
  <c r="X73" i="24"/>
  <c r="P73" i="24"/>
  <c r="H73" i="24"/>
  <c r="D73" i="24" s="1"/>
  <c r="F73" i="36" s="1"/>
  <c r="P71" i="24"/>
  <c r="H71" i="24"/>
  <c r="AB70" i="24"/>
  <c r="AB72" i="24" s="1"/>
  <c r="T70" i="24"/>
  <c r="L70" i="24"/>
  <c r="L72" i="24" s="1"/>
  <c r="K65" i="24"/>
  <c r="W64" i="24"/>
  <c r="W66" i="24" s="1"/>
  <c r="O64" i="24"/>
  <c r="O66" i="24" s="1"/>
  <c r="AE60" i="24"/>
  <c r="W60" i="24"/>
  <c r="O60" i="24"/>
  <c r="AA59" i="24"/>
  <c r="S59" i="24"/>
  <c r="S61" i="24" s="1"/>
  <c r="K59" i="24"/>
  <c r="K61" i="24" s="1"/>
  <c r="W56" i="21"/>
  <c r="O56" i="21"/>
  <c r="X55" i="24"/>
  <c r="P55" i="24"/>
  <c r="H55" i="24"/>
  <c r="V54" i="24"/>
  <c r="N54" i="24"/>
  <c r="V51" i="24"/>
  <c r="N51" i="24"/>
  <c r="T49" i="24"/>
  <c r="L49" i="24"/>
  <c r="X47" i="24"/>
  <c r="P47" i="24"/>
  <c r="H47" i="24"/>
  <c r="AB45" i="24"/>
  <c r="T45" i="24"/>
  <c r="L45" i="24"/>
  <c r="X41" i="24"/>
  <c r="P41" i="24"/>
  <c r="H41" i="24"/>
  <c r="AB40" i="24"/>
  <c r="AB42" i="24" s="1"/>
  <c r="R40" i="24"/>
  <c r="J40" i="24"/>
  <c r="J42" i="24" s="1"/>
  <c r="J43" i="24" s="1"/>
  <c r="AD39" i="24"/>
  <c r="V39" i="24"/>
  <c r="N39" i="24"/>
  <c r="AD35" i="24"/>
  <c r="V35" i="24"/>
  <c r="N35" i="24"/>
  <c r="Z34" i="24"/>
  <c r="R34" i="24"/>
  <c r="J34" i="24"/>
  <c r="D34" i="24" s="1"/>
  <c r="F34" i="36" s="1"/>
  <c r="AD33" i="24"/>
  <c r="N33" i="24"/>
  <c r="D33" i="24" s="1"/>
  <c r="F33" i="36" s="1"/>
  <c r="T32" i="24"/>
  <c r="L32" i="24"/>
  <c r="AB28" i="24"/>
  <c r="T28" i="24"/>
  <c r="L28" i="24"/>
  <c r="D28" i="21"/>
  <c r="F28" i="33" s="1"/>
  <c r="X27" i="24"/>
  <c r="P27" i="24"/>
  <c r="P29" i="24" s="1"/>
  <c r="H27" i="24"/>
  <c r="L24" i="21"/>
  <c r="L82" i="21" s="1"/>
  <c r="T23" i="24"/>
  <c r="L23" i="24"/>
  <c r="X22" i="24"/>
  <c r="P22" i="24"/>
  <c r="H22" i="24"/>
  <c r="AB21" i="24"/>
  <c r="T21" i="24"/>
  <c r="L21" i="24"/>
  <c r="X20" i="24"/>
  <c r="K20" i="24"/>
  <c r="E20" i="24" s="1"/>
  <c r="G20" i="36" s="1"/>
  <c r="AE19" i="24"/>
  <c r="AE24" i="24" s="1"/>
  <c r="T19" i="24"/>
  <c r="L19" i="24"/>
  <c r="AB15" i="24"/>
  <c r="T15" i="24"/>
  <c r="L15" i="24"/>
  <c r="X14" i="24"/>
  <c r="P14" i="24"/>
  <c r="H14" i="24"/>
  <c r="AB13" i="24"/>
  <c r="T13" i="24"/>
  <c r="L13" i="24"/>
  <c r="X12" i="24"/>
  <c r="P12" i="24"/>
  <c r="H12" i="24"/>
  <c r="W11" i="24"/>
  <c r="O11" i="24"/>
  <c r="I80" i="12"/>
  <c r="G79" i="9"/>
  <c r="I76" i="12"/>
  <c r="G75" i="9"/>
  <c r="H64" i="12"/>
  <c r="I59" i="12"/>
  <c r="M59" i="9"/>
  <c r="G59" i="9"/>
  <c r="G61" i="9" s="1"/>
  <c r="I40" i="12"/>
  <c r="M40" i="9"/>
  <c r="G40" i="9"/>
  <c r="G42" i="9" s="1"/>
  <c r="G43" i="9" s="1"/>
  <c r="I27" i="12"/>
  <c r="G27" i="9"/>
  <c r="G29" i="9" s="1"/>
  <c r="M27" i="9"/>
  <c r="S76" i="24"/>
  <c r="K76" i="24"/>
  <c r="AE75" i="24"/>
  <c r="W75" i="24"/>
  <c r="O75" i="24"/>
  <c r="AA74" i="24"/>
  <c r="S74" i="24"/>
  <c r="J74" i="24"/>
  <c r="D74" i="24" s="1"/>
  <c r="F74" i="36" s="1"/>
  <c r="V73" i="24"/>
  <c r="N73" i="24"/>
  <c r="AD71" i="24"/>
  <c r="V71" i="24"/>
  <c r="N71" i="24"/>
  <c r="R70" i="24"/>
  <c r="R72" i="24" s="1"/>
  <c r="I70" i="24"/>
  <c r="I65" i="24"/>
  <c r="U64" i="24"/>
  <c r="U66" i="24" s="1"/>
  <c r="AC60" i="24"/>
  <c r="U60" i="24"/>
  <c r="M60" i="24"/>
  <c r="Y59" i="24"/>
  <c r="Y61" i="24" s="1"/>
  <c r="Q59" i="24"/>
  <c r="Q61" i="24" s="1"/>
  <c r="I59" i="24"/>
  <c r="I61" i="24" s="1"/>
  <c r="V55" i="24"/>
  <c r="N55" i="24"/>
  <c r="T54" i="24"/>
  <c r="L54" i="24"/>
  <c r="L56" i="24" s="1"/>
  <c r="T51" i="24"/>
  <c r="L51" i="24"/>
  <c r="R49" i="24"/>
  <c r="J49" i="24"/>
  <c r="AD47" i="24"/>
  <c r="V47" i="24"/>
  <c r="N47" i="24"/>
  <c r="Z45" i="24"/>
  <c r="R45" i="24"/>
  <c r="J45" i="24"/>
  <c r="J42" i="21"/>
  <c r="J43" i="21" s="1"/>
  <c r="V41" i="24"/>
  <c r="N41" i="24"/>
  <c r="X40" i="24"/>
  <c r="X42" i="24" s="1"/>
  <c r="X43" i="24" s="1"/>
  <c r="P40" i="24"/>
  <c r="H40" i="24"/>
  <c r="AB39" i="24"/>
  <c r="T39" i="24"/>
  <c r="L39" i="24"/>
  <c r="AB35" i="24"/>
  <c r="T35" i="24"/>
  <c r="L35" i="24"/>
  <c r="P34" i="24"/>
  <c r="H34" i="24"/>
  <c r="AB33" i="24"/>
  <c r="T33" i="24"/>
  <c r="L33" i="24"/>
  <c r="R32" i="24"/>
  <c r="J32" i="24"/>
  <c r="Z28" i="24"/>
  <c r="R28" i="24"/>
  <c r="J28" i="24"/>
  <c r="AD27" i="24"/>
  <c r="V27" i="24"/>
  <c r="N27" i="24"/>
  <c r="AD23" i="24"/>
  <c r="R23" i="24"/>
  <c r="J23" i="24"/>
  <c r="AD22" i="24"/>
  <c r="V22" i="24"/>
  <c r="N22" i="24"/>
  <c r="Z21" i="24"/>
  <c r="R21" i="24"/>
  <c r="J21" i="24"/>
  <c r="AD20" i="24"/>
  <c r="T20" i="24"/>
  <c r="I20" i="24"/>
  <c r="Z19" i="24"/>
  <c r="R19" i="24"/>
  <c r="J19" i="24"/>
  <c r="Z15" i="24"/>
  <c r="R15" i="24"/>
  <c r="J15" i="24"/>
  <c r="AD14" i="24"/>
  <c r="V14" i="24"/>
  <c r="N14" i="24"/>
  <c r="Z13" i="24"/>
  <c r="R13" i="24"/>
  <c r="J13" i="24"/>
  <c r="AD12" i="24"/>
  <c r="V12" i="24"/>
  <c r="N12" i="24"/>
  <c r="D12" i="24" s="1"/>
  <c r="F12" i="36" s="1"/>
  <c r="U11" i="24"/>
  <c r="M11" i="24"/>
  <c r="M16" i="24" s="1"/>
  <c r="M88" i="9"/>
  <c r="M86" i="9"/>
  <c r="I81" i="12"/>
  <c r="I77" i="12"/>
  <c r="I73" i="12"/>
  <c r="G73" i="9"/>
  <c r="H72" i="9"/>
  <c r="H65" i="12"/>
  <c r="H55" i="12"/>
  <c r="F55" i="9"/>
  <c r="I29" i="9"/>
  <c r="I12" i="12"/>
  <c r="G12" i="9"/>
  <c r="G16" i="9" s="1"/>
  <c r="M12" i="9"/>
  <c r="E12" i="33" s="1"/>
  <c r="E16" i="33" s="1"/>
  <c r="I79" i="32"/>
  <c r="Y70" i="24"/>
  <c r="Y72" i="24" s="1"/>
  <c r="Q70" i="24"/>
  <c r="H70" i="24"/>
  <c r="T64" i="24"/>
  <c r="T66" i="24" s="1"/>
  <c r="AB60" i="24"/>
  <c r="T60" i="24"/>
  <c r="L60" i="24"/>
  <c r="X59" i="24"/>
  <c r="X61" i="24" s="1"/>
  <c r="P59" i="24"/>
  <c r="H59" i="24"/>
  <c r="U55" i="24"/>
  <c r="M55" i="24"/>
  <c r="S54" i="24"/>
  <c r="S56" i="24" s="1"/>
  <c r="K54" i="24"/>
  <c r="K56" i="24" s="1"/>
  <c r="AE51" i="24"/>
  <c r="S51" i="24"/>
  <c r="E51" i="24" s="1"/>
  <c r="G51" i="36" s="1"/>
  <c r="K51" i="24"/>
  <c r="AE49" i="24"/>
  <c r="Q49" i="24"/>
  <c r="I49" i="24"/>
  <c r="AC47" i="24"/>
  <c r="U47" i="24"/>
  <c r="M47" i="24"/>
  <c r="Y45" i="24"/>
  <c r="Q45" i="24"/>
  <c r="I45" i="24"/>
  <c r="AC41" i="24"/>
  <c r="U41" i="24"/>
  <c r="M41" i="24"/>
  <c r="W40" i="24"/>
  <c r="W42" i="24" s="1"/>
  <c r="W43" i="24" s="1"/>
  <c r="O40" i="24"/>
  <c r="AA39" i="24"/>
  <c r="S39" i="24"/>
  <c r="K39" i="24"/>
  <c r="AA35" i="24"/>
  <c r="S35" i="24"/>
  <c r="K35" i="24"/>
  <c r="AE34" i="24"/>
  <c r="W34" i="24"/>
  <c r="O34" i="24"/>
  <c r="AA33" i="24"/>
  <c r="S33" i="24"/>
  <c r="K33" i="24"/>
  <c r="AE32" i="24"/>
  <c r="Q32" i="24"/>
  <c r="I32" i="24"/>
  <c r="I36" i="24" s="1"/>
  <c r="Y28" i="24"/>
  <c r="Q28" i="24"/>
  <c r="I28" i="24"/>
  <c r="AC27" i="24"/>
  <c r="U27" i="24"/>
  <c r="M27" i="24"/>
  <c r="M29" i="24" s="1"/>
  <c r="Y23" i="24"/>
  <c r="Q23" i="24"/>
  <c r="E23" i="24" s="1"/>
  <c r="G23" i="36" s="1"/>
  <c r="I23" i="24"/>
  <c r="AC22" i="24"/>
  <c r="U22" i="24"/>
  <c r="M22" i="24"/>
  <c r="Y21" i="24"/>
  <c r="Q21" i="24"/>
  <c r="I21" i="24"/>
  <c r="E21" i="24" s="1"/>
  <c r="G21" i="36" s="1"/>
  <c r="AC20" i="24"/>
  <c r="AC24" i="24" s="1"/>
  <c r="R20" i="24"/>
  <c r="H20" i="24"/>
  <c r="D20" i="24" s="1"/>
  <c r="F20" i="36" s="1"/>
  <c r="Y19" i="24"/>
  <c r="Q19" i="24"/>
  <c r="I19" i="24"/>
  <c r="Y15" i="24"/>
  <c r="Q15" i="24"/>
  <c r="I15" i="24"/>
  <c r="AC14" i="24"/>
  <c r="U14" i="24"/>
  <c r="M14" i="24"/>
  <c r="Y13" i="24"/>
  <c r="Q13" i="24"/>
  <c r="I13" i="24"/>
  <c r="AC12" i="24"/>
  <c r="AC16" i="24" s="1"/>
  <c r="U12" i="24"/>
  <c r="E12" i="24" s="1"/>
  <c r="G12" i="36" s="1"/>
  <c r="M12" i="24"/>
  <c r="T11" i="24"/>
  <c r="L11" i="24"/>
  <c r="H81" i="12"/>
  <c r="H77" i="12"/>
  <c r="H73" i="12"/>
  <c r="I70" i="12"/>
  <c r="M70" i="9"/>
  <c r="H47" i="12"/>
  <c r="F47" i="9"/>
  <c r="I34" i="12"/>
  <c r="G34" i="9"/>
  <c r="M34" i="9"/>
  <c r="E34" i="33" s="1"/>
  <c r="G24" i="9"/>
  <c r="I14" i="12"/>
  <c r="M14" i="9"/>
  <c r="E14" i="33" s="1"/>
  <c r="G14" i="9"/>
  <c r="H12" i="12"/>
  <c r="L12" i="9"/>
  <c r="F12" i="9"/>
  <c r="F16" i="9" s="1"/>
  <c r="M36" i="8"/>
  <c r="E32" i="32"/>
  <c r="AE55" i="24"/>
  <c r="T55" i="24"/>
  <c r="L55" i="24"/>
  <c r="D55" i="21"/>
  <c r="F55" i="33" s="1"/>
  <c r="H55" i="33" s="1"/>
  <c r="R54" i="24"/>
  <c r="J54" i="24"/>
  <c r="R51" i="24"/>
  <c r="J51" i="24"/>
  <c r="AD49" i="24"/>
  <c r="P49" i="24"/>
  <c r="H49" i="24"/>
  <c r="AB47" i="24"/>
  <c r="T47" i="24"/>
  <c r="L47" i="24"/>
  <c r="D47" i="24" s="1"/>
  <c r="F47" i="36" s="1"/>
  <c r="D47" i="21"/>
  <c r="F47" i="33" s="1"/>
  <c r="H47" i="33" s="1"/>
  <c r="X45" i="24"/>
  <c r="P45" i="24"/>
  <c r="D45" i="24" s="1"/>
  <c r="F45" i="36" s="1"/>
  <c r="H45" i="24"/>
  <c r="AB41" i="24"/>
  <c r="T41" i="24"/>
  <c r="L41" i="24"/>
  <c r="V40" i="24"/>
  <c r="V42" i="24" s="1"/>
  <c r="V43" i="24" s="1"/>
  <c r="N40" i="24"/>
  <c r="N42" i="24" s="1"/>
  <c r="N43" i="24" s="1"/>
  <c r="Z39" i="24"/>
  <c r="R39" i="24"/>
  <c r="J39" i="24"/>
  <c r="Z35" i="24"/>
  <c r="R35" i="24"/>
  <c r="J35" i="24"/>
  <c r="AD34" i="24"/>
  <c r="V34" i="24"/>
  <c r="N34" i="24"/>
  <c r="Z33" i="24"/>
  <c r="Z36" i="24" s="1"/>
  <c r="R33" i="24"/>
  <c r="J33" i="24"/>
  <c r="AD32" i="24"/>
  <c r="P32" i="24"/>
  <c r="H32" i="24"/>
  <c r="X28" i="24"/>
  <c r="P28" i="24"/>
  <c r="AB27" i="24"/>
  <c r="AB29" i="24" s="1"/>
  <c r="T27" i="24"/>
  <c r="T29" i="24" s="1"/>
  <c r="L27" i="24"/>
  <c r="D27" i="21"/>
  <c r="X23" i="24"/>
  <c r="P23" i="24"/>
  <c r="H23" i="24"/>
  <c r="D23" i="24" s="1"/>
  <c r="F23" i="36" s="1"/>
  <c r="AB22" i="24"/>
  <c r="T22" i="24"/>
  <c r="L22" i="24"/>
  <c r="D22" i="21"/>
  <c r="F22" i="33" s="1"/>
  <c r="H22" i="33" s="1"/>
  <c r="X21" i="24"/>
  <c r="P21" i="24"/>
  <c r="H21" i="24"/>
  <c r="AB20" i="24"/>
  <c r="AB24" i="24" s="1"/>
  <c r="P20" i="24"/>
  <c r="X19" i="24"/>
  <c r="X24" i="24" s="1"/>
  <c r="P19" i="24"/>
  <c r="H19" i="24"/>
  <c r="X15" i="24"/>
  <c r="P15" i="24"/>
  <c r="H15" i="24"/>
  <c r="AB14" i="24"/>
  <c r="T14" i="24"/>
  <c r="L14" i="24"/>
  <c r="D14" i="24" s="1"/>
  <c r="F14" i="36" s="1"/>
  <c r="D14" i="21"/>
  <c r="F14" i="33" s="1"/>
  <c r="H14" i="33" s="1"/>
  <c r="X13" i="24"/>
  <c r="P13" i="24"/>
  <c r="H13" i="24"/>
  <c r="D13" i="24" s="1"/>
  <c r="F13" i="36" s="1"/>
  <c r="AB12" i="24"/>
  <c r="T12" i="24"/>
  <c r="L12" i="24"/>
  <c r="S11" i="24"/>
  <c r="S16" i="24" s="1"/>
  <c r="K11" i="24"/>
  <c r="I89" i="12"/>
  <c r="I78" i="12"/>
  <c r="H70" i="12"/>
  <c r="I54" i="12"/>
  <c r="G54" i="9"/>
  <c r="G56" i="9" s="1"/>
  <c r="M54" i="9"/>
  <c r="I39" i="12"/>
  <c r="L34" i="9"/>
  <c r="H36" i="9"/>
  <c r="H82" i="9" s="1"/>
  <c r="H91" i="9" s="1"/>
  <c r="H34" i="12"/>
  <c r="F34" i="9"/>
  <c r="I32" i="12"/>
  <c r="M32" i="9"/>
  <c r="G32" i="9"/>
  <c r="H76" i="24"/>
  <c r="AB75" i="24"/>
  <c r="T75" i="24"/>
  <c r="L75" i="24"/>
  <c r="X74" i="24"/>
  <c r="P74" i="24"/>
  <c r="AA73" i="24"/>
  <c r="S73" i="24"/>
  <c r="K73" i="24"/>
  <c r="AA71" i="24"/>
  <c r="S71" i="24"/>
  <c r="K71" i="24"/>
  <c r="AE70" i="24"/>
  <c r="AE72" i="24" s="1"/>
  <c r="W70" i="24"/>
  <c r="W72" i="24" s="1"/>
  <c r="O70" i="24"/>
  <c r="R64" i="24"/>
  <c r="R66" i="24" s="1"/>
  <c r="J64" i="24"/>
  <c r="J66" i="24" s="1"/>
  <c r="Z60" i="24"/>
  <c r="R60" i="24"/>
  <c r="J60" i="24"/>
  <c r="AD59" i="24"/>
  <c r="AD61" i="24" s="1"/>
  <c r="V59" i="24"/>
  <c r="V61" i="24" s="1"/>
  <c r="N59" i="24"/>
  <c r="Z56" i="21"/>
  <c r="R56" i="21"/>
  <c r="J56" i="21"/>
  <c r="AD55" i="24"/>
  <c r="S55" i="24"/>
  <c r="K55" i="24"/>
  <c r="AE54" i="24"/>
  <c r="AE56" i="24" s="1"/>
  <c r="Q54" i="24"/>
  <c r="I54" i="24"/>
  <c r="Y51" i="24"/>
  <c r="Q51" i="24"/>
  <c r="I51" i="24"/>
  <c r="W49" i="24"/>
  <c r="O49" i="24"/>
  <c r="E49" i="24" s="1"/>
  <c r="G49" i="36" s="1"/>
  <c r="AA47" i="24"/>
  <c r="S47" i="24"/>
  <c r="K47" i="24"/>
  <c r="E47" i="24" s="1"/>
  <c r="G47" i="36" s="1"/>
  <c r="AE45" i="24"/>
  <c r="W45" i="24"/>
  <c r="O45" i="24"/>
  <c r="W42" i="21"/>
  <c r="W43" i="21" s="1"/>
  <c r="O42" i="21"/>
  <c r="O43" i="21" s="1"/>
  <c r="G42" i="21"/>
  <c r="G43" i="21" s="1"/>
  <c r="AA41" i="24"/>
  <c r="S41" i="24"/>
  <c r="K41" i="24"/>
  <c r="U40" i="24"/>
  <c r="M40" i="24"/>
  <c r="Y39" i="24"/>
  <c r="Q39" i="24"/>
  <c r="I39" i="24"/>
  <c r="E39" i="24" s="1"/>
  <c r="G39" i="36" s="1"/>
  <c r="U36" i="21"/>
  <c r="M36" i="21"/>
  <c r="M82" i="21" s="1"/>
  <c r="Y35" i="24"/>
  <c r="Q35" i="24"/>
  <c r="I35" i="24"/>
  <c r="AC34" i="24"/>
  <c r="U34" i="24"/>
  <c r="M34" i="24"/>
  <c r="E34" i="24" s="1"/>
  <c r="G34" i="36" s="1"/>
  <c r="Y33" i="24"/>
  <c r="Q33" i="24"/>
  <c r="I33" i="24"/>
  <c r="W32" i="24"/>
  <c r="W36" i="24" s="1"/>
  <c r="O32" i="24"/>
  <c r="AE28" i="24"/>
  <c r="W28" i="24"/>
  <c r="O28" i="24"/>
  <c r="O29" i="24" s="1"/>
  <c r="AA27" i="24"/>
  <c r="S27" i="24"/>
  <c r="S29" i="24" s="1"/>
  <c r="K27" i="24"/>
  <c r="K29" i="24" s="1"/>
  <c r="W23" i="24"/>
  <c r="O23" i="24"/>
  <c r="AA22" i="24"/>
  <c r="S22" i="24"/>
  <c r="K22" i="24"/>
  <c r="E22" i="24" s="1"/>
  <c r="G22" i="36" s="1"/>
  <c r="AE21" i="24"/>
  <c r="W21" i="24"/>
  <c r="O21" i="24"/>
  <c r="AA20" i="24"/>
  <c r="AA24" i="24" s="1"/>
  <c r="N20" i="24"/>
  <c r="W19" i="24"/>
  <c r="O19" i="24"/>
  <c r="S16" i="21"/>
  <c r="S82" i="21" s="1"/>
  <c r="K16" i="21"/>
  <c r="AE15" i="24"/>
  <c r="W15" i="24"/>
  <c r="O15" i="24"/>
  <c r="AA14" i="24"/>
  <c r="S14" i="24"/>
  <c r="K14" i="24"/>
  <c r="AE13" i="24"/>
  <c r="W13" i="24"/>
  <c r="O13" i="24"/>
  <c r="AA12" i="24"/>
  <c r="S12" i="24"/>
  <c r="K12" i="24"/>
  <c r="AE11" i="24"/>
  <c r="R11" i="24"/>
  <c r="J11" i="24"/>
  <c r="J16" i="24" s="1"/>
  <c r="H89" i="12"/>
  <c r="F81" i="9"/>
  <c r="L79" i="9"/>
  <c r="D79" i="33" s="1"/>
  <c r="D79" i="5" s="1"/>
  <c r="H78" i="12"/>
  <c r="F77" i="9"/>
  <c r="L75" i="9"/>
  <c r="D75" i="33" s="1"/>
  <c r="H74" i="12"/>
  <c r="L71" i="9"/>
  <c r="D71" i="33" s="1"/>
  <c r="H71" i="33" s="1"/>
  <c r="G70" i="9"/>
  <c r="G72" i="9" s="1"/>
  <c r="M64" i="9"/>
  <c r="H54" i="12"/>
  <c r="L54" i="9"/>
  <c r="H56" i="9"/>
  <c r="I45" i="12"/>
  <c r="G45" i="9"/>
  <c r="M45" i="9"/>
  <c r="E45" i="33" s="1"/>
  <c r="I36" i="9"/>
  <c r="I20" i="12"/>
  <c r="G20" i="9"/>
  <c r="M20" i="9"/>
  <c r="E20" i="33" s="1"/>
  <c r="I20" i="33" s="1"/>
  <c r="AB55" i="24"/>
  <c r="AB56" i="24" s="1"/>
  <c r="R55" i="24"/>
  <c r="J55" i="24"/>
  <c r="AD54" i="24"/>
  <c r="P54" i="24"/>
  <c r="P56" i="24" s="1"/>
  <c r="H54" i="24"/>
  <c r="H56" i="24" s="1"/>
  <c r="X51" i="24"/>
  <c r="P51" i="24"/>
  <c r="H51" i="24"/>
  <c r="V49" i="24"/>
  <c r="N49" i="24"/>
  <c r="Z47" i="24"/>
  <c r="R47" i="24"/>
  <c r="J47" i="24"/>
  <c r="AD45" i="24"/>
  <c r="V45" i="24"/>
  <c r="N45" i="24"/>
  <c r="Z41" i="24"/>
  <c r="Z42" i="24" s="1"/>
  <c r="Z43" i="24" s="1"/>
  <c r="R41" i="24"/>
  <c r="J41" i="24"/>
  <c r="AD40" i="24"/>
  <c r="T40" i="24"/>
  <c r="T42" i="24" s="1"/>
  <c r="T43" i="24" s="1"/>
  <c r="L40" i="24"/>
  <c r="D40" i="21"/>
  <c r="X39" i="24"/>
  <c r="P39" i="24"/>
  <c r="H39" i="24"/>
  <c r="D39" i="24" s="1"/>
  <c r="F39" i="36" s="1"/>
  <c r="X35" i="24"/>
  <c r="P35" i="24"/>
  <c r="H35" i="24"/>
  <c r="D35" i="24" s="1"/>
  <c r="F35" i="36" s="1"/>
  <c r="AB34" i="24"/>
  <c r="T34" i="24"/>
  <c r="L34" i="24"/>
  <c r="X33" i="24"/>
  <c r="X36" i="24" s="1"/>
  <c r="P33" i="24"/>
  <c r="H33" i="24"/>
  <c r="V32" i="24"/>
  <c r="N32" i="24"/>
  <c r="AD28" i="24"/>
  <c r="V28" i="24"/>
  <c r="N28" i="24"/>
  <c r="Z27" i="24"/>
  <c r="R27" i="24"/>
  <c r="R29" i="24" s="1"/>
  <c r="J27" i="24"/>
  <c r="V23" i="24"/>
  <c r="N23" i="24"/>
  <c r="Z22" i="24"/>
  <c r="R22" i="24"/>
  <c r="J22" i="24"/>
  <c r="AD21" i="24"/>
  <c r="V21" i="24"/>
  <c r="N21" i="24"/>
  <c r="Z20" i="24"/>
  <c r="M20" i="24"/>
  <c r="V19" i="24"/>
  <c r="N19" i="24"/>
  <c r="N24" i="24" s="1"/>
  <c r="AD15" i="24"/>
  <c r="V15" i="24"/>
  <c r="N15" i="24"/>
  <c r="Z14" i="24"/>
  <c r="R14" i="24"/>
  <c r="J14" i="24"/>
  <c r="AD13" i="24"/>
  <c r="V13" i="24"/>
  <c r="N13" i="24"/>
  <c r="Z12" i="24"/>
  <c r="R12" i="24"/>
  <c r="J12" i="24"/>
  <c r="AD11" i="24"/>
  <c r="Q11" i="24"/>
  <c r="I11" i="24"/>
  <c r="I79" i="12"/>
  <c r="I75" i="12"/>
  <c r="I71" i="12"/>
  <c r="F56" i="9"/>
  <c r="I49" i="12"/>
  <c r="M49" i="9"/>
  <c r="E49" i="33" s="1"/>
  <c r="E49" i="5" s="1"/>
  <c r="G49" i="9"/>
  <c r="H45" i="12"/>
  <c r="L45" i="9"/>
  <c r="D45" i="33" s="1"/>
  <c r="F45" i="9"/>
  <c r="I22" i="12"/>
  <c r="M22" i="9"/>
  <c r="E22" i="33" s="1"/>
  <c r="G22" i="9"/>
  <c r="H20" i="12"/>
  <c r="L20" i="9"/>
  <c r="F20" i="9"/>
  <c r="H39" i="12"/>
  <c r="H35" i="12"/>
  <c r="H28" i="12"/>
  <c r="H21" i="12"/>
  <c r="H13" i="12"/>
  <c r="H59" i="12"/>
  <c r="H49" i="12"/>
  <c r="H40" i="12"/>
  <c r="F39" i="9"/>
  <c r="F35" i="9"/>
  <c r="H32" i="12"/>
  <c r="F28" i="9"/>
  <c r="H22" i="12"/>
  <c r="F21" i="9"/>
  <c r="F24" i="9" s="1"/>
  <c r="H14" i="12"/>
  <c r="F13" i="9"/>
  <c r="I60" i="12"/>
  <c r="I51" i="12"/>
  <c r="I41" i="12"/>
  <c r="I33" i="12"/>
  <c r="I23" i="12"/>
  <c r="I19" i="12"/>
  <c r="I15" i="12"/>
  <c r="I11" i="12"/>
  <c r="Z89" i="24"/>
  <c r="R89" i="24"/>
  <c r="J89" i="24"/>
  <c r="D65" i="24"/>
  <c r="F65" i="36" s="1"/>
  <c r="H60" i="12"/>
  <c r="F59" i="9"/>
  <c r="F61" i="9" s="1"/>
  <c r="H51" i="12"/>
  <c r="F49" i="9"/>
  <c r="H41" i="12"/>
  <c r="F40" i="9"/>
  <c r="F42" i="9" s="1"/>
  <c r="F43" i="9" s="1"/>
  <c r="H33" i="12"/>
  <c r="F32" i="9"/>
  <c r="H23" i="12"/>
  <c r="F22" i="9"/>
  <c r="H19" i="12"/>
  <c r="H15" i="12"/>
  <c r="F14" i="9"/>
  <c r="H11" i="12"/>
  <c r="E33" i="24"/>
  <c r="G33" i="36" s="1"/>
  <c r="D73" i="20"/>
  <c r="F73" i="32" s="1"/>
  <c r="H73" i="32" s="1"/>
  <c r="H34" i="32"/>
  <c r="P36" i="20"/>
  <c r="H36" i="20"/>
  <c r="D79" i="24"/>
  <c r="F79" i="36" s="1"/>
  <c r="I74" i="12"/>
  <c r="I65" i="12"/>
  <c r="I55" i="12"/>
  <c r="I47" i="12"/>
  <c r="I35" i="12"/>
  <c r="I28" i="12"/>
  <c r="I21" i="12"/>
  <c r="I13" i="12"/>
  <c r="F72" i="24"/>
  <c r="E41" i="24"/>
  <c r="G41" i="36" s="1"/>
  <c r="F33" i="8"/>
  <c r="L33" i="8"/>
  <c r="D33" i="32" s="1"/>
  <c r="D19" i="32"/>
  <c r="M11" i="8"/>
  <c r="I16" i="8"/>
  <c r="G11" i="8"/>
  <c r="G16" i="8" s="1"/>
  <c r="E78" i="20"/>
  <c r="G78" i="32" s="1"/>
  <c r="I78" i="32" s="1"/>
  <c r="D76" i="20"/>
  <c r="F76" i="32" s="1"/>
  <c r="H76" i="32" s="1"/>
  <c r="D75" i="20"/>
  <c r="F75" i="32" s="1"/>
  <c r="I82" i="20"/>
  <c r="G639" i="44" s="1"/>
  <c r="F42" i="8"/>
  <c r="F43" i="8" s="1"/>
  <c r="D80" i="20"/>
  <c r="F80" i="32" s="1"/>
  <c r="H80" i="32" s="1"/>
  <c r="H79" i="32"/>
  <c r="O82" i="20"/>
  <c r="M639" i="44" s="1"/>
  <c r="F27" i="41"/>
  <c r="E22" i="4"/>
  <c r="D27" i="4"/>
  <c r="D30" i="4" s="1"/>
  <c r="E54" i="20"/>
  <c r="G56" i="20"/>
  <c r="D40" i="20"/>
  <c r="L42" i="20"/>
  <c r="L43" i="20" s="1"/>
  <c r="Y82" i="20"/>
  <c r="W639" i="44" s="1"/>
  <c r="D49" i="29"/>
  <c r="F49" i="41" s="1"/>
  <c r="H49" i="41" s="1"/>
  <c r="E13" i="24"/>
  <c r="G13" i="36" s="1"/>
  <c r="F61" i="20"/>
  <c r="D60" i="20"/>
  <c r="F60" i="32" s="1"/>
  <c r="H60" i="32" s="1"/>
  <c r="D64" i="29"/>
  <c r="J66" i="29"/>
  <c r="F29" i="24"/>
  <c r="M66" i="8"/>
  <c r="E64" i="32"/>
  <c r="E66" i="32" s="1"/>
  <c r="E70" i="20"/>
  <c r="K72" i="20"/>
  <c r="G36" i="24"/>
  <c r="J89" i="12"/>
  <c r="F78" i="8"/>
  <c r="L78" i="8"/>
  <c r="D78" i="32" s="1"/>
  <c r="I29" i="8"/>
  <c r="G28" i="8"/>
  <c r="G29" i="8" s="1"/>
  <c r="M28" i="8"/>
  <c r="D71" i="20"/>
  <c r="F71" i="32" s="1"/>
  <c r="H71" i="32" s="1"/>
  <c r="E82" i="12"/>
  <c r="E91" i="12" s="1"/>
  <c r="E24" i="4"/>
  <c r="G72" i="8"/>
  <c r="L61" i="8"/>
  <c r="L51" i="8"/>
  <c r="D51" i="32" s="1"/>
  <c r="F51" i="8"/>
  <c r="M21" i="8"/>
  <c r="E21" i="32" s="1"/>
  <c r="I21" i="32" s="1"/>
  <c r="G21" i="8"/>
  <c r="H49" i="32"/>
  <c r="F16" i="24"/>
  <c r="F82" i="24" s="1"/>
  <c r="F91" i="24" s="1"/>
  <c r="E14" i="24"/>
  <c r="G14" i="36" s="1"/>
  <c r="F89" i="12"/>
  <c r="K72" i="12"/>
  <c r="J24" i="12"/>
  <c r="E72" i="32"/>
  <c r="E54" i="32"/>
  <c r="L32" i="8"/>
  <c r="F32" i="8"/>
  <c r="H36" i="8"/>
  <c r="L29" i="8"/>
  <c r="D27" i="32"/>
  <c r="D29" i="32" s="1"/>
  <c r="F15" i="8"/>
  <c r="L15" i="8"/>
  <c r="D15" i="32" s="1"/>
  <c r="H15" i="32" s="1"/>
  <c r="X72" i="20"/>
  <c r="P72" i="20"/>
  <c r="D70" i="20"/>
  <c r="H72" i="20"/>
  <c r="D59" i="20"/>
  <c r="D55" i="20"/>
  <c r="F55" i="32" s="1"/>
  <c r="H55" i="32" s="1"/>
  <c r="H28" i="32"/>
  <c r="D23" i="20"/>
  <c r="F23" i="32" s="1"/>
  <c r="H23" i="32" s="1"/>
  <c r="L24" i="20"/>
  <c r="F56" i="41"/>
  <c r="H54" i="41"/>
  <c r="H56" i="41" s="1"/>
  <c r="G65" i="17"/>
  <c r="G66" i="17" s="1"/>
  <c r="M65" i="17"/>
  <c r="M66" i="17" s="1"/>
  <c r="L77" i="8"/>
  <c r="D77" i="32" s="1"/>
  <c r="F77" i="8"/>
  <c r="M45" i="8"/>
  <c r="E45" i="32" s="1"/>
  <c r="E45" i="5" s="1"/>
  <c r="G45" i="8"/>
  <c r="G41" i="8"/>
  <c r="M41" i="8"/>
  <c r="E41" i="32" s="1"/>
  <c r="D74" i="20"/>
  <c r="F74" i="32" s="1"/>
  <c r="W82" i="20"/>
  <c r="U639" i="44" s="1"/>
  <c r="E14" i="20"/>
  <c r="G14" i="32" s="1"/>
  <c r="I14" i="32" s="1"/>
  <c r="D77" i="29"/>
  <c r="F77" i="41" s="1"/>
  <c r="H77" i="41" s="1"/>
  <c r="F54" i="8"/>
  <c r="F56" i="8" s="1"/>
  <c r="H56" i="8"/>
  <c r="L54" i="8"/>
  <c r="E80" i="20"/>
  <c r="G80" i="32" s="1"/>
  <c r="I80" i="32" s="1"/>
  <c r="D78" i="20"/>
  <c r="F78" i="32" s="1"/>
  <c r="D51" i="20"/>
  <c r="F51" i="32" s="1"/>
  <c r="H51" i="32" s="1"/>
  <c r="D45" i="20"/>
  <c r="F45" i="32" s="1"/>
  <c r="H45" i="32" s="1"/>
  <c r="I33" i="32"/>
  <c r="D21" i="20"/>
  <c r="F21" i="32" s="1"/>
  <c r="H21" i="32" s="1"/>
  <c r="H59" i="41"/>
  <c r="D60" i="29"/>
  <c r="F61" i="29"/>
  <c r="K16" i="12"/>
  <c r="E19" i="4"/>
  <c r="F27" i="4"/>
  <c r="F30" i="4" s="1"/>
  <c r="E12" i="4"/>
  <c r="E27" i="4" s="1"/>
  <c r="E30" i="4" s="1"/>
  <c r="M40" i="8"/>
  <c r="I42" i="8"/>
  <c r="I43" i="8" s="1"/>
  <c r="G40" i="8"/>
  <c r="G42" i="8" s="1"/>
  <c r="G43" i="8" s="1"/>
  <c r="L14" i="8"/>
  <c r="D14" i="32" s="1"/>
  <c r="F14" i="8"/>
  <c r="F64" i="32"/>
  <c r="E47" i="20"/>
  <c r="G47" i="32" s="1"/>
  <c r="I47" i="32" s="1"/>
  <c r="Q16" i="20"/>
  <c r="Q82" i="20" s="1"/>
  <c r="O639" i="44" s="1"/>
  <c r="S82" i="29"/>
  <c r="Q638" i="44" s="1"/>
  <c r="I16" i="29"/>
  <c r="I82" i="29" s="1"/>
  <c r="G638" i="44" s="1"/>
  <c r="J16" i="12"/>
  <c r="J82" i="12" s="1"/>
  <c r="J91" i="12" s="1"/>
  <c r="D61" i="32"/>
  <c r="M74" i="8"/>
  <c r="E74" i="32" s="1"/>
  <c r="E74" i="5" s="1"/>
  <c r="G74" i="8"/>
  <c r="M72" i="8"/>
  <c r="F29" i="8"/>
  <c r="G22" i="8"/>
  <c r="G24" i="8" s="1"/>
  <c r="M22" i="8"/>
  <c r="E22" i="32" s="1"/>
  <c r="E76" i="20"/>
  <c r="G76" i="32" s="1"/>
  <c r="I76" i="32" s="1"/>
  <c r="Z56" i="20"/>
  <c r="R56" i="20"/>
  <c r="J56" i="20"/>
  <c r="D54" i="20"/>
  <c r="E41" i="20"/>
  <c r="G41" i="32" s="1"/>
  <c r="I41" i="32" s="1"/>
  <c r="M42" i="20"/>
  <c r="M43" i="20" s="1"/>
  <c r="AA82" i="20"/>
  <c r="Y639" i="44" s="1"/>
  <c r="T82" i="20"/>
  <c r="R639" i="44" s="1"/>
  <c r="H14" i="32"/>
  <c r="H16" i="32" s="1"/>
  <c r="F80" i="8"/>
  <c r="I66" i="8"/>
  <c r="F59" i="8"/>
  <c r="F61" i="8" s="1"/>
  <c r="I36" i="8"/>
  <c r="F35" i="8"/>
  <c r="G32" i="8"/>
  <c r="G36" i="8" s="1"/>
  <c r="I24" i="8"/>
  <c r="G14" i="8"/>
  <c r="F11" i="8"/>
  <c r="F16" i="8" s="1"/>
  <c r="H16" i="8"/>
  <c r="G72" i="20"/>
  <c r="E71" i="20"/>
  <c r="G71" i="32" s="1"/>
  <c r="I71" i="32" s="1"/>
  <c r="E36" i="20"/>
  <c r="G32" i="32"/>
  <c r="D22" i="20"/>
  <c r="F22" i="32" s="1"/>
  <c r="H22" i="32" s="1"/>
  <c r="AC16" i="20"/>
  <c r="AC82" i="20" s="1"/>
  <c r="AA639" i="44" s="1"/>
  <c r="S16" i="20"/>
  <c r="S82" i="20" s="1"/>
  <c r="Q639" i="44" s="1"/>
  <c r="K16" i="20"/>
  <c r="K82" i="20" s="1"/>
  <c r="I639" i="44" s="1"/>
  <c r="D66" i="41"/>
  <c r="E70" i="29"/>
  <c r="E42" i="29"/>
  <c r="E43" i="29" s="1"/>
  <c r="G40" i="41"/>
  <c r="E28" i="29"/>
  <c r="G28" i="41" s="1"/>
  <c r="I28" i="41" s="1"/>
  <c r="L77" i="17"/>
  <c r="F77" i="17"/>
  <c r="L24" i="17"/>
  <c r="I27" i="32"/>
  <c r="M79" i="8"/>
  <c r="E79" i="32" s="1"/>
  <c r="M55" i="8"/>
  <c r="E55" i="32" s="1"/>
  <c r="I55" i="32" s="1"/>
  <c r="L41" i="8"/>
  <c r="M34" i="8"/>
  <c r="E34" i="32" s="1"/>
  <c r="I34" i="32" s="1"/>
  <c r="L22" i="8"/>
  <c r="D22" i="32" s="1"/>
  <c r="M19" i="8"/>
  <c r="G61" i="20"/>
  <c r="E60" i="20"/>
  <c r="G60" i="32" s="1"/>
  <c r="I60" i="32" s="1"/>
  <c r="I61" i="32" s="1"/>
  <c r="E45" i="20"/>
  <c r="G45" i="32" s="1"/>
  <c r="D33" i="20"/>
  <c r="H11" i="41"/>
  <c r="E79" i="29"/>
  <c r="G79" i="41" s="1"/>
  <c r="I79" i="41" s="1"/>
  <c r="D71" i="29"/>
  <c r="F71" i="41" s="1"/>
  <c r="H71" i="41" s="1"/>
  <c r="L72" i="29"/>
  <c r="F66" i="29"/>
  <c r="D65" i="29"/>
  <c r="F65" i="41" s="1"/>
  <c r="H65" i="41" s="1"/>
  <c r="X66" i="29"/>
  <c r="G61" i="29"/>
  <c r="E59" i="29"/>
  <c r="E41" i="29"/>
  <c r="G41" i="41" s="1"/>
  <c r="I41" i="41" s="1"/>
  <c r="D73" i="22"/>
  <c r="F73" i="34" s="1"/>
  <c r="H73" i="34" s="1"/>
  <c r="E65" i="20"/>
  <c r="G65" i="32" s="1"/>
  <c r="I65" i="32" s="1"/>
  <c r="E49" i="20"/>
  <c r="G49" i="32" s="1"/>
  <c r="I49" i="32" s="1"/>
  <c r="D39" i="20"/>
  <c r="F39" i="32" s="1"/>
  <c r="H39" i="32" s="1"/>
  <c r="U16" i="20"/>
  <c r="U82" i="20" s="1"/>
  <c r="S639" i="44" s="1"/>
  <c r="M16" i="20"/>
  <c r="E13" i="20"/>
  <c r="G13" i="32" s="1"/>
  <c r="I13" i="32" s="1"/>
  <c r="E82" i="41"/>
  <c r="D16" i="41"/>
  <c r="D82" i="41" s="1"/>
  <c r="H79" i="41"/>
  <c r="AE82" i="29"/>
  <c r="AC638" i="44" s="1"/>
  <c r="F36" i="29"/>
  <c r="D32" i="29"/>
  <c r="L32" i="17"/>
  <c r="F32" i="17"/>
  <c r="F36" i="17" s="1"/>
  <c r="H36" i="17"/>
  <c r="L23" i="8"/>
  <c r="D23" i="32" s="1"/>
  <c r="F19" i="8"/>
  <c r="F24" i="8" s="1"/>
  <c r="H24" i="8"/>
  <c r="E73" i="20"/>
  <c r="G73" i="32" s="1"/>
  <c r="D65" i="20"/>
  <c r="F65" i="32" s="1"/>
  <c r="H65" i="32" s="1"/>
  <c r="U56" i="20"/>
  <c r="M56" i="20"/>
  <c r="E51" i="20"/>
  <c r="G51" i="32" s="1"/>
  <c r="I51" i="32" s="1"/>
  <c r="D35" i="20"/>
  <c r="F35" i="32" s="1"/>
  <c r="H35" i="32" s="1"/>
  <c r="D27" i="20"/>
  <c r="X24" i="20"/>
  <c r="X82" i="20" s="1"/>
  <c r="V639" i="44" s="1"/>
  <c r="P24" i="20"/>
  <c r="P82" i="20" s="1"/>
  <c r="N639" i="44" s="1"/>
  <c r="H24" i="20"/>
  <c r="H82" i="20" s="1"/>
  <c r="F639" i="44" s="1"/>
  <c r="E12" i="20"/>
  <c r="G12" i="32" s="1"/>
  <c r="I12" i="32" s="1"/>
  <c r="D16" i="20"/>
  <c r="H75" i="41"/>
  <c r="D73" i="29"/>
  <c r="F73" i="41" s="1"/>
  <c r="H73" i="41" s="1"/>
  <c r="D45" i="29"/>
  <c r="F45" i="41" s="1"/>
  <c r="H45" i="41" s="1"/>
  <c r="K82" i="29"/>
  <c r="I638" i="44" s="1"/>
  <c r="AC82" i="29"/>
  <c r="AA638" i="44" s="1"/>
  <c r="M82" i="29"/>
  <c r="K638" i="44" s="1"/>
  <c r="E14" i="29"/>
  <c r="G14" i="41" s="1"/>
  <c r="I14" i="41" s="1"/>
  <c r="W82" i="29"/>
  <c r="U638" i="44" s="1"/>
  <c r="L27" i="17"/>
  <c r="L29" i="17" s="1"/>
  <c r="H29" i="17"/>
  <c r="F27" i="17"/>
  <c r="F29" i="17" s="1"/>
  <c r="D64" i="32"/>
  <c r="D66" i="32" s="1"/>
  <c r="L72" i="8"/>
  <c r="I56" i="8"/>
  <c r="F41" i="8"/>
  <c r="F28" i="8"/>
  <c r="E64" i="20"/>
  <c r="R36" i="20"/>
  <c r="R82" i="20" s="1"/>
  <c r="P639" i="44" s="1"/>
  <c r="J36" i="20"/>
  <c r="J82" i="20" s="1"/>
  <c r="H639" i="44" s="1"/>
  <c r="AD24" i="20"/>
  <c r="AD82" i="20" s="1"/>
  <c r="AB639" i="44" s="1"/>
  <c r="E20" i="20"/>
  <c r="G20" i="32" s="1"/>
  <c r="I20" i="32" s="1"/>
  <c r="F24" i="20"/>
  <c r="D78" i="29"/>
  <c r="F78" i="41" s="1"/>
  <c r="H78" i="41" s="1"/>
  <c r="F70" i="41"/>
  <c r="D56" i="29"/>
  <c r="E33" i="29"/>
  <c r="G33" i="41" s="1"/>
  <c r="I33" i="41" s="1"/>
  <c r="H14" i="41"/>
  <c r="F76" i="8"/>
  <c r="F49" i="8"/>
  <c r="H29" i="8"/>
  <c r="D41" i="20"/>
  <c r="F41" i="32" s="1"/>
  <c r="Z82" i="20"/>
  <c r="X639" i="44" s="1"/>
  <c r="V24" i="20"/>
  <c r="V82" i="20" s="1"/>
  <c r="T639" i="44" s="1"/>
  <c r="N24" i="20"/>
  <c r="N82" i="20" s="1"/>
  <c r="L639" i="44" s="1"/>
  <c r="D81" i="29"/>
  <c r="F81" i="41" s="1"/>
  <c r="H81" i="41" s="1"/>
  <c r="D74" i="29"/>
  <c r="F74" i="41" s="1"/>
  <c r="H74" i="41" s="1"/>
  <c r="L59" i="17"/>
  <c r="L61" i="17" s="1"/>
  <c r="H61" i="17"/>
  <c r="F59" i="17"/>
  <c r="F61" i="17" s="1"/>
  <c r="G29" i="20"/>
  <c r="D19" i="20"/>
  <c r="E81" i="29"/>
  <c r="G81" i="41" s="1"/>
  <c r="I81" i="41" s="1"/>
  <c r="H72" i="29"/>
  <c r="Z61" i="29"/>
  <c r="R61" i="29"/>
  <c r="D47" i="29"/>
  <c r="F47" i="41" s="1"/>
  <c r="H47" i="41" s="1"/>
  <c r="E45" i="29"/>
  <c r="G45" i="41" s="1"/>
  <c r="I45" i="41" s="1"/>
  <c r="AD36" i="29"/>
  <c r="AD82" i="29" s="1"/>
  <c r="AB638" i="44" s="1"/>
  <c r="V36" i="29"/>
  <c r="V82" i="29" s="1"/>
  <c r="T638" i="44" s="1"/>
  <c r="N36" i="29"/>
  <c r="N82" i="29" s="1"/>
  <c r="L638" i="44" s="1"/>
  <c r="D33" i="29"/>
  <c r="F33" i="41" s="1"/>
  <c r="H33" i="41" s="1"/>
  <c r="E32" i="29"/>
  <c r="P24" i="29"/>
  <c r="P82" i="29" s="1"/>
  <c r="N638" i="44" s="1"/>
  <c r="D20" i="29"/>
  <c r="F20" i="41" s="1"/>
  <c r="H20" i="41" s="1"/>
  <c r="D12" i="29"/>
  <c r="F12" i="41" s="1"/>
  <c r="L65" i="17"/>
  <c r="L66" i="17" s="1"/>
  <c r="F65" i="17"/>
  <c r="F66" i="17" s="1"/>
  <c r="G61" i="17"/>
  <c r="G36" i="17"/>
  <c r="I29" i="17"/>
  <c r="G27" i="17"/>
  <c r="G29" i="17" s="1"/>
  <c r="M27" i="17"/>
  <c r="M29" i="17" s="1"/>
  <c r="G12" i="17"/>
  <c r="M12" i="17"/>
  <c r="M16" i="17" s="1"/>
  <c r="I16" i="17"/>
  <c r="E80" i="22"/>
  <c r="G80" i="34" s="1"/>
  <c r="I80" i="34" s="1"/>
  <c r="D78" i="22"/>
  <c r="F78" i="34" s="1"/>
  <c r="AA82" i="22"/>
  <c r="Y642" i="44" s="1"/>
  <c r="F16" i="20"/>
  <c r="E65" i="29"/>
  <c r="G65" i="41" s="1"/>
  <c r="I65" i="41" s="1"/>
  <c r="E60" i="29"/>
  <c r="G60" i="41" s="1"/>
  <c r="I60" i="41" s="1"/>
  <c r="E49" i="29"/>
  <c r="G49" i="41" s="1"/>
  <c r="I49" i="41" s="1"/>
  <c r="Z43" i="29"/>
  <c r="Z82" i="29" s="1"/>
  <c r="X638" i="44" s="1"/>
  <c r="D34" i="29"/>
  <c r="F34" i="41" s="1"/>
  <c r="H34" i="41" s="1"/>
  <c r="M74" i="17"/>
  <c r="G74" i="17"/>
  <c r="M60" i="17"/>
  <c r="I61" i="17"/>
  <c r="G60" i="17"/>
  <c r="J82" i="17"/>
  <c r="E56" i="22"/>
  <c r="G54" i="34"/>
  <c r="L61" i="29"/>
  <c r="D51" i="29"/>
  <c r="F51" i="41" s="1"/>
  <c r="H51" i="41" s="1"/>
  <c r="D35" i="29"/>
  <c r="F35" i="41" s="1"/>
  <c r="H35" i="41" s="1"/>
  <c r="E34" i="29"/>
  <c r="G34" i="41" s="1"/>
  <c r="I34" i="41" s="1"/>
  <c r="I56" i="17"/>
  <c r="M54" i="17"/>
  <c r="G54" i="17"/>
  <c r="G56" i="17" s="1"/>
  <c r="L35" i="17"/>
  <c r="F35" i="17"/>
  <c r="F22" i="17"/>
  <c r="F24" i="17" s="1"/>
  <c r="F82" i="17" s="1"/>
  <c r="H24" i="17"/>
  <c r="L22" i="17"/>
  <c r="L16" i="17"/>
  <c r="E73" i="29"/>
  <c r="G73" i="41" s="1"/>
  <c r="I73" i="41" s="1"/>
  <c r="G72" i="29"/>
  <c r="E71" i="29"/>
  <c r="G71" i="41" s="1"/>
  <c r="I71" i="41" s="1"/>
  <c r="E64" i="29"/>
  <c r="E51" i="29"/>
  <c r="G51" i="41" s="1"/>
  <c r="I51" i="41" s="1"/>
  <c r="D39" i="29"/>
  <c r="F39" i="41" s="1"/>
  <c r="H39" i="41" s="1"/>
  <c r="D22" i="29"/>
  <c r="F22" i="41" s="1"/>
  <c r="H22" i="41" s="1"/>
  <c r="D15" i="29"/>
  <c r="F15" i="41" s="1"/>
  <c r="H15" i="41" s="1"/>
  <c r="L40" i="17"/>
  <c r="L42" i="17" s="1"/>
  <c r="L43" i="17" s="1"/>
  <c r="H42" i="17"/>
  <c r="H43" i="17" s="1"/>
  <c r="F40" i="17"/>
  <c r="F42" i="17" s="1"/>
  <c r="F43" i="17" s="1"/>
  <c r="G20" i="17"/>
  <c r="I24" i="17"/>
  <c r="E75" i="29"/>
  <c r="G75" i="41" s="1"/>
  <c r="I75" i="41" s="1"/>
  <c r="G66" i="29"/>
  <c r="W56" i="29"/>
  <c r="O56" i="29"/>
  <c r="F42" i="29"/>
  <c r="F43" i="29" s="1"/>
  <c r="D40" i="29"/>
  <c r="U16" i="29"/>
  <c r="U82" i="29" s="1"/>
  <c r="S638" i="44" s="1"/>
  <c r="D66" i="22"/>
  <c r="F64" i="34"/>
  <c r="E77" i="29"/>
  <c r="G77" i="41" s="1"/>
  <c r="I77" i="41" s="1"/>
  <c r="D41" i="29"/>
  <c r="F41" i="41" s="1"/>
  <c r="H41" i="41" s="1"/>
  <c r="F29" i="29"/>
  <c r="D28" i="29"/>
  <c r="F28" i="41" s="1"/>
  <c r="H28" i="41" s="1"/>
  <c r="F24" i="29"/>
  <c r="F82" i="29" s="1"/>
  <c r="D19" i="29"/>
  <c r="AB16" i="29"/>
  <c r="AB82" i="29" s="1"/>
  <c r="Z638" i="44" s="1"/>
  <c r="T16" i="29"/>
  <c r="T82" i="29" s="1"/>
  <c r="R638" i="44" s="1"/>
  <c r="L16" i="29"/>
  <c r="L82" i="29" s="1"/>
  <c r="J638" i="44" s="1"/>
  <c r="L80" i="17"/>
  <c r="F80" i="17"/>
  <c r="M77" i="17"/>
  <c r="G77" i="17"/>
  <c r="L45" i="17"/>
  <c r="F45" i="17"/>
  <c r="M36" i="17"/>
  <c r="E20" i="29"/>
  <c r="G20" i="41" s="1"/>
  <c r="Y24" i="29"/>
  <c r="Y82" i="29" s="1"/>
  <c r="W638" i="44" s="1"/>
  <c r="Q24" i="29"/>
  <c r="Q82" i="29" s="1"/>
  <c r="O638" i="44" s="1"/>
  <c r="E12" i="29"/>
  <c r="G12" i="41" s="1"/>
  <c r="I12" i="41" s="1"/>
  <c r="L78" i="17"/>
  <c r="M75" i="17"/>
  <c r="M55" i="17"/>
  <c r="L28" i="17"/>
  <c r="E81" i="22"/>
  <c r="G81" i="34" s="1"/>
  <c r="I81" i="34" s="1"/>
  <c r="D51" i="22"/>
  <c r="F51" i="34" s="1"/>
  <c r="H51" i="34" s="1"/>
  <c r="I28" i="34"/>
  <c r="I32" i="50"/>
  <c r="E27" i="29"/>
  <c r="H66" i="17"/>
  <c r="D74" i="22"/>
  <c r="F74" i="34" s="1"/>
  <c r="H74" i="34" s="1"/>
  <c r="X72" i="22"/>
  <c r="E60" i="22"/>
  <c r="G60" i="34" s="1"/>
  <c r="I60" i="34" s="1"/>
  <c r="Y61" i="22"/>
  <c r="Y82" i="22" s="1"/>
  <c r="W642" i="44" s="1"/>
  <c r="G36" i="22"/>
  <c r="E33" i="22"/>
  <c r="G33" i="34" s="1"/>
  <c r="I33" i="34" s="1"/>
  <c r="G81" i="10"/>
  <c r="M81" i="10"/>
  <c r="E81" i="34" s="1"/>
  <c r="O24" i="29"/>
  <c r="O82" i="29" s="1"/>
  <c r="M638" i="44" s="1"/>
  <c r="M79" i="17"/>
  <c r="K82" i="17"/>
  <c r="H45" i="34"/>
  <c r="H81" i="34"/>
  <c r="D80" i="22"/>
  <c r="F80" i="34" s="1"/>
  <c r="H80" i="34" s="1"/>
  <c r="E77" i="22"/>
  <c r="G77" i="34" s="1"/>
  <c r="I77" i="34" s="1"/>
  <c r="E64" i="22"/>
  <c r="D61" i="22"/>
  <c r="F59" i="34"/>
  <c r="D54" i="22"/>
  <c r="G40" i="34"/>
  <c r="D66" i="50"/>
  <c r="I66" i="17"/>
  <c r="M61" i="17"/>
  <c r="I42" i="17"/>
  <c r="I43" i="17" s="1"/>
  <c r="M24" i="17"/>
  <c r="I72" i="34"/>
  <c r="D36" i="34"/>
  <c r="E78" i="22"/>
  <c r="G78" i="34" s="1"/>
  <c r="I78" i="34" s="1"/>
  <c r="D76" i="22"/>
  <c r="F76" i="34" s="1"/>
  <c r="H76" i="34" s="1"/>
  <c r="H60" i="34"/>
  <c r="J56" i="22"/>
  <c r="D55" i="22"/>
  <c r="F55" i="34" s="1"/>
  <c r="H55" i="34" s="1"/>
  <c r="G27" i="34"/>
  <c r="E29" i="22"/>
  <c r="Q82" i="22"/>
  <c r="O642" i="44" s="1"/>
  <c r="E20" i="22"/>
  <c r="G20" i="34" s="1"/>
  <c r="I20" i="34" s="1"/>
  <c r="S82" i="22"/>
  <c r="Q642" i="44" s="1"/>
  <c r="E11" i="22"/>
  <c r="E23" i="29"/>
  <c r="G23" i="41" s="1"/>
  <c r="I23" i="41" s="1"/>
  <c r="G24" i="17"/>
  <c r="H16" i="17"/>
  <c r="G16" i="17"/>
  <c r="E79" i="22"/>
  <c r="G79" i="34" s="1"/>
  <c r="I79" i="34" s="1"/>
  <c r="E59" i="22"/>
  <c r="G32" i="34"/>
  <c r="E36" i="22"/>
  <c r="M59" i="10"/>
  <c r="I61" i="10"/>
  <c r="G59" i="10"/>
  <c r="G61" i="10" s="1"/>
  <c r="K82" i="10"/>
  <c r="H70" i="34"/>
  <c r="I65" i="34"/>
  <c r="D49" i="22"/>
  <c r="F49" i="34" s="1"/>
  <c r="H49" i="34" s="1"/>
  <c r="G42" i="22"/>
  <c r="G43" i="22" s="1"/>
  <c r="E41" i="22"/>
  <c r="G41" i="34" s="1"/>
  <c r="I41" i="34" s="1"/>
  <c r="M56" i="49"/>
  <c r="E54" i="50"/>
  <c r="E56" i="50" s="1"/>
  <c r="F29" i="49"/>
  <c r="D34" i="22"/>
  <c r="F34" i="34" s="1"/>
  <c r="H34" i="34" s="1"/>
  <c r="E19" i="22"/>
  <c r="M40" i="10"/>
  <c r="I42" i="10"/>
  <c r="I43" i="10" s="1"/>
  <c r="H66" i="50"/>
  <c r="G36" i="50"/>
  <c r="I33" i="50"/>
  <c r="F77" i="49"/>
  <c r="L77" i="49"/>
  <c r="D77" i="50" s="1"/>
  <c r="L75" i="49"/>
  <c r="D75" i="50" s="1"/>
  <c r="H75" i="50" s="1"/>
  <c r="F75" i="49"/>
  <c r="D40" i="50"/>
  <c r="E55" i="48"/>
  <c r="G55" i="50" s="1"/>
  <c r="I55" i="50" s="1"/>
  <c r="F16" i="34"/>
  <c r="D41" i="22"/>
  <c r="F41" i="34" s="1"/>
  <c r="H41" i="34" s="1"/>
  <c r="D33" i="22"/>
  <c r="F33" i="34" s="1"/>
  <c r="H33" i="34" s="1"/>
  <c r="G76" i="10"/>
  <c r="I72" i="10"/>
  <c r="L61" i="10"/>
  <c r="G49" i="10"/>
  <c r="M29" i="10"/>
  <c r="M21" i="10"/>
  <c r="I24" i="10"/>
  <c r="I21" i="50"/>
  <c r="M61" i="49"/>
  <c r="E59" i="50"/>
  <c r="E61" i="50" s="1"/>
  <c r="F51" i="49"/>
  <c r="L51" i="49"/>
  <c r="D51" i="50" s="1"/>
  <c r="L47" i="49"/>
  <c r="D47" i="50" s="1"/>
  <c r="F47" i="49"/>
  <c r="J82" i="49"/>
  <c r="E70" i="48"/>
  <c r="M72" i="48"/>
  <c r="D29" i="22"/>
  <c r="V82" i="22"/>
  <c r="T642" i="44" s="1"/>
  <c r="F82" i="22"/>
  <c r="M73" i="10"/>
  <c r="E73" i="34" s="1"/>
  <c r="E73" i="5" s="1"/>
  <c r="M41" i="10"/>
  <c r="E41" i="34" s="1"/>
  <c r="G29" i="10"/>
  <c r="G21" i="10"/>
  <c r="G24" i="10" s="1"/>
  <c r="F24" i="10"/>
  <c r="F61" i="50"/>
  <c r="I41" i="50"/>
  <c r="I42" i="50" s="1"/>
  <c r="L80" i="49"/>
  <c r="D80" i="50" s="1"/>
  <c r="D80" i="5" s="1"/>
  <c r="K82" i="49"/>
  <c r="I79" i="50"/>
  <c r="K72" i="22"/>
  <c r="K82" i="22" s="1"/>
  <c r="I642" i="44" s="1"/>
  <c r="L66" i="22"/>
  <c r="L61" i="22"/>
  <c r="M56" i="22"/>
  <c r="D47" i="22"/>
  <c r="F47" i="34" s="1"/>
  <c r="H47" i="34" s="1"/>
  <c r="M42" i="22"/>
  <c r="M43" i="22" s="1"/>
  <c r="E12" i="22"/>
  <c r="G12" i="34" s="1"/>
  <c r="I12" i="34" s="1"/>
  <c r="M36" i="10"/>
  <c r="M22" i="10"/>
  <c r="E22" i="34" s="1"/>
  <c r="M13" i="10"/>
  <c r="I16" i="10"/>
  <c r="H76" i="50"/>
  <c r="F56" i="50"/>
  <c r="L65" i="49"/>
  <c r="D65" i="50" s="1"/>
  <c r="H66" i="49"/>
  <c r="F65" i="49"/>
  <c r="F66" i="49" s="1"/>
  <c r="E22" i="22"/>
  <c r="G22" i="34" s="1"/>
  <c r="I22" i="34" s="1"/>
  <c r="D24" i="22"/>
  <c r="M66" i="10"/>
  <c r="G36" i="10"/>
  <c r="L70" i="49"/>
  <c r="F70" i="49"/>
  <c r="F72" i="49" s="1"/>
  <c r="D71" i="22"/>
  <c r="D40" i="22"/>
  <c r="M36" i="22"/>
  <c r="M82" i="22" s="1"/>
  <c r="K642" i="44" s="1"/>
  <c r="D32" i="22"/>
  <c r="AE24" i="22"/>
  <c r="AE82" i="22" s="1"/>
  <c r="AC642" i="44" s="1"/>
  <c r="W24" i="22"/>
  <c r="W82" i="22" s="1"/>
  <c r="U642" i="44" s="1"/>
  <c r="O24" i="22"/>
  <c r="O82" i="22" s="1"/>
  <c r="M642" i="44" s="1"/>
  <c r="G24" i="22"/>
  <c r="G82" i="22" s="1"/>
  <c r="I36" i="10"/>
  <c r="L36" i="10"/>
  <c r="G28" i="10"/>
  <c r="G13" i="10"/>
  <c r="G16" i="10" s="1"/>
  <c r="G82" i="10" s="1"/>
  <c r="F16" i="10"/>
  <c r="I51" i="50"/>
  <c r="I45" i="50"/>
  <c r="F41" i="49"/>
  <c r="F42" i="49" s="1"/>
  <c r="L41" i="49"/>
  <c r="D41" i="50" s="1"/>
  <c r="L39" i="49"/>
  <c r="D39" i="50" s="1"/>
  <c r="F39" i="49"/>
  <c r="L34" i="49"/>
  <c r="D34" i="50" s="1"/>
  <c r="H34" i="50" s="1"/>
  <c r="F34" i="49"/>
  <c r="F32" i="49"/>
  <c r="F36" i="49" s="1"/>
  <c r="L32" i="49"/>
  <c r="D78" i="48"/>
  <c r="F78" i="50" s="1"/>
  <c r="H78" i="50" s="1"/>
  <c r="D39" i="22"/>
  <c r="F39" i="34" s="1"/>
  <c r="H39" i="34" s="1"/>
  <c r="AD82" i="22"/>
  <c r="AB642" i="44" s="1"/>
  <c r="N82" i="22"/>
  <c r="L642" i="44" s="1"/>
  <c r="E14" i="22"/>
  <c r="G14" i="34" s="1"/>
  <c r="D16" i="22"/>
  <c r="M14" i="10"/>
  <c r="E14" i="34" s="1"/>
  <c r="G60" i="49"/>
  <c r="G61" i="49" s="1"/>
  <c r="I61" i="49"/>
  <c r="M60" i="49"/>
  <c r="E60" i="50" s="1"/>
  <c r="F56" i="49"/>
  <c r="F29" i="22"/>
  <c r="F70" i="10"/>
  <c r="F72" i="10" s="1"/>
  <c r="H66" i="10"/>
  <c r="H56" i="10"/>
  <c r="F27" i="10"/>
  <c r="F29" i="10" s="1"/>
  <c r="G42" i="50"/>
  <c r="G43" i="50" s="1"/>
  <c r="G73" i="49"/>
  <c r="M73" i="49"/>
  <c r="E73" i="50" s="1"/>
  <c r="I73" i="50" s="1"/>
  <c r="M65" i="49"/>
  <c r="E65" i="50" s="1"/>
  <c r="E66" i="50" s="1"/>
  <c r="G65" i="49"/>
  <c r="G66" i="49" s="1"/>
  <c r="L56" i="49"/>
  <c r="M34" i="49"/>
  <c r="E34" i="50" s="1"/>
  <c r="I34" i="50" s="1"/>
  <c r="G34" i="49"/>
  <c r="L28" i="49"/>
  <c r="D28" i="50" s="1"/>
  <c r="H29" i="49"/>
  <c r="H82" i="49" s="1"/>
  <c r="F28" i="49"/>
  <c r="E76" i="48"/>
  <c r="G76" i="50" s="1"/>
  <c r="I76" i="50" s="1"/>
  <c r="D47" i="48"/>
  <c r="F47" i="50" s="1"/>
  <c r="H47" i="50" s="1"/>
  <c r="H42" i="22"/>
  <c r="H43" i="22" s="1"/>
  <c r="H36" i="22"/>
  <c r="H24" i="22"/>
  <c r="H16" i="22"/>
  <c r="L78" i="10"/>
  <c r="D78" i="34" s="1"/>
  <c r="L74" i="10"/>
  <c r="D74" i="34" s="1"/>
  <c r="L64" i="10"/>
  <c r="L54" i="10"/>
  <c r="L45" i="10"/>
  <c r="D45" i="34" s="1"/>
  <c r="H36" i="10"/>
  <c r="L33" i="10"/>
  <c r="D33" i="34" s="1"/>
  <c r="L23" i="10"/>
  <c r="D23" i="34" s="1"/>
  <c r="H23" i="34" s="1"/>
  <c r="L19" i="10"/>
  <c r="L15" i="10"/>
  <c r="D15" i="34" s="1"/>
  <c r="H15" i="34" s="1"/>
  <c r="L11" i="10"/>
  <c r="G29" i="50"/>
  <c r="L59" i="49"/>
  <c r="G36" i="49"/>
  <c r="D79" i="48"/>
  <c r="F79" i="50" s="1"/>
  <c r="H79" i="50" s="1"/>
  <c r="H65" i="50"/>
  <c r="G16" i="50"/>
  <c r="L81" i="49"/>
  <c r="D81" i="50" s="1"/>
  <c r="M66" i="49"/>
  <c r="H42" i="49"/>
  <c r="H43" i="49" s="1"/>
  <c r="L29" i="49"/>
  <c r="D27" i="50"/>
  <c r="D29" i="50" s="1"/>
  <c r="L22" i="49"/>
  <c r="D22" i="50" s="1"/>
  <c r="H22" i="50" s="1"/>
  <c r="F22" i="49"/>
  <c r="F14" i="49"/>
  <c r="L14" i="49"/>
  <c r="D14" i="50" s="1"/>
  <c r="D80" i="48"/>
  <c r="F80" i="50" s="1"/>
  <c r="F24" i="48"/>
  <c r="F82" i="48" s="1"/>
  <c r="D19" i="48"/>
  <c r="J82" i="48"/>
  <c r="H651" i="44" s="1"/>
  <c r="D12" i="48"/>
  <c r="F12" i="50" s="1"/>
  <c r="H12" i="50" s="1"/>
  <c r="G81" i="49"/>
  <c r="M81" i="49"/>
  <c r="E81" i="50" s="1"/>
  <c r="I81" i="50" s="1"/>
  <c r="M79" i="49"/>
  <c r="E79" i="50" s="1"/>
  <c r="G79" i="49"/>
  <c r="L66" i="49"/>
  <c r="M55" i="49"/>
  <c r="E55" i="50" s="1"/>
  <c r="G55" i="49"/>
  <c r="G56" i="49" s="1"/>
  <c r="D81" i="48"/>
  <c r="F81" i="50" s="1"/>
  <c r="M21" i="49"/>
  <c r="E21" i="50" s="1"/>
  <c r="G21" i="49"/>
  <c r="G19" i="49"/>
  <c r="I24" i="49"/>
  <c r="M19" i="49"/>
  <c r="M13" i="49"/>
  <c r="E13" i="50" s="1"/>
  <c r="I13" i="50" s="1"/>
  <c r="G13" i="49"/>
  <c r="G11" i="49"/>
  <c r="I16" i="49"/>
  <c r="M11" i="49"/>
  <c r="E65" i="48"/>
  <c r="G65" i="50" s="1"/>
  <c r="I65" i="50" s="1"/>
  <c r="G66" i="48"/>
  <c r="D41" i="48"/>
  <c r="F41" i="50" s="1"/>
  <c r="H41" i="50" s="1"/>
  <c r="D36" i="48"/>
  <c r="F32" i="50"/>
  <c r="H24" i="10"/>
  <c r="H16" i="10"/>
  <c r="F66" i="50"/>
  <c r="F79" i="49"/>
  <c r="G77" i="49"/>
  <c r="M77" i="49"/>
  <c r="E77" i="50" s="1"/>
  <c r="I77" i="50" s="1"/>
  <c r="M75" i="49"/>
  <c r="E75" i="50" s="1"/>
  <c r="I75" i="50" s="1"/>
  <c r="G75" i="49"/>
  <c r="M70" i="49"/>
  <c r="G70" i="49"/>
  <c r="G72" i="49" s="1"/>
  <c r="F59" i="49"/>
  <c r="F61" i="49" s="1"/>
  <c r="F55" i="49"/>
  <c r="G51" i="49"/>
  <c r="M51" i="49"/>
  <c r="E51" i="50" s="1"/>
  <c r="M47" i="49"/>
  <c r="E47" i="50" s="1"/>
  <c r="I47" i="50" s="1"/>
  <c r="G47" i="49"/>
  <c r="G41" i="49"/>
  <c r="G42" i="49" s="1"/>
  <c r="I42" i="49"/>
  <c r="I43" i="49" s="1"/>
  <c r="M41" i="49"/>
  <c r="E41" i="50" s="1"/>
  <c r="E42" i="50" s="1"/>
  <c r="M39" i="49"/>
  <c r="E39" i="50" s="1"/>
  <c r="I39" i="50" s="1"/>
  <c r="G39" i="49"/>
  <c r="F21" i="49"/>
  <c r="L21" i="49"/>
  <c r="D21" i="50" s="1"/>
  <c r="H21" i="50" s="1"/>
  <c r="L19" i="49"/>
  <c r="F19" i="49"/>
  <c r="L13" i="49"/>
  <c r="D13" i="50" s="1"/>
  <c r="F13" i="49"/>
  <c r="F16" i="49"/>
  <c r="R82" i="48"/>
  <c r="P651" i="44" s="1"/>
  <c r="I29" i="49"/>
  <c r="W72" i="48"/>
  <c r="W82" i="48" s="1"/>
  <c r="U651" i="44" s="1"/>
  <c r="O72" i="48"/>
  <c r="O82" i="48" s="1"/>
  <c r="M651" i="44" s="1"/>
  <c r="D66" i="48"/>
  <c r="AA82" i="48"/>
  <c r="Y651" i="44" s="1"/>
  <c r="Q56" i="48"/>
  <c r="Q82" i="48" s="1"/>
  <c r="O651" i="44" s="1"/>
  <c r="D45" i="48"/>
  <c r="F45" i="50" s="1"/>
  <c r="H45" i="50" s="1"/>
  <c r="T42" i="48"/>
  <c r="T43" i="48" s="1"/>
  <c r="T82" i="48" s="1"/>
  <c r="R651" i="44" s="1"/>
  <c r="D40" i="48"/>
  <c r="L42" i="48"/>
  <c r="L43" i="48" s="1"/>
  <c r="E24" i="48"/>
  <c r="E16" i="48"/>
  <c r="L11" i="49"/>
  <c r="S66" i="48"/>
  <c r="U61" i="48"/>
  <c r="U82" i="48" s="1"/>
  <c r="S651" i="44" s="1"/>
  <c r="E59" i="48"/>
  <c r="M61" i="48"/>
  <c r="D56" i="48"/>
  <c r="E42" i="48"/>
  <c r="E43" i="48" s="1"/>
  <c r="D13" i="48"/>
  <c r="F13" i="50" s="1"/>
  <c r="H13" i="50" s="1"/>
  <c r="D77" i="48"/>
  <c r="F77" i="50" s="1"/>
  <c r="E64" i="48"/>
  <c r="E60" i="48"/>
  <c r="G60" i="50" s="1"/>
  <c r="I60" i="50" s="1"/>
  <c r="R36" i="48"/>
  <c r="D27" i="48"/>
  <c r="L29" i="48"/>
  <c r="D14" i="48"/>
  <c r="F14" i="50" s="1"/>
  <c r="E71" i="48"/>
  <c r="G71" i="50" s="1"/>
  <c r="I71" i="50" s="1"/>
  <c r="D49" i="48"/>
  <c r="F49" i="50" s="1"/>
  <c r="H49" i="50" s="1"/>
  <c r="E29" i="48"/>
  <c r="P36" i="48"/>
  <c r="P82" i="48" s="1"/>
  <c r="N651" i="44" s="1"/>
  <c r="D28" i="48"/>
  <c r="F28" i="50" s="1"/>
  <c r="H28" i="50" s="1"/>
  <c r="Z82" i="48"/>
  <c r="X651" i="44" s="1"/>
  <c r="D15" i="48"/>
  <c r="F15" i="50" s="1"/>
  <c r="H15" i="50" s="1"/>
  <c r="V16" i="48"/>
  <c r="V82" i="48" s="1"/>
  <c r="T651" i="44" s="1"/>
  <c r="D11" i="48"/>
  <c r="N16" i="48"/>
  <c r="N82" i="48" s="1"/>
  <c r="L651" i="44" s="1"/>
  <c r="S56" i="48"/>
  <c r="S82" i="48" s="1"/>
  <c r="Q651" i="44" s="1"/>
  <c r="D51" i="48"/>
  <c r="F51" i="50" s="1"/>
  <c r="H51" i="50" s="1"/>
  <c r="D39" i="48"/>
  <c r="F39" i="50" s="1"/>
  <c r="H39" i="50" s="1"/>
  <c r="P72" i="48"/>
  <c r="P61" i="48"/>
  <c r="D55" i="48"/>
  <c r="F55" i="50" s="1"/>
  <c r="H55" i="50" s="1"/>
  <c r="H56" i="50" s="1"/>
  <c r="M16" i="48"/>
  <c r="AB640" i="44" l="1"/>
  <c r="AD91" i="21"/>
  <c r="M650" i="44"/>
  <c r="O91" i="31"/>
  <c r="O650" i="44"/>
  <c r="Q91" i="31"/>
  <c r="I34" i="36"/>
  <c r="H71" i="36"/>
  <c r="H12" i="39"/>
  <c r="G82" i="14"/>
  <c r="D66" i="24"/>
  <c r="F64" i="36"/>
  <c r="N650" i="44"/>
  <c r="P91" i="31"/>
  <c r="I51" i="39"/>
  <c r="F644" i="44"/>
  <c r="H91" i="25"/>
  <c r="I43" i="50"/>
  <c r="K650" i="44"/>
  <c r="M91" i="31"/>
  <c r="G82" i="19"/>
  <c r="G91" i="19" s="1"/>
  <c r="I646" i="44"/>
  <c r="K91" i="46"/>
  <c r="I12" i="36"/>
  <c r="I23" i="36"/>
  <c r="I22" i="39"/>
  <c r="H77" i="36"/>
  <c r="G640" i="44"/>
  <c r="I91" i="21"/>
  <c r="I84" i="24"/>
  <c r="I47" i="39"/>
  <c r="AB644" i="44"/>
  <c r="AD91" i="25"/>
  <c r="U640" i="44"/>
  <c r="W91" i="21"/>
  <c r="K640" i="44"/>
  <c r="M91" i="21"/>
  <c r="Z644" i="44"/>
  <c r="AB91" i="25"/>
  <c r="F32" i="39"/>
  <c r="O644" i="44"/>
  <c r="Q91" i="25"/>
  <c r="E61" i="29"/>
  <c r="G59" i="41"/>
  <c r="D29" i="48"/>
  <c r="F27" i="50"/>
  <c r="F36" i="50"/>
  <c r="H82" i="22"/>
  <c r="F642" i="44" s="1"/>
  <c r="D70" i="50"/>
  <c r="L72" i="49"/>
  <c r="I27" i="34"/>
  <c r="I29" i="34" s="1"/>
  <c r="G29" i="34"/>
  <c r="I36" i="50"/>
  <c r="I73" i="34"/>
  <c r="E36" i="29"/>
  <c r="G32" i="41"/>
  <c r="E40" i="32"/>
  <c r="M42" i="8"/>
  <c r="M43" i="8" s="1"/>
  <c r="E28" i="24"/>
  <c r="G28" i="36" s="1"/>
  <c r="F70" i="32"/>
  <c r="D72" i="20"/>
  <c r="E56" i="20"/>
  <c r="G54" i="32"/>
  <c r="H75" i="32"/>
  <c r="F75" i="5"/>
  <c r="M21" i="12"/>
  <c r="E21" i="36" s="1"/>
  <c r="I21" i="36" s="1"/>
  <c r="G21" i="12"/>
  <c r="L23" i="12"/>
  <c r="D23" i="36" s="1"/>
  <c r="H23" i="36" s="1"/>
  <c r="F23" i="12"/>
  <c r="L60" i="12"/>
  <c r="D60" i="36" s="1"/>
  <c r="H60" i="36" s="1"/>
  <c r="F60" i="12"/>
  <c r="I24" i="12"/>
  <c r="G19" i="12"/>
  <c r="M19" i="12"/>
  <c r="L40" i="12"/>
  <c r="H42" i="12"/>
  <c r="H43" i="12" s="1"/>
  <c r="F40" i="12"/>
  <c r="L13" i="12"/>
  <c r="D13" i="36" s="1"/>
  <c r="H13" i="36" s="1"/>
  <c r="F13" i="12"/>
  <c r="F20" i="12"/>
  <c r="L20" i="12"/>
  <c r="D20" i="36" s="1"/>
  <c r="H20" i="36" s="1"/>
  <c r="AD16" i="24"/>
  <c r="V36" i="24"/>
  <c r="AD42" i="24"/>
  <c r="AD43" i="24" s="1"/>
  <c r="G20" i="12"/>
  <c r="M20" i="12"/>
  <c r="E20" i="36" s="1"/>
  <c r="I20" i="36" s="1"/>
  <c r="M66" i="9"/>
  <c r="E64" i="33"/>
  <c r="E66" i="33" s="1"/>
  <c r="I56" i="24"/>
  <c r="M39" i="12"/>
  <c r="E39" i="36" s="1"/>
  <c r="G39" i="12"/>
  <c r="F47" i="12"/>
  <c r="L47" i="12"/>
  <c r="D47" i="36" s="1"/>
  <c r="H47" i="36" s="1"/>
  <c r="T16" i="24"/>
  <c r="F65" i="12"/>
  <c r="L65" i="12"/>
  <c r="D65" i="36" s="1"/>
  <c r="Z24" i="24"/>
  <c r="D40" i="24"/>
  <c r="H42" i="24"/>
  <c r="H43" i="24" s="1"/>
  <c r="M76" i="12"/>
  <c r="E76" i="36" s="1"/>
  <c r="I76" i="36" s="1"/>
  <c r="G76" i="12"/>
  <c r="L71" i="12"/>
  <c r="D71" i="36" s="1"/>
  <c r="F71" i="12"/>
  <c r="K24" i="24"/>
  <c r="U61" i="24"/>
  <c r="E66" i="21"/>
  <c r="G64" i="33"/>
  <c r="E89" i="24"/>
  <c r="G86" i="36"/>
  <c r="I22" i="33"/>
  <c r="G22" i="5"/>
  <c r="I49" i="33"/>
  <c r="D16" i="21"/>
  <c r="F11" i="33"/>
  <c r="I43" i="24"/>
  <c r="D61" i="21"/>
  <c r="F59" i="33"/>
  <c r="E80" i="24"/>
  <c r="G80" i="36" s="1"/>
  <c r="I87" i="33"/>
  <c r="G87" i="5"/>
  <c r="I87" i="5" s="1"/>
  <c r="Y640" i="44"/>
  <c r="AA91" i="21"/>
  <c r="W29" i="24"/>
  <c r="H21" i="43"/>
  <c r="E72" i="21"/>
  <c r="G70" i="33"/>
  <c r="E36" i="21"/>
  <c r="G32" i="33"/>
  <c r="E16" i="35"/>
  <c r="D65" i="43"/>
  <c r="L66" i="19"/>
  <c r="G24" i="21"/>
  <c r="E19" i="21"/>
  <c r="N82" i="31"/>
  <c r="M36" i="19"/>
  <c r="E33" i="43"/>
  <c r="H23" i="43"/>
  <c r="F23" i="5"/>
  <c r="H23" i="5" s="1"/>
  <c r="I81" i="43"/>
  <c r="G81" i="5"/>
  <c r="H70" i="35"/>
  <c r="H72" i="35" s="1"/>
  <c r="F72" i="35"/>
  <c r="F82" i="19"/>
  <c r="F91" i="19" s="1"/>
  <c r="G40" i="43"/>
  <c r="E42" i="31"/>
  <c r="E43" i="31" s="1"/>
  <c r="H82" i="53"/>
  <c r="H82" i="19"/>
  <c r="H91" i="19" s="1"/>
  <c r="S82" i="31"/>
  <c r="H55" i="43"/>
  <c r="F55" i="5"/>
  <c r="D24" i="43"/>
  <c r="F82" i="11"/>
  <c r="M24" i="19"/>
  <c r="H13" i="43"/>
  <c r="F13" i="5"/>
  <c r="H13" i="5" s="1"/>
  <c r="G55" i="5"/>
  <c r="E74" i="24"/>
  <c r="G74" i="36" s="1"/>
  <c r="D29" i="54"/>
  <c r="F27" i="52"/>
  <c r="I82" i="53"/>
  <c r="E47" i="5"/>
  <c r="F36" i="42"/>
  <c r="H32" i="42"/>
  <c r="I65" i="42"/>
  <c r="G66" i="42"/>
  <c r="G65" i="5"/>
  <c r="F64" i="52"/>
  <c r="D66" i="54"/>
  <c r="I13" i="43"/>
  <c r="G13" i="5"/>
  <c r="F32" i="52"/>
  <c r="D36" i="54"/>
  <c r="D15" i="5"/>
  <c r="L12" i="15"/>
  <c r="D12" i="39" s="1"/>
  <c r="F12" i="15"/>
  <c r="F65" i="5"/>
  <c r="I16" i="15"/>
  <c r="G11" i="15"/>
  <c r="M11" i="15"/>
  <c r="G28" i="15"/>
  <c r="M28" i="15"/>
  <c r="E28" i="39" s="1"/>
  <c r="I28" i="39" s="1"/>
  <c r="G73" i="15"/>
  <c r="M73" i="15"/>
  <c r="E73" i="39" s="1"/>
  <c r="I73" i="39" s="1"/>
  <c r="I72" i="27"/>
  <c r="E70" i="27"/>
  <c r="F15" i="15"/>
  <c r="L15" i="15"/>
  <c r="D15" i="39" s="1"/>
  <c r="G51" i="15"/>
  <c r="M51" i="15"/>
  <c r="E51" i="39" s="1"/>
  <c r="M76" i="15"/>
  <c r="E76" i="39" s="1"/>
  <c r="G76" i="15"/>
  <c r="AE82" i="25"/>
  <c r="U36" i="27"/>
  <c r="L64" i="15"/>
  <c r="F64" i="15"/>
  <c r="H66" i="15"/>
  <c r="AC82" i="25"/>
  <c r="E45" i="27"/>
  <c r="G45" i="39" s="1"/>
  <c r="I45" i="39" s="1"/>
  <c r="F49" i="15"/>
  <c r="L49" i="15"/>
  <c r="D49" i="39" s="1"/>
  <c r="H49" i="39" s="1"/>
  <c r="AC24" i="27"/>
  <c r="W36" i="27"/>
  <c r="M78" i="15"/>
  <c r="E78" i="39" s="1"/>
  <c r="G78" i="15"/>
  <c r="G77" i="15"/>
  <c r="M77" i="15"/>
  <c r="E77" i="39" s="1"/>
  <c r="S644" i="44"/>
  <c r="U91" i="25"/>
  <c r="X24" i="27"/>
  <c r="J36" i="27"/>
  <c r="AE66" i="27"/>
  <c r="H82" i="45"/>
  <c r="M47" i="15"/>
  <c r="E47" i="39" s="1"/>
  <c r="G47" i="15"/>
  <c r="D41" i="27"/>
  <c r="F41" i="39" s="1"/>
  <c r="M41" i="15"/>
  <c r="E41" i="39" s="1"/>
  <c r="I41" i="39" s="1"/>
  <c r="G41" i="15"/>
  <c r="Y24" i="27"/>
  <c r="Y82" i="27" s="1"/>
  <c r="I36" i="27"/>
  <c r="E32" i="27"/>
  <c r="L16" i="13"/>
  <c r="E64" i="39"/>
  <c r="E14" i="27"/>
  <c r="G14" i="39" s="1"/>
  <c r="E16" i="46"/>
  <c r="G11" i="47"/>
  <c r="P29" i="27"/>
  <c r="F24" i="13"/>
  <c r="W24" i="27"/>
  <c r="G80" i="15"/>
  <c r="M80" i="15"/>
  <c r="E80" i="39" s="1"/>
  <c r="N36" i="27"/>
  <c r="E42" i="46"/>
  <c r="E43" i="46" s="1"/>
  <c r="G40" i="47"/>
  <c r="F29" i="37"/>
  <c r="L16" i="14"/>
  <c r="L82" i="14" s="1"/>
  <c r="G16" i="38"/>
  <c r="X82" i="25"/>
  <c r="H49" i="38"/>
  <c r="L28" i="15"/>
  <c r="D28" i="39" s="1"/>
  <c r="H28" i="39" s="1"/>
  <c r="F28" i="15"/>
  <c r="F82" i="25"/>
  <c r="F91" i="25" s="1"/>
  <c r="L66" i="16"/>
  <c r="F27" i="40"/>
  <c r="D29" i="28"/>
  <c r="G29" i="47"/>
  <c r="D16" i="26"/>
  <c r="F11" i="38"/>
  <c r="D16" i="38"/>
  <c r="H65" i="40"/>
  <c r="H66" i="40" s="1"/>
  <c r="F72" i="40"/>
  <c r="I70" i="40"/>
  <c r="I72" i="40" s="1"/>
  <c r="G72" i="40"/>
  <c r="F72" i="38"/>
  <c r="G36" i="40"/>
  <c r="I32" i="40"/>
  <c r="I36" i="40" s="1"/>
  <c r="L24" i="16"/>
  <c r="E61" i="48"/>
  <c r="G59" i="50"/>
  <c r="D42" i="48"/>
  <c r="D43" i="48" s="1"/>
  <c r="F40" i="50"/>
  <c r="D24" i="48"/>
  <c r="F19" i="50"/>
  <c r="F82" i="10"/>
  <c r="E72" i="48"/>
  <c r="G70" i="50"/>
  <c r="M61" i="10"/>
  <c r="E59" i="34"/>
  <c r="E61" i="34" s="1"/>
  <c r="E42" i="22"/>
  <c r="E43" i="22" s="1"/>
  <c r="E36" i="50"/>
  <c r="D24" i="29"/>
  <c r="F19" i="41"/>
  <c r="E24" i="29"/>
  <c r="L36" i="17"/>
  <c r="L82" i="17" s="1"/>
  <c r="M82" i="20"/>
  <c r="K639" i="44" s="1"/>
  <c r="D56" i="20"/>
  <c r="F54" i="32"/>
  <c r="E61" i="20"/>
  <c r="H78" i="32"/>
  <c r="F78" i="5"/>
  <c r="L82" i="20"/>
  <c r="J639" i="44" s="1"/>
  <c r="F36" i="8"/>
  <c r="F82" i="8" s="1"/>
  <c r="D51" i="5"/>
  <c r="M28" i="12"/>
  <c r="E28" i="36" s="1"/>
  <c r="G28" i="12"/>
  <c r="F36" i="9"/>
  <c r="F82" i="9" s="1"/>
  <c r="F91" i="9" s="1"/>
  <c r="G23" i="12"/>
  <c r="M23" i="12"/>
  <c r="E23" i="36" s="1"/>
  <c r="F14" i="12"/>
  <c r="L14" i="12"/>
  <c r="D14" i="36" s="1"/>
  <c r="H14" i="36" s="1"/>
  <c r="L49" i="12"/>
  <c r="D49" i="36" s="1"/>
  <c r="F49" i="12"/>
  <c r="L21" i="12"/>
  <c r="D21" i="36" s="1"/>
  <c r="F21" i="12"/>
  <c r="M49" i="12"/>
  <c r="E49" i="36" s="1"/>
  <c r="I49" i="36" s="1"/>
  <c r="G49" i="12"/>
  <c r="J29" i="24"/>
  <c r="AD56" i="24"/>
  <c r="K82" i="21"/>
  <c r="AA29" i="24"/>
  <c r="U82" i="21"/>
  <c r="Q56" i="24"/>
  <c r="N61" i="24"/>
  <c r="O72" i="24"/>
  <c r="G36" i="9"/>
  <c r="G82" i="9" s="1"/>
  <c r="G91" i="9" s="1"/>
  <c r="M56" i="9"/>
  <c r="E54" i="33"/>
  <c r="E56" i="33" s="1"/>
  <c r="E36" i="32"/>
  <c r="M72" i="9"/>
  <c r="E70" i="33"/>
  <c r="E72" i="33" s="1"/>
  <c r="O42" i="24"/>
  <c r="O43" i="24" s="1"/>
  <c r="U16" i="24"/>
  <c r="P42" i="24"/>
  <c r="P43" i="24" s="1"/>
  <c r="T56" i="24"/>
  <c r="M42" i="9"/>
  <c r="M43" i="9" s="1"/>
  <c r="E40" i="33"/>
  <c r="E42" i="33" s="1"/>
  <c r="E43" i="33" s="1"/>
  <c r="L24" i="24"/>
  <c r="D22" i="24"/>
  <c r="F22" i="36" s="1"/>
  <c r="X29" i="24"/>
  <c r="L75" i="12"/>
  <c r="D75" i="36" s="1"/>
  <c r="H75" i="36" s="1"/>
  <c r="F75" i="12"/>
  <c r="S42" i="24"/>
  <c r="S43" i="24" s="1"/>
  <c r="S24" i="24"/>
  <c r="S82" i="24" s="1"/>
  <c r="Y82" i="21"/>
  <c r="AC61" i="24"/>
  <c r="D72" i="21"/>
  <c r="F70" i="33"/>
  <c r="D89" i="24"/>
  <c r="F86" i="36"/>
  <c r="I66" i="24"/>
  <c r="O82" i="21"/>
  <c r="G59" i="33"/>
  <c r="E61" i="21"/>
  <c r="AA82" i="23"/>
  <c r="Y641" i="44" s="1"/>
  <c r="K66" i="24"/>
  <c r="H33" i="43"/>
  <c r="G89" i="33"/>
  <c r="G86" i="5"/>
  <c r="Z82" i="23"/>
  <c r="X641" i="44" s="1"/>
  <c r="K36" i="24"/>
  <c r="H79" i="33"/>
  <c r="F79" i="5"/>
  <c r="H79" i="5" s="1"/>
  <c r="D24" i="23"/>
  <c r="F19" i="35"/>
  <c r="M72" i="19"/>
  <c r="E70" i="43"/>
  <c r="E19" i="24"/>
  <c r="G24" i="24"/>
  <c r="L36" i="11"/>
  <c r="D34" i="35"/>
  <c r="D36" i="35" s="1"/>
  <c r="I19" i="35"/>
  <c r="G24" i="35"/>
  <c r="G82" i="35" s="1"/>
  <c r="F16" i="35"/>
  <c r="H11" i="35"/>
  <c r="H16" i="35" s="1"/>
  <c r="L82" i="31"/>
  <c r="E56" i="31"/>
  <c r="G54" i="43"/>
  <c r="AA82" i="54"/>
  <c r="Y652" i="44" s="1"/>
  <c r="I82" i="19"/>
  <c r="I91" i="19" s="1"/>
  <c r="Y650" i="44"/>
  <c r="AA91" i="31"/>
  <c r="D78" i="5"/>
  <c r="V650" i="44"/>
  <c r="X91" i="31"/>
  <c r="G42" i="35"/>
  <c r="G43" i="35" s="1"/>
  <c r="I40" i="35"/>
  <c r="I42" i="35" s="1"/>
  <c r="I43" i="35" s="1"/>
  <c r="I15" i="43"/>
  <c r="G15" i="5"/>
  <c r="I15" i="5" s="1"/>
  <c r="L36" i="19"/>
  <c r="E61" i="31"/>
  <c r="G59" i="43"/>
  <c r="I74" i="32"/>
  <c r="F82" i="54"/>
  <c r="I14" i="42"/>
  <c r="E14" i="5"/>
  <c r="AC650" i="44"/>
  <c r="AE91" i="31"/>
  <c r="D54" i="52"/>
  <c r="D56" i="52" s="1"/>
  <c r="L56" i="53"/>
  <c r="D65" i="5"/>
  <c r="F80" i="5"/>
  <c r="H80" i="5" s="1"/>
  <c r="G82" i="53"/>
  <c r="L36" i="53"/>
  <c r="D70" i="42"/>
  <c r="L72" i="18"/>
  <c r="G74" i="5"/>
  <c r="I74" i="5" s="1"/>
  <c r="E32" i="52"/>
  <c r="E36" i="52" s="1"/>
  <c r="M36" i="53"/>
  <c r="H11" i="42"/>
  <c r="F16" i="42"/>
  <c r="E29" i="54"/>
  <c r="F73" i="5"/>
  <c r="H73" i="5" s="1"/>
  <c r="I11" i="42"/>
  <c r="G16" i="42"/>
  <c r="F42" i="42"/>
  <c r="F43" i="42" s="1"/>
  <c r="H40" i="42"/>
  <c r="H42" i="42" s="1"/>
  <c r="D19" i="52"/>
  <c r="D24" i="52" s="1"/>
  <c r="L24" i="53"/>
  <c r="L20" i="15"/>
  <c r="D20" i="39" s="1"/>
  <c r="F20" i="15"/>
  <c r="H65" i="42"/>
  <c r="E29" i="42"/>
  <c r="E28" i="5"/>
  <c r="I28" i="5" s="1"/>
  <c r="M15" i="15"/>
  <c r="E15" i="39" s="1"/>
  <c r="I15" i="39" s="1"/>
  <c r="G15" i="15"/>
  <c r="Z56" i="27"/>
  <c r="H82" i="13"/>
  <c r="H91" i="13" s="1"/>
  <c r="F33" i="15"/>
  <c r="L33" i="15"/>
  <c r="D33" i="39" s="1"/>
  <c r="F76" i="15"/>
  <c r="L76" i="15"/>
  <c r="D76" i="39" s="1"/>
  <c r="Z24" i="27"/>
  <c r="Z82" i="27" s="1"/>
  <c r="D36" i="25"/>
  <c r="F32" i="37"/>
  <c r="I19" i="42"/>
  <c r="G24" i="42"/>
  <c r="S24" i="27"/>
  <c r="R66" i="27"/>
  <c r="AC16" i="27"/>
  <c r="AB24" i="27"/>
  <c r="V36" i="27"/>
  <c r="D61" i="25"/>
  <c r="F59" i="37"/>
  <c r="M29" i="13"/>
  <c r="E27" i="37"/>
  <c r="E29" i="37" s="1"/>
  <c r="D65" i="27"/>
  <c r="F65" i="39" s="1"/>
  <c r="D80" i="27"/>
  <c r="F80" i="39" s="1"/>
  <c r="H80" i="39" s="1"/>
  <c r="G22" i="15"/>
  <c r="M22" i="15"/>
  <c r="E22" i="39" s="1"/>
  <c r="G49" i="15"/>
  <c r="M49" i="15"/>
  <c r="E49" i="39" s="1"/>
  <c r="AA42" i="27"/>
  <c r="AA43" i="27" s="1"/>
  <c r="AA82" i="27" s="1"/>
  <c r="V61" i="27"/>
  <c r="L14" i="15"/>
  <c r="D14" i="39" s="1"/>
  <c r="H14" i="39" s="1"/>
  <c r="F14" i="15"/>
  <c r="F47" i="15"/>
  <c r="L47" i="15"/>
  <c r="D47" i="39" s="1"/>
  <c r="H47" i="39" s="1"/>
  <c r="F80" i="15"/>
  <c r="L80" i="15"/>
  <c r="D80" i="39" s="1"/>
  <c r="U16" i="27"/>
  <c r="U82" i="27" s="1"/>
  <c r="R36" i="27"/>
  <c r="F24" i="45"/>
  <c r="AC72" i="27"/>
  <c r="F32" i="47"/>
  <c r="D36" i="46"/>
  <c r="O82" i="25"/>
  <c r="N72" i="27"/>
  <c r="G82" i="45"/>
  <c r="L34" i="15"/>
  <c r="D34" i="39" s="1"/>
  <c r="H34" i="39" s="1"/>
  <c r="F34" i="15"/>
  <c r="L74" i="15"/>
  <c r="D74" i="39" s="1"/>
  <c r="F74" i="15"/>
  <c r="D55" i="27"/>
  <c r="F55" i="39" s="1"/>
  <c r="H55" i="39" s="1"/>
  <c r="I64" i="37"/>
  <c r="I66" i="37" s="1"/>
  <c r="G66" i="37"/>
  <c r="P66" i="27"/>
  <c r="D24" i="46"/>
  <c r="D82" i="46" s="1"/>
  <c r="D91" i="46" s="1"/>
  <c r="H24" i="15"/>
  <c r="L19" i="15"/>
  <c r="F19" i="15"/>
  <c r="T82" i="25"/>
  <c r="M42" i="27"/>
  <c r="M43" i="27" s="1"/>
  <c r="E19" i="38"/>
  <c r="E24" i="38" s="1"/>
  <c r="M24" i="14"/>
  <c r="G82" i="25"/>
  <c r="G91" i="25" s="1"/>
  <c r="T61" i="27"/>
  <c r="L73" i="15"/>
  <c r="D73" i="39" s="1"/>
  <c r="H73" i="39" s="1"/>
  <c r="F73" i="15"/>
  <c r="D29" i="25"/>
  <c r="F43" i="13"/>
  <c r="E34" i="47"/>
  <c r="M36" i="45"/>
  <c r="L61" i="14"/>
  <c r="D59" i="38"/>
  <c r="D61" i="38" s="1"/>
  <c r="I27" i="38"/>
  <c r="I29" i="38" s="1"/>
  <c r="G29" i="38"/>
  <c r="D61" i="26"/>
  <c r="F59" i="38"/>
  <c r="D16" i="25"/>
  <c r="F11" i="37"/>
  <c r="L82" i="45"/>
  <c r="I82" i="28"/>
  <c r="G648" i="44" s="1"/>
  <c r="H82" i="14"/>
  <c r="E66" i="40"/>
  <c r="M43" i="45"/>
  <c r="L29" i="14"/>
  <c r="D59" i="40"/>
  <c r="D61" i="40" s="1"/>
  <c r="L61" i="16"/>
  <c r="M56" i="15"/>
  <c r="E54" i="39"/>
  <c r="L42" i="14"/>
  <c r="L43" i="14" s="1"/>
  <c r="D40" i="38"/>
  <c r="D42" i="38" s="1"/>
  <c r="D43" i="38" s="1"/>
  <c r="D16" i="28"/>
  <c r="F11" i="40"/>
  <c r="L16" i="16"/>
  <c r="H70" i="40"/>
  <c r="H72" i="40" s="1"/>
  <c r="E72" i="28"/>
  <c r="H35" i="38"/>
  <c r="E36" i="28"/>
  <c r="D36" i="22"/>
  <c r="F32" i="34"/>
  <c r="E16" i="22"/>
  <c r="G11" i="34"/>
  <c r="I40" i="41"/>
  <c r="I42" i="41" s="1"/>
  <c r="I43" i="41" s="1"/>
  <c r="G42" i="41"/>
  <c r="G43" i="41" s="1"/>
  <c r="D77" i="5"/>
  <c r="F59" i="12"/>
  <c r="F61" i="12" s="1"/>
  <c r="L59" i="12"/>
  <c r="H61" i="12"/>
  <c r="G14" i="12"/>
  <c r="M14" i="12"/>
  <c r="E14" i="36" s="1"/>
  <c r="I71" i="36"/>
  <c r="O640" i="44"/>
  <c r="Q91" i="21"/>
  <c r="H20" i="43"/>
  <c r="F20" i="5"/>
  <c r="G19" i="43"/>
  <c r="E24" i="31"/>
  <c r="D82" i="52"/>
  <c r="D64" i="42"/>
  <c r="H64" i="42" s="1"/>
  <c r="H66" i="42" s="1"/>
  <c r="L66" i="18"/>
  <c r="F12" i="5"/>
  <c r="E82" i="30"/>
  <c r="G23" i="4" s="1"/>
  <c r="H23" i="4" s="1"/>
  <c r="F66" i="42"/>
  <c r="F21" i="15"/>
  <c r="L21" i="15"/>
  <c r="D21" i="39" s="1"/>
  <c r="M13" i="15"/>
  <c r="E13" i="39" s="1"/>
  <c r="I13" i="39" s="1"/>
  <c r="G13" i="15"/>
  <c r="F71" i="42"/>
  <c r="D72" i="30"/>
  <c r="D75" i="5"/>
  <c r="H75" i="42"/>
  <c r="F56" i="52"/>
  <c r="H54" i="52"/>
  <c r="H56" i="52" s="1"/>
  <c r="G33" i="15"/>
  <c r="M33" i="15"/>
  <c r="E33" i="39" s="1"/>
  <c r="I33" i="39" s="1"/>
  <c r="D56" i="25"/>
  <c r="F54" i="37"/>
  <c r="F79" i="15"/>
  <c r="L79" i="15"/>
  <c r="D79" i="39" s="1"/>
  <c r="H79" i="39" s="1"/>
  <c r="N56" i="27"/>
  <c r="M27" i="15"/>
  <c r="I29" i="15"/>
  <c r="G27" i="15"/>
  <c r="G29" i="15" s="1"/>
  <c r="F75" i="15"/>
  <c r="L75" i="15"/>
  <c r="D75" i="39" s="1"/>
  <c r="H75" i="39" s="1"/>
  <c r="L29" i="13"/>
  <c r="D27" i="37"/>
  <c r="D29" i="37" s="1"/>
  <c r="I80" i="39"/>
  <c r="F82" i="27"/>
  <c r="F91" i="27" s="1"/>
  <c r="M19" i="15"/>
  <c r="G19" i="15"/>
  <c r="I24" i="15"/>
  <c r="F54" i="15"/>
  <c r="H56" i="15"/>
  <c r="L54" i="15"/>
  <c r="L88" i="15"/>
  <c r="D88" i="39" s="1"/>
  <c r="H88" i="39" s="1"/>
  <c r="D88" i="37"/>
  <c r="D89" i="37" s="1"/>
  <c r="E29" i="25"/>
  <c r="G27" i="37"/>
  <c r="D86" i="5"/>
  <c r="Y644" i="44"/>
  <c r="AA91" i="25"/>
  <c r="D59" i="5"/>
  <c r="D61" i="5" s="1"/>
  <c r="D61" i="37"/>
  <c r="Q36" i="27"/>
  <c r="S43" i="27"/>
  <c r="E24" i="26"/>
  <c r="G19" i="38"/>
  <c r="L16" i="27"/>
  <c r="I61" i="27"/>
  <c r="E59" i="27"/>
  <c r="I23" i="5"/>
  <c r="U644" i="44"/>
  <c r="W91" i="25"/>
  <c r="L29" i="27"/>
  <c r="H16" i="27"/>
  <c r="D11" i="27"/>
  <c r="X16" i="27"/>
  <c r="X82" i="27" s="1"/>
  <c r="N82" i="25"/>
  <c r="F24" i="38"/>
  <c r="H19" i="38"/>
  <c r="D24" i="40"/>
  <c r="D82" i="40" s="1"/>
  <c r="I59" i="38"/>
  <c r="I61" i="38" s="1"/>
  <c r="G61" i="38"/>
  <c r="F82" i="16"/>
  <c r="F91" i="16" s="1"/>
  <c r="M66" i="16"/>
  <c r="M42" i="10"/>
  <c r="M43" i="10" s="1"/>
  <c r="E40" i="34"/>
  <c r="E42" i="34" s="1"/>
  <c r="E43" i="34" s="1"/>
  <c r="G42" i="34"/>
  <c r="G43" i="34" s="1"/>
  <c r="I40" i="34"/>
  <c r="I42" i="34" s="1"/>
  <c r="I43" i="34" s="1"/>
  <c r="D41" i="32"/>
  <c r="L42" i="8"/>
  <c r="L43" i="8" s="1"/>
  <c r="L36" i="8"/>
  <c r="D32" i="32"/>
  <c r="E56" i="29"/>
  <c r="G54" i="41"/>
  <c r="E24" i="20"/>
  <c r="G19" i="32"/>
  <c r="I51" i="43"/>
  <c r="G51" i="5"/>
  <c r="E66" i="29"/>
  <c r="G64" i="41"/>
  <c r="F33" i="32"/>
  <c r="D36" i="20"/>
  <c r="L11" i="12"/>
  <c r="H16" i="12"/>
  <c r="F11" i="12"/>
  <c r="F22" i="12"/>
  <c r="L22" i="12"/>
  <c r="D22" i="36" s="1"/>
  <c r="M71" i="12"/>
  <c r="E71" i="36" s="1"/>
  <c r="G71" i="12"/>
  <c r="D15" i="24"/>
  <c r="F15" i="36" s="1"/>
  <c r="L73" i="12"/>
  <c r="D73" i="36" s="1"/>
  <c r="H73" i="36" s="1"/>
  <c r="F73" i="12"/>
  <c r="Q36" i="24"/>
  <c r="S36" i="24"/>
  <c r="D24" i="31"/>
  <c r="I20" i="43"/>
  <c r="D27" i="42"/>
  <c r="L29" i="18"/>
  <c r="G49" i="5"/>
  <c r="I49" i="5" s="1"/>
  <c r="H54" i="43"/>
  <c r="H56" i="43" s="1"/>
  <c r="F56" i="43"/>
  <c r="E24" i="54"/>
  <c r="G19" i="52"/>
  <c r="F11" i="15"/>
  <c r="H16" i="15"/>
  <c r="L11" i="15"/>
  <c r="F27" i="15"/>
  <c r="H29" i="15"/>
  <c r="L27" i="15"/>
  <c r="L36" i="13"/>
  <c r="D32" i="37"/>
  <c r="D36" i="37" s="1"/>
  <c r="M82" i="53"/>
  <c r="B12" i="4" s="1"/>
  <c r="C12" i="4" s="1"/>
  <c r="Y43" i="27"/>
  <c r="I56" i="27"/>
  <c r="E54" i="27"/>
  <c r="W644" i="44"/>
  <c r="Y91" i="25"/>
  <c r="E27" i="40"/>
  <c r="M29" i="16"/>
  <c r="L61" i="27"/>
  <c r="G36" i="38"/>
  <c r="I32" i="38"/>
  <c r="H54" i="40"/>
  <c r="H56" i="40" s="1"/>
  <c r="F56" i="40"/>
  <c r="F60" i="41"/>
  <c r="D61" i="29"/>
  <c r="I14" i="36"/>
  <c r="L33" i="12"/>
  <c r="D33" i="36" s="1"/>
  <c r="H33" i="36" s="1"/>
  <c r="F33" i="12"/>
  <c r="F28" i="12"/>
  <c r="L28" i="12"/>
  <c r="D28" i="36" s="1"/>
  <c r="H28" i="36" s="1"/>
  <c r="Q640" i="44"/>
  <c r="S91" i="21"/>
  <c r="H28" i="33"/>
  <c r="F28" i="5"/>
  <c r="H28" i="5" s="1"/>
  <c r="G40" i="52"/>
  <c r="E42" i="54"/>
  <c r="E43" i="54" s="1"/>
  <c r="I27" i="52"/>
  <c r="I29" i="52" s="1"/>
  <c r="G29" i="52"/>
  <c r="E66" i="48"/>
  <c r="G64" i="50"/>
  <c r="D59" i="50"/>
  <c r="L61" i="49"/>
  <c r="E24" i="22"/>
  <c r="G19" i="34"/>
  <c r="D42" i="29"/>
  <c r="D43" i="29" s="1"/>
  <c r="F40" i="41"/>
  <c r="I73" i="32"/>
  <c r="G73" i="5"/>
  <c r="I73" i="5" s="1"/>
  <c r="D54" i="32"/>
  <c r="L56" i="8"/>
  <c r="G47" i="12"/>
  <c r="M47" i="12"/>
  <c r="E47" i="36" s="1"/>
  <c r="I47" i="36" s="1"/>
  <c r="G32" i="12"/>
  <c r="M32" i="12"/>
  <c r="I36" i="12"/>
  <c r="AD24" i="24"/>
  <c r="H88" i="33"/>
  <c r="F88" i="5"/>
  <c r="E12" i="43"/>
  <c r="M16" i="19"/>
  <c r="I16" i="35"/>
  <c r="E72" i="54"/>
  <c r="G70" i="52"/>
  <c r="G86" i="15"/>
  <c r="G89" i="15" s="1"/>
  <c r="G89" i="13"/>
  <c r="G81" i="15"/>
  <c r="M81" i="15"/>
  <c r="E81" i="39" s="1"/>
  <c r="I81" i="39" s="1"/>
  <c r="H21" i="39"/>
  <c r="M55" i="15"/>
  <c r="E55" i="39" s="1"/>
  <c r="I55" i="39" s="1"/>
  <c r="G55" i="15"/>
  <c r="G56" i="15" s="1"/>
  <c r="AB16" i="27"/>
  <c r="H77" i="50"/>
  <c r="L16" i="49"/>
  <c r="D11" i="50"/>
  <c r="D16" i="50" s="1"/>
  <c r="E43" i="50"/>
  <c r="G24" i="49"/>
  <c r="H80" i="50"/>
  <c r="L56" i="10"/>
  <c r="D54" i="34"/>
  <c r="D56" i="34" s="1"/>
  <c r="M42" i="49"/>
  <c r="M43" i="49" s="1"/>
  <c r="L36" i="49"/>
  <c r="D32" i="50"/>
  <c r="D36" i="50" s="1"/>
  <c r="D42" i="22"/>
  <c r="D43" i="22" s="1"/>
  <c r="F40" i="34"/>
  <c r="M24" i="10"/>
  <c r="E21" i="34"/>
  <c r="G59" i="34"/>
  <c r="E61" i="22"/>
  <c r="H59" i="34"/>
  <c r="H61" i="34" s="1"/>
  <c r="F61" i="34"/>
  <c r="F82" i="20"/>
  <c r="I45" i="32"/>
  <c r="E79" i="5"/>
  <c r="E72" i="29"/>
  <c r="G70" i="41"/>
  <c r="H74" i="32"/>
  <c r="F74" i="5"/>
  <c r="M56" i="8"/>
  <c r="D19" i="24"/>
  <c r="I82" i="8"/>
  <c r="G55" i="12"/>
  <c r="M55" i="12"/>
  <c r="E55" i="36" s="1"/>
  <c r="I55" i="36" s="1"/>
  <c r="F41" i="12"/>
  <c r="L41" i="12"/>
  <c r="D41" i="36" s="1"/>
  <c r="G51" i="12"/>
  <c r="M51" i="12"/>
  <c r="E51" i="36" s="1"/>
  <c r="I51" i="36" s="1"/>
  <c r="D54" i="24"/>
  <c r="F39" i="12"/>
  <c r="L39" i="12"/>
  <c r="D39" i="36" s="1"/>
  <c r="M75" i="12"/>
  <c r="E75" i="36" s="1"/>
  <c r="G75" i="12"/>
  <c r="D51" i="24"/>
  <c r="F51" i="36" s="1"/>
  <c r="H51" i="36" s="1"/>
  <c r="G45" i="12"/>
  <c r="M45" i="12"/>
  <c r="E45" i="36" s="1"/>
  <c r="I45" i="36" s="1"/>
  <c r="AE16" i="24"/>
  <c r="W24" i="24"/>
  <c r="F70" i="12"/>
  <c r="F72" i="12" s="1"/>
  <c r="H72" i="12"/>
  <c r="L70" i="12"/>
  <c r="P36" i="24"/>
  <c r="R56" i="24"/>
  <c r="L77" i="12"/>
  <c r="D77" i="36" s="1"/>
  <c r="F77" i="12"/>
  <c r="AE36" i="24"/>
  <c r="M12" i="12"/>
  <c r="E12" i="36" s="1"/>
  <c r="G12" i="12"/>
  <c r="M77" i="12"/>
  <c r="E77" i="36" s="1"/>
  <c r="G77" i="12"/>
  <c r="R36" i="24"/>
  <c r="E70" i="24"/>
  <c r="I72" i="24"/>
  <c r="M61" i="9"/>
  <c r="E59" i="33"/>
  <c r="E61" i="33" s="1"/>
  <c r="W16" i="24"/>
  <c r="R42" i="24"/>
  <c r="R43" i="24" s="1"/>
  <c r="V56" i="24"/>
  <c r="AA61" i="24"/>
  <c r="AA82" i="24" s="1"/>
  <c r="T72" i="24"/>
  <c r="E77" i="24"/>
  <c r="G77" i="36" s="1"/>
  <c r="I77" i="36" s="1"/>
  <c r="E59" i="24"/>
  <c r="P16" i="24"/>
  <c r="M36" i="24"/>
  <c r="M82" i="24" s="1"/>
  <c r="H66" i="24"/>
  <c r="I12" i="33"/>
  <c r="S72" i="24"/>
  <c r="L640" i="44"/>
  <c r="N91" i="21"/>
  <c r="AE61" i="24"/>
  <c r="I60" i="35"/>
  <c r="I61" i="35" s="1"/>
  <c r="Y42" i="24"/>
  <c r="Y43" i="24" s="1"/>
  <c r="N72" i="24"/>
  <c r="F76" i="12"/>
  <c r="L76" i="12"/>
  <c r="D76" i="36" s="1"/>
  <c r="D24" i="21"/>
  <c r="F19" i="33"/>
  <c r="AA640" i="44"/>
  <c r="AC91" i="21"/>
  <c r="H79" i="35"/>
  <c r="D72" i="33"/>
  <c r="X72" i="24"/>
  <c r="M24" i="11"/>
  <c r="M16" i="11"/>
  <c r="G82" i="20"/>
  <c r="H49" i="43"/>
  <c r="F49" i="5"/>
  <c r="H49" i="5" s="1"/>
  <c r="H41" i="35"/>
  <c r="E27" i="43"/>
  <c r="M29" i="19"/>
  <c r="M89" i="19"/>
  <c r="B25" i="4" s="1"/>
  <c r="C25" i="4" s="1"/>
  <c r="E86" i="43"/>
  <c r="F27" i="43"/>
  <c r="D29" i="31"/>
  <c r="G70" i="43"/>
  <c r="E72" i="31"/>
  <c r="F82" i="53"/>
  <c r="AB650" i="44"/>
  <c r="AD91" i="31"/>
  <c r="H74" i="52"/>
  <c r="F70" i="43"/>
  <c r="D72" i="31"/>
  <c r="F40" i="52"/>
  <c r="D42" i="54"/>
  <c r="D43" i="54" s="1"/>
  <c r="L82" i="53"/>
  <c r="H28" i="43"/>
  <c r="D36" i="23"/>
  <c r="F32" i="35"/>
  <c r="E16" i="42"/>
  <c r="F76" i="5"/>
  <c r="H76" i="5" s="1"/>
  <c r="D56" i="31"/>
  <c r="G36" i="52"/>
  <c r="I32" i="52"/>
  <c r="I36" i="52" s="1"/>
  <c r="D24" i="42"/>
  <c r="E11" i="21"/>
  <c r="G16" i="21"/>
  <c r="H59" i="52"/>
  <c r="H61" i="52" s="1"/>
  <c r="F61" i="52"/>
  <c r="F51" i="5"/>
  <c r="H51" i="5" s="1"/>
  <c r="F45" i="5"/>
  <c r="E24" i="52"/>
  <c r="E82" i="52" s="1"/>
  <c r="G35" i="5"/>
  <c r="I35" i="5" s="1"/>
  <c r="D40" i="27"/>
  <c r="F15" i="5"/>
  <c r="H15" i="5" s="1"/>
  <c r="I35" i="42"/>
  <c r="E36" i="30"/>
  <c r="G33" i="42"/>
  <c r="F45" i="15"/>
  <c r="L45" i="15"/>
  <c r="D45" i="39" s="1"/>
  <c r="H45" i="39" s="1"/>
  <c r="Z61" i="27"/>
  <c r="G82" i="27"/>
  <c r="G91" i="27" s="1"/>
  <c r="I61" i="15"/>
  <c r="M59" i="15"/>
  <c r="G59" i="15"/>
  <c r="P16" i="27"/>
  <c r="P82" i="27" s="1"/>
  <c r="H29" i="27"/>
  <c r="D27" i="27"/>
  <c r="AA61" i="27"/>
  <c r="F36" i="13"/>
  <c r="F82" i="13" s="1"/>
  <c r="F91" i="13" s="1"/>
  <c r="D24" i="25"/>
  <c r="F19" i="37"/>
  <c r="X42" i="27"/>
  <c r="X43" i="27" s="1"/>
  <c r="V56" i="27"/>
  <c r="S66" i="27"/>
  <c r="AA72" i="27"/>
  <c r="L72" i="27"/>
  <c r="H36" i="15"/>
  <c r="F32" i="15"/>
  <c r="L32" i="15"/>
  <c r="F81" i="15"/>
  <c r="L81" i="15"/>
  <c r="D81" i="39" s="1"/>
  <c r="H81" i="39" s="1"/>
  <c r="I42" i="27"/>
  <c r="I43" i="27" s="1"/>
  <c r="E40" i="27"/>
  <c r="G36" i="13"/>
  <c r="AD24" i="27"/>
  <c r="H36" i="27"/>
  <c r="E76" i="27"/>
  <c r="G76" i="39" s="1"/>
  <c r="J56" i="27"/>
  <c r="D86" i="39"/>
  <c r="Q644" i="44"/>
  <c r="S91" i="25"/>
  <c r="N29" i="27"/>
  <c r="N82" i="27" s="1"/>
  <c r="D61" i="46"/>
  <c r="F59" i="47"/>
  <c r="AC36" i="27"/>
  <c r="E61" i="25"/>
  <c r="G59" i="37"/>
  <c r="V66" i="27"/>
  <c r="E79" i="27"/>
  <c r="G79" i="39" s="1"/>
  <c r="L71" i="15"/>
  <c r="D71" i="39" s="1"/>
  <c r="H71" i="39" s="1"/>
  <c r="F71" i="15"/>
  <c r="M89" i="15"/>
  <c r="E86" i="39"/>
  <c r="E89" i="39" s="1"/>
  <c r="AB42" i="27"/>
  <c r="AB43" i="27" s="1"/>
  <c r="I82" i="45"/>
  <c r="AE36" i="27"/>
  <c r="Q56" i="27"/>
  <c r="L23" i="15"/>
  <c r="D23" i="39" s="1"/>
  <c r="F23" i="15"/>
  <c r="M56" i="14"/>
  <c r="E54" i="38"/>
  <c r="E56" i="38" s="1"/>
  <c r="E19" i="27"/>
  <c r="I24" i="27"/>
  <c r="E89" i="37"/>
  <c r="E71" i="27"/>
  <c r="G71" i="39" s="1"/>
  <c r="D40" i="37"/>
  <c r="D42" i="37" s="1"/>
  <c r="D43" i="37" s="1"/>
  <c r="L42" i="13"/>
  <c r="L43" i="13" s="1"/>
  <c r="I39" i="47"/>
  <c r="D70" i="38"/>
  <c r="D72" i="38" s="1"/>
  <c r="L72" i="14"/>
  <c r="V82" i="25"/>
  <c r="I54" i="38"/>
  <c r="I56" i="38" s="1"/>
  <c r="G56" i="38"/>
  <c r="K56" i="27"/>
  <c r="L13" i="15"/>
  <c r="D13" i="39" s="1"/>
  <c r="H13" i="39" s="1"/>
  <c r="F13" i="15"/>
  <c r="F32" i="40"/>
  <c r="D36" i="28"/>
  <c r="D66" i="37"/>
  <c r="D32" i="40"/>
  <c r="D36" i="40" s="1"/>
  <c r="L36" i="16"/>
  <c r="D24" i="26"/>
  <c r="I43" i="38"/>
  <c r="H19" i="40"/>
  <c r="H24" i="40" s="1"/>
  <c r="F24" i="40"/>
  <c r="H29" i="38"/>
  <c r="G61" i="40"/>
  <c r="M24" i="49"/>
  <c r="E19" i="50"/>
  <c r="I82" i="17"/>
  <c r="D36" i="29"/>
  <c r="F32" i="41"/>
  <c r="D66" i="20"/>
  <c r="M35" i="12"/>
  <c r="E35" i="36" s="1"/>
  <c r="G35" i="12"/>
  <c r="M33" i="12"/>
  <c r="E33" i="36" s="1"/>
  <c r="I33" i="36" s="1"/>
  <c r="G33" i="12"/>
  <c r="I39" i="36"/>
  <c r="G70" i="12"/>
  <c r="G72" i="12" s="1"/>
  <c r="I72" i="12"/>
  <c r="M70" i="12"/>
  <c r="M80" i="12"/>
  <c r="E80" i="36" s="1"/>
  <c r="G80" i="12"/>
  <c r="I41" i="35"/>
  <c r="E42" i="35"/>
  <c r="E43" i="35" s="1"/>
  <c r="H19" i="43"/>
  <c r="F24" i="43"/>
  <c r="G11" i="52"/>
  <c r="E16" i="54"/>
  <c r="D24" i="20"/>
  <c r="F19" i="32"/>
  <c r="D27" i="24"/>
  <c r="G22" i="12"/>
  <c r="M22" i="12"/>
  <c r="E22" i="36" s="1"/>
  <c r="I22" i="36" s="1"/>
  <c r="R16" i="24"/>
  <c r="H36" i="24"/>
  <c r="D32" i="24"/>
  <c r="D16" i="32"/>
  <c r="J36" i="24"/>
  <c r="H640" i="44"/>
  <c r="J91" i="21"/>
  <c r="H22" i="43"/>
  <c r="F22" i="5"/>
  <c r="H22" i="5" s="1"/>
  <c r="D36" i="31"/>
  <c r="F32" i="43"/>
  <c r="F32" i="5" s="1"/>
  <c r="D29" i="23"/>
  <c r="F27" i="35"/>
  <c r="D24" i="54"/>
  <c r="F19" i="52"/>
  <c r="G27" i="43"/>
  <c r="E29" i="31"/>
  <c r="E61" i="42"/>
  <c r="M42" i="18"/>
  <c r="M43" i="18" s="1"/>
  <c r="E40" i="42"/>
  <c r="D56" i="54"/>
  <c r="L55" i="15"/>
  <c r="D55" i="39" s="1"/>
  <c r="F55" i="15"/>
  <c r="E78" i="27"/>
  <c r="G78" i="39" s="1"/>
  <c r="I78" i="39" s="1"/>
  <c r="L89" i="13"/>
  <c r="D42" i="46"/>
  <c r="D43" i="46" s="1"/>
  <c r="F40" i="47"/>
  <c r="X66" i="27"/>
  <c r="G59" i="47"/>
  <c r="E61" i="46"/>
  <c r="H33" i="52"/>
  <c r="M82" i="48"/>
  <c r="K651" i="44" s="1"/>
  <c r="L66" i="10"/>
  <c r="D64" i="34"/>
  <c r="D66" i="34" s="1"/>
  <c r="M36" i="49"/>
  <c r="G24" i="41"/>
  <c r="I20" i="41"/>
  <c r="I24" i="41" s="1"/>
  <c r="H12" i="41"/>
  <c r="H16" i="41" s="1"/>
  <c r="F16" i="41"/>
  <c r="H41" i="32"/>
  <c r="F41" i="5"/>
  <c r="F72" i="41"/>
  <c r="H70" i="41"/>
  <c r="H72" i="41" s="1"/>
  <c r="E66" i="20"/>
  <c r="G64" i="32"/>
  <c r="D29" i="20"/>
  <c r="F27" i="32"/>
  <c r="F59" i="32"/>
  <c r="D61" i="20"/>
  <c r="L16" i="8"/>
  <c r="E28" i="32"/>
  <c r="M29" i="8"/>
  <c r="E40" i="24"/>
  <c r="H27" i="41"/>
  <c r="H29" i="41" s="1"/>
  <c r="F29" i="41"/>
  <c r="M16" i="8"/>
  <c r="E11" i="32"/>
  <c r="E16" i="32" s="1"/>
  <c r="M65" i="12"/>
  <c r="E65" i="36" s="1"/>
  <c r="G65" i="12"/>
  <c r="L15" i="12"/>
  <c r="D15" i="36" s="1"/>
  <c r="F15" i="12"/>
  <c r="M60" i="12"/>
  <c r="E60" i="36" s="1"/>
  <c r="I60" i="36" s="1"/>
  <c r="G60" i="12"/>
  <c r="F32" i="12"/>
  <c r="L32" i="12"/>
  <c r="H36" i="12"/>
  <c r="E64" i="24"/>
  <c r="H45" i="33"/>
  <c r="D45" i="5"/>
  <c r="M79" i="12"/>
  <c r="E79" i="36" s="1"/>
  <c r="I79" i="36" s="1"/>
  <c r="G79" i="12"/>
  <c r="D42" i="21"/>
  <c r="D43" i="21" s="1"/>
  <c r="F40" i="33"/>
  <c r="O36" i="24"/>
  <c r="E35" i="24"/>
  <c r="G35" i="36" s="1"/>
  <c r="M42" i="24"/>
  <c r="M43" i="24" s="1"/>
  <c r="F34" i="12"/>
  <c r="L34" i="12"/>
  <c r="D34" i="36" s="1"/>
  <c r="H34" i="36" s="1"/>
  <c r="G78" i="12"/>
  <c r="M78" i="12"/>
  <c r="E78" i="36" s="1"/>
  <c r="D29" i="21"/>
  <c r="F27" i="33"/>
  <c r="AD36" i="24"/>
  <c r="L81" i="12"/>
  <c r="D81" i="36" s="1"/>
  <c r="H81" i="36" s="1"/>
  <c r="F81" i="12"/>
  <c r="I24" i="24"/>
  <c r="U29" i="24"/>
  <c r="H72" i="24"/>
  <c r="D70" i="24"/>
  <c r="M81" i="12"/>
  <c r="E81" i="36" s="1"/>
  <c r="I81" i="36" s="1"/>
  <c r="G81" i="12"/>
  <c r="N29" i="24"/>
  <c r="M29" i="9"/>
  <c r="E27" i="33"/>
  <c r="E29" i="33" s="1"/>
  <c r="M59" i="12"/>
  <c r="G59" i="12"/>
  <c r="G61" i="12" s="1"/>
  <c r="I61" i="12"/>
  <c r="AB43" i="24"/>
  <c r="D55" i="24"/>
  <c r="F55" i="36" s="1"/>
  <c r="AB16" i="24"/>
  <c r="AB82" i="24" s="1"/>
  <c r="U36" i="24"/>
  <c r="AA72" i="24"/>
  <c r="M56" i="24"/>
  <c r="N16" i="24"/>
  <c r="D80" i="24"/>
  <c r="F80" i="36" s="1"/>
  <c r="I71" i="35"/>
  <c r="V72" i="24"/>
  <c r="M24" i="9"/>
  <c r="AC36" i="24"/>
  <c r="E73" i="24"/>
  <c r="G73" i="36" s="1"/>
  <c r="E24" i="35"/>
  <c r="I22" i="35"/>
  <c r="E29" i="21"/>
  <c r="G27" i="33"/>
  <c r="F40" i="35"/>
  <c r="D42" i="23"/>
  <c r="D43" i="23" s="1"/>
  <c r="D82" i="23" s="1"/>
  <c r="M72" i="11"/>
  <c r="G82" i="29"/>
  <c r="X16" i="24"/>
  <c r="X82" i="24" s="1"/>
  <c r="L72" i="9"/>
  <c r="E15" i="24"/>
  <c r="G15" i="36" s="1"/>
  <c r="E61" i="23"/>
  <c r="E24" i="33"/>
  <c r="E82" i="33" s="1"/>
  <c r="E91" i="33" s="1"/>
  <c r="D56" i="23"/>
  <c r="F54" i="35"/>
  <c r="E39" i="5"/>
  <c r="E88" i="5"/>
  <c r="E51" i="5"/>
  <c r="E16" i="20"/>
  <c r="G11" i="32"/>
  <c r="E75" i="5"/>
  <c r="I75" i="5" s="1"/>
  <c r="D27" i="43"/>
  <c r="D29" i="43" s="1"/>
  <c r="L29" i="19"/>
  <c r="L82" i="19" s="1"/>
  <c r="L91" i="19" s="1"/>
  <c r="E54" i="48"/>
  <c r="G56" i="48"/>
  <c r="G82" i="48" s="1"/>
  <c r="G61" i="35"/>
  <c r="E16" i="31"/>
  <c r="G11" i="43"/>
  <c r="S650" i="44"/>
  <c r="U91" i="31"/>
  <c r="AA650" i="44"/>
  <c r="AC91" i="31"/>
  <c r="I76" i="43"/>
  <c r="G76" i="5"/>
  <c r="I76" i="5" s="1"/>
  <c r="G66" i="52"/>
  <c r="I64" i="52"/>
  <c r="I66" i="52" s="1"/>
  <c r="H20" i="42"/>
  <c r="D20" i="5"/>
  <c r="I75" i="43"/>
  <c r="E56" i="54"/>
  <c r="G54" i="52"/>
  <c r="E40" i="43"/>
  <c r="E42" i="43" s="1"/>
  <c r="E43" i="43" s="1"/>
  <c r="M42" i="19"/>
  <c r="M43" i="19" s="1"/>
  <c r="H78" i="52"/>
  <c r="I78" i="43"/>
  <c r="G78" i="5"/>
  <c r="I78" i="5" s="1"/>
  <c r="S82" i="54"/>
  <c r="Q652" i="44" s="1"/>
  <c r="E72" i="23"/>
  <c r="D89" i="31"/>
  <c r="F86" i="43"/>
  <c r="D14" i="5"/>
  <c r="L16" i="18"/>
  <c r="D12" i="42"/>
  <c r="E11" i="24"/>
  <c r="G16" i="24"/>
  <c r="F21" i="5"/>
  <c r="H21" i="5" s="1"/>
  <c r="G79" i="5"/>
  <c r="I79" i="5" s="1"/>
  <c r="G39" i="5"/>
  <c r="I39" i="5" s="1"/>
  <c r="E55" i="43"/>
  <c r="M56" i="19"/>
  <c r="G12" i="15"/>
  <c r="M12" i="15"/>
  <c r="E12" i="39" s="1"/>
  <c r="I12" i="39" s="1"/>
  <c r="L66" i="53"/>
  <c r="D64" i="52"/>
  <c r="D66" i="52" s="1"/>
  <c r="M24" i="13"/>
  <c r="E21" i="37"/>
  <c r="E24" i="37" s="1"/>
  <c r="E82" i="37" s="1"/>
  <c r="E91" i="37" s="1"/>
  <c r="F51" i="15"/>
  <c r="L51" i="15"/>
  <c r="D51" i="39" s="1"/>
  <c r="T36" i="27"/>
  <c r="V42" i="27"/>
  <c r="V43" i="27" s="1"/>
  <c r="E11" i="27"/>
  <c r="M45" i="15"/>
  <c r="E45" i="39" s="1"/>
  <c r="G45" i="15"/>
  <c r="O42" i="27"/>
  <c r="O43" i="27" s="1"/>
  <c r="AE56" i="27"/>
  <c r="F35" i="15"/>
  <c r="L35" i="15"/>
  <c r="D35" i="39" s="1"/>
  <c r="F86" i="15"/>
  <c r="F89" i="15" s="1"/>
  <c r="F89" i="13"/>
  <c r="AA66" i="27"/>
  <c r="M35" i="15"/>
  <c r="E35" i="39" s="1"/>
  <c r="I35" i="39" s="1"/>
  <c r="G35" i="15"/>
  <c r="Q42" i="27"/>
  <c r="Q43" i="27" s="1"/>
  <c r="D76" i="27"/>
  <c r="F76" i="39" s="1"/>
  <c r="M32" i="15"/>
  <c r="I36" i="15"/>
  <c r="G32" i="15"/>
  <c r="M71" i="15"/>
  <c r="E71" i="39" s="1"/>
  <c r="G71" i="15"/>
  <c r="K16" i="27"/>
  <c r="AB36" i="27"/>
  <c r="P56" i="27"/>
  <c r="E65" i="27"/>
  <c r="G65" i="39" s="1"/>
  <c r="D54" i="27"/>
  <c r="M74" i="15"/>
  <c r="E74" i="39" s="1"/>
  <c r="G74" i="15"/>
  <c r="E16" i="25"/>
  <c r="G11" i="37"/>
  <c r="P644" i="44"/>
  <c r="R91" i="25"/>
  <c r="R56" i="27"/>
  <c r="O72" i="27"/>
  <c r="Q16" i="27"/>
  <c r="K24" i="27"/>
  <c r="V29" i="27"/>
  <c r="E24" i="46"/>
  <c r="G19" i="47"/>
  <c r="D72" i="46"/>
  <c r="F70" i="47"/>
  <c r="AD66" i="27"/>
  <c r="AD72" i="27"/>
  <c r="J646" i="44"/>
  <c r="L91" i="46"/>
  <c r="H72" i="27"/>
  <c r="D70" i="27"/>
  <c r="G86" i="39"/>
  <c r="E89" i="27"/>
  <c r="G19" i="37"/>
  <c r="E24" i="25"/>
  <c r="D39" i="27"/>
  <c r="F39" i="39" s="1"/>
  <c r="E77" i="27"/>
  <c r="G77" i="39" s="1"/>
  <c r="Q24" i="27"/>
  <c r="AB29" i="27"/>
  <c r="H42" i="27"/>
  <c r="H43" i="27" s="1"/>
  <c r="E66" i="37"/>
  <c r="D15" i="27"/>
  <c r="F15" i="39" s="1"/>
  <c r="H15" i="39" s="1"/>
  <c r="I75" i="47"/>
  <c r="E16" i="28"/>
  <c r="G11" i="40"/>
  <c r="J82" i="25"/>
  <c r="V16" i="27"/>
  <c r="G72" i="38"/>
  <c r="I70" i="38"/>
  <c r="I72" i="38" s="1"/>
  <c r="E24" i="28"/>
  <c r="G19" i="40"/>
  <c r="D66" i="46"/>
  <c r="F64" i="47"/>
  <c r="L66" i="13"/>
  <c r="F64" i="38"/>
  <c r="D66" i="26"/>
  <c r="M24" i="45"/>
  <c r="E20" i="47"/>
  <c r="I33" i="38"/>
  <c r="D72" i="28"/>
  <c r="I40" i="40"/>
  <c r="I42" i="40" s="1"/>
  <c r="I43" i="40" s="1"/>
  <c r="G42" i="40"/>
  <c r="G43" i="40" s="1"/>
  <c r="I41" i="36"/>
  <c r="H39" i="36"/>
  <c r="M36" i="9"/>
  <c r="E32" i="33"/>
  <c r="E36" i="33" s="1"/>
  <c r="L79" i="12"/>
  <c r="D79" i="36" s="1"/>
  <c r="H79" i="36" s="1"/>
  <c r="F79" i="12"/>
  <c r="H78" i="36"/>
  <c r="D66" i="21"/>
  <c r="F64" i="33"/>
  <c r="F40" i="43"/>
  <c r="F40" i="5" s="1"/>
  <c r="D42" i="31"/>
  <c r="D43" i="31" s="1"/>
  <c r="G36" i="34"/>
  <c r="I32" i="34"/>
  <c r="I36" i="34" s="1"/>
  <c r="D56" i="22"/>
  <c r="F54" i="34"/>
  <c r="G36" i="32"/>
  <c r="I32" i="32"/>
  <c r="I36" i="32" s="1"/>
  <c r="H64" i="32"/>
  <c r="H66" i="32" s="1"/>
  <c r="F66" i="32"/>
  <c r="E56" i="32"/>
  <c r="E54" i="5"/>
  <c r="G82" i="8"/>
  <c r="G41" i="12"/>
  <c r="M41" i="12"/>
  <c r="E41" i="36" s="1"/>
  <c r="F74" i="12"/>
  <c r="L74" i="12"/>
  <c r="D74" i="36" s="1"/>
  <c r="H74" i="36" s="1"/>
  <c r="D21" i="24"/>
  <c r="F21" i="36" s="1"/>
  <c r="H21" i="36" s="1"/>
  <c r="G73" i="12"/>
  <c r="M73" i="12"/>
  <c r="E73" i="36" s="1"/>
  <c r="O16" i="24"/>
  <c r="N56" i="24"/>
  <c r="F87" i="5"/>
  <c r="D40" i="43"/>
  <c r="L42" i="19"/>
  <c r="L43" i="19" s="1"/>
  <c r="X82" i="54"/>
  <c r="V652" i="44" s="1"/>
  <c r="I70" i="42"/>
  <c r="I72" i="42" s="1"/>
  <c r="G72" i="42"/>
  <c r="G70" i="5"/>
  <c r="F70" i="52"/>
  <c r="D72" i="54"/>
  <c r="E66" i="42"/>
  <c r="I64" i="42"/>
  <c r="I66" i="42" s="1"/>
  <c r="F40" i="37"/>
  <c r="D42" i="25"/>
  <c r="D43" i="25" s="1"/>
  <c r="D20" i="27"/>
  <c r="F20" i="39" s="1"/>
  <c r="H20" i="39" s="1"/>
  <c r="E36" i="46"/>
  <c r="G32" i="47"/>
  <c r="E60" i="27"/>
  <c r="G60" i="39" s="1"/>
  <c r="L40" i="15"/>
  <c r="F40" i="15"/>
  <c r="H42" i="15"/>
  <c r="H43" i="15" s="1"/>
  <c r="D16" i="48"/>
  <c r="D82" i="48" s="1"/>
  <c r="F11" i="50"/>
  <c r="M16" i="49"/>
  <c r="E11" i="50"/>
  <c r="L16" i="10"/>
  <c r="D11" i="34"/>
  <c r="F71" i="34"/>
  <c r="D72" i="22"/>
  <c r="I82" i="10"/>
  <c r="H14" i="50"/>
  <c r="F24" i="49"/>
  <c r="F82" i="49" s="1"/>
  <c r="G43" i="49"/>
  <c r="M72" i="49"/>
  <c r="E70" i="50"/>
  <c r="E72" i="50" s="1"/>
  <c r="H82" i="10"/>
  <c r="I82" i="49"/>
  <c r="D74" i="5"/>
  <c r="D82" i="22"/>
  <c r="E13" i="34"/>
  <c r="M16" i="10"/>
  <c r="M82" i="10" s="1"/>
  <c r="D42" i="50"/>
  <c r="D43" i="50" s="1"/>
  <c r="G82" i="17"/>
  <c r="G64" i="34"/>
  <c r="E66" i="22"/>
  <c r="E81" i="5"/>
  <c r="G56" i="34"/>
  <c r="I54" i="34"/>
  <c r="I56" i="34" s="1"/>
  <c r="D72" i="29"/>
  <c r="D16" i="29"/>
  <c r="D23" i="5"/>
  <c r="E42" i="20"/>
  <c r="E43" i="20" s="1"/>
  <c r="I22" i="32"/>
  <c r="E22" i="5"/>
  <c r="K82" i="12"/>
  <c r="K91" i="12" s="1"/>
  <c r="G61" i="32"/>
  <c r="D42" i="20"/>
  <c r="D43" i="20" s="1"/>
  <c r="D82" i="20" s="1"/>
  <c r="F40" i="32"/>
  <c r="D29" i="29"/>
  <c r="E32" i="24"/>
  <c r="D24" i="32"/>
  <c r="G74" i="12"/>
  <c r="M74" i="12"/>
  <c r="E74" i="36" s="1"/>
  <c r="L19" i="12"/>
  <c r="H24" i="12"/>
  <c r="F19" i="12"/>
  <c r="F24" i="12" s="1"/>
  <c r="F51" i="12"/>
  <c r="L51" i="12"/>
  <c r="D51" i="36" s="1"/>
  <c r="M11" i="12"/>
  <c r="G11" i="12"/>
  <c r="I16" i="12"/>
  <c r="L45" i="12"/>
  <c r="D45" i="36" s="1"/>
  <c r="H45" i="36" s="1"/>
  <c r="F45" i="12"/>
  <c r="I16" i="24"/>
  <c r="V24" i="24"/>
  <c r="L42" i="24"/>
  <c r="L43" i="24" s="1"/>
  <c r="L56" i="9"/>
  <c r="D54" i="33"/>
  <c r="F78" i="12"/>
  <c r="L78" i="12"/>
  <c r="D78" i="36" s="1"/>
  <c r="U42" i="24"/>
  <c r="U43" i="24" s="1"/>
  <c r="H24" i="24"/>
  <c r="L29" i="24"/>
  <c r="D49" i="24"/>
  <c r="F49" i="36" s="1"/>
  <c r="H49" i="36" s="1"/>
  <c r="L16" i="9"/>
  <c r="L82" i="9" s="1"/>
  <c r="L91" i="9" s="1"/>
  <c r="D12" i="33"/>
  <c r="M34" i="12"/>
  <c r="E34" i="36" s="1"/>
  <c r="G34" i="12"/>
  <c r="Q24" i="24"/>
  <c r="AC29" i="24"/>
  <c r="AC82" i="24" s="1"/>
  <c r="H61" i="24"/>
  <c r="D59" i="24"/>
  <c r="Q72" i="24"/>
  <c r="M86" i="12"/>
  <c r="M89" i="9"/>
  <c r="B17" i="4" s="1"/>
  <c r="C17" i="4" s="1"/>
  <c r="E86" i="33"/>
  <c r="E89" i="33" s="1"/>
  <c r="J24" i="24"/>
  <c r="V29" i="24"/>
  <c r="L64" i="12"/>
  <c r="H66" i="12"/>
  <c r="F64" i="12"/>
  <c r="F66" i="12" s="1"/>
  <c r="J640" i="44"/>
  <c r="L91" i="21"/>
  <c r="L36" i="24"/>
  <c r="D41" i="24"/>
  <c r="F41" i="36" s="1"/>
  <c r="E75" i="24"/>
  <c r="G75" i="36" s="1"/>
  <c r="I75" i="36" s="1"/>
  <c r="I29" i="24"/>
  <c r="E27" i="24"/>
  <c r="E42" i="21"/>
  <c r="E43" i="21" s="1"/>
  <c r="G40" i="33"/>
  <c r="V82" i="21"/>
  <c r="M16" i="9"/>
  <c r="AD72" i="24"/>
  <c r="D56" i="21"/>
  <c r="I45" i="33"/>
  <c r="D89" i="21"/>
  <c r="F86" i="33"/>
  <c r="H64" i="35"/>
  <c r="H66" i="35" s="1"/>
  <c r="F66" i="35"/>
  <c r="D27" i="35"/>
  <c r="D29" i="35" s="1"/>
  <c r="L29" i="11"/>
  <c r="E16" i="23"/>
  <c r="E82" i="23" s="1"/>
  <c r="E16" i="29"/>
  <c r="G11" i="41"/>
  <c r="D82" i="35"/>
  <c r="M42" i="11"/>
  <c r="M43" i="11" s="1"/>
  <c r="F60" i="35"/>
  <c r="F60" i="5" s="1"/>
  <c r="H60" i="5" s="1"/>
  <c r="D61" i="23"/>
  <c r="H82" i="11"/>
  <c r="X56" i="24"/>
  <c r="G56" i="21"/>
  <c r="E54" i="21"/>
  <c r="I641" i="44"/>
  <c r="K84" i="24"/>
  <c r="G650" i="44"/>
  <c r="I91" i="31"/>
  <c r="W82" i="31"/>
  <c r="I80" i="43"/>
  <c r="G80" i="5"/>
  <c r="I80" i="5" s="1"/>
  <c r="D16" i="31"/>
  <c r="F11" i="43"/>
  <c r="F11" i="5" s="1"/>
  <c r="D22" i="5"/>
  <c r="E66" i="43"/>
  <c r="E24" i="43"/>
  <c r="P82" i="54"/>
  <c r="N652" i="44" s="1"/>
  <c r="E61" i="54"/>
  <c r="G59" i="52"/>
  <c r="D39" i="5"/>
  <c r="E65" i="5"/>
  <c r="I70" i="35"/>
  <c r="I72" i="35" s="1"/>
  <c r="G72" i="35"/>
  <c r="G82" i="18"/>
  <c r="F34" i="5"/>
  <c r="D33" i="5"/>
  <c r="I27" i="42"/>
  <c r="I29" i="42" s="1"/>
  <c r="G29" i="42"/>
  <c r="G27" i="5"/>
  <c r="I60" i="42"/>
  <c r="I61" i="42" s="1"/>
  <c r="G61" i="42"/>
  <c r="G60" i="5"/>
  <c r="D61" i="31"/>
  <c r="F59" i="43"/>
  <c r="E21" i="42"/>
  <c r="M24" i="18"/>
  <c r="E34" i="5"/>
  <c r="E78" i="5"/>
  <c r="I77" i="42"/>
  <c r="I82" i="13"/>
  <c r="I91" i="13" s="1"/>
  <c r="G32" i="5"/>
  <c r="P36" i="27"/>
  <c r="F39" i="5"/>
  <c r="H39" i="5" s="1"/>
  <c r="M21" i="15"/>
  <c r="E21" i="39" s="1"/>
  <c r="I21" i="39" s="1"/>
  <c r="G21" i="15"/>
  <c r="L59" i="15"/>
  <c r="F59" i="15"/>
  <c r="H61" i="15"/>
  <c r="M65" i="15"/>
  <c r="E65" i="39" s="1"/>
  <c r="G65" i="15"/>
  <c r="W43" i="27"/>
  <c r="W82" i="27" s="1"/>
  <c r="E49" i="27"/>
  <c r="G49" i="39" s="1"/>
  <c r="I49" i="39" s="1"/>
  <c r="E27" i="27"/>
  <c r="H89" i="15"/>
  <c r="J16" i="27"/>
  <c r="D35" i="27"/>
  <c r="F35" i="39" s="1"/>
  <c r="H35" i="39" s="1"/>
  <c r="Z42" i="27"/>
  <c r="Z43" i="27" s="1"/>
  <c r="L66" i="27"/>
  <c r="S16" i="27"/>
  <c r="S82" i="27" s="1"/>
  <c r="K29" i="27"/>
  <c r="D33" i="27"/>
  <c r="F33" i="39" s="1"/>
  <c r="H33" i="39" s="1"/>
  <c r="D74" i="27"/>
  <c r="F74" i="39" s="1"/>
  <c r="H74" i="39" s="1"/>
  <c r="I79" i="37"/>
  <c r="D64" i="27"/>
  <c r="G34" i="15"/>
  <c r="M34" i="15"/>
  <c r="E34" i="39" s="1"/>
  <c r="I34" i="39" s="1"/>
  <c r="M82" i="25"/>
  <c r="H24" i="27"/>
  <c r="D19" i="27"/>
  <c r="AC42" i="27"/>
  <c r="AC43" i="27" s="1"/>
  <c r="O66" i="27"/>
  <c r="W72" i="27"/>
  <c r="F16" i="45"/>
  <c r="F82" i="45" s="1"/>
  <c r="M14" i="15"/>
  <c r="E14" i="39" s="1"/>
  <c r="G14" i="15"/>
  <c r="F82" i="46"/>
  <c r="F91" i="46" s="1"/>
  <c r="L24" i="13"/>
  <c r="R16" i="27"/>
  <c r="R82" i="27" s="1"/>
  <c r="Z82" i="25"/>
  <c r="O61" i="27"/>
  <c r="K42" i="27"/>
  <c r="K43" i="27" s="1"/>
  <c r="H22" i="37"/>
  <c r="E72" i="25"/>
  <c r="I66" i="15"/>
  <c r="E70" i="37"/>
  <c r="E72" i="37" s="1"/>
  <c r="M72" i="13"/>
  <c r="M16" i="13"/>
  <c r="L60" i="15"/>
  <c r="D60" i="39" s="1"/>
  <c r="H60" i="39" s="1"/>
  <c r="F60" i="15"/>
  <c r="E64" i="27"/>
  <c r="I66" i="27"/>
  <c r="M16" i="14"/>
  <c r="E11" i="38"/>
  <c r="E16" i="38" s="1"/>
  <c r="E64" i="38"/>
  <c r="E64" i="5" s="1"/>
  <c r="E66" i="5" s="1"/>
  <c r="M66" i="14"/>
  <c r="L77" i="15"/>
  <c r="D77" i="39" s="1"/>
  <c r="H77" i="39" s="1"/>
  <c r="F77" i="15"/>
  <c r="D23" i="27"/>
  <c r="F23" i="39" s="1"/>
  <c r="H23" i="39" s="1"/>
  <c r="M66" i="13"/>
  <c r="G32" i="37"/>
  <c r="E36" i="25"/>
  <c r="H86" i="37"/>
  <c r="G70" i="47"/>
  <c r="E72" i="46"/>
  <c r="N644" i="44"/>
  <c r="P91" i="25"/>
  <c r="E36" i="37"/>
  <c r="I87" i="37"/>
  <c r="G89" i="37"/>
  <c r="H82" i="16"/>
  <c r="H91" i="16" s="1"/>
  <c r="S56" i="27"/>
  <c r="F32" i="38"/>
  <c r="D36" i="26"/>
  <c r="I54" i="47"/>
  <c r="I56" i="47" s="1"/>
  <c r="G56" i="47"/>
  <c r="E72" i="26"/>
  <c r="H27" i="47"/>
  <c r="H29" i="47" s="1"/>
  <c r="F29" i="47"/>
  <c r="G66" i="40"/>
  <c r="I64" i="40"/>
  <c r="I66" i="40" s="1"/>
  <c r="D42" i="26"/>
  <c r="D43" i="26" s="1"/>
  <c r="F40" i="38"/>
  <c r="F59" i="40"/>
  <c r="D61" i="28"/>
  <c r="M56" i="16"/>
  <c r="M82" i="16" s="1"/>
  <c r="D42" i="28"/>
  <c r="D43" i="28" s="1"/>
  <c r="H21" i="38"/>
  <c r="I13" i="36"/>
  <c r="H65" i="36"/>
  <c r="J82" i="24"/>
  <c r="M40" i="12"/>
  <c r="G40" i="12"/>
  <c r="G42" i="12" s="1"/>
  <c r="G43" i="12" s="1"/>
  <c r="I42" i="12"/>
  <c r="I43" i="12" s="1"/>
  <c r="T24" i="24"/>
  <c r="D27" i="33"/>
  <c r="D29" i="33" s="1"/>
  <c r="L29" i="9"/>
  <c r="R650" i="44"/>
  <c r="T91" i="31"/>
  <c r="F43" i="49"/>
  <c r="L35" i="12"/>
  <c r="D35" i="36" s="1"/>
  <c r="H35" i="36" s="1"/>
  <c r="F35" i="12"/>
  <c r="Z29" i="24"/>
  <c r="Z82" i="24" s="1"/>
  <c r="O24" i="24"/>
  <c r="G54" i="12"/>
  <c r="G56" i="12" s="1"/>
  <c r="M54" i="12"/>
  <c r="I56" i="12"/>
  <c r="J56" i="24"/>
  <c r="E65" i="24"/>
  <c r="G65" i="36" s="1"/>
  <c r="I65" i="36" s="1"/>
  <c r="H16" i="24"/>
  <c r="L27" i="12"/>
  <c r="H29" i="12"/>
  <c r="F27" i="12"/>
  <c r="E78" i="24"/>
  <c r="G78" i="36" s="1"/>
  <c r="I78" i="36" s="1"/>
  <c r="D71" i="43"/>
  <c r="L72" i="19"/>
  <c r="D66" i="31"/>
  <c r="F64" i="43"/>
  <c r="F64" i="5" s="1"/>
  <c r="F82" i="18"/>
  <c r="M40" i="15"/>
  <c r="I42" i="15"/>
  <c r="I43" i="15" s="1"/>
  <c r="G40" i="15"/>
  <c r="G42" i="15" s="1"/>
  <c r="G79" i="15"/>
  <c r="M79" i="15"/>
  <c r="E79" i="39" s="1"/>
  <c r="F78" i="15"/>
  <c r="L78" i="15"/>
  <c r="D78" i="39" s="1"/>
  <c r="H78" i="39" s="1"/>
  <c r="F65" i="15"/>
  <c r="L65" i="15"/>
  <c r="D65" i="39" s="1"/>
  <c r="M29" i="45"/>
  <c r="E27" i="47"/>
  <c r="E29" i="47" s="1"/>
  <c r="I89" i="37"/>
  <c r="E66" i="46"/>
  <c r="G64" i="47"/>
  <c r="L82" i="48"/>
  <c r="J651" i="44" s="1"/>
  <c r="L24" i="49"/>
  <c r="D19" i="50"/>
  <c r="D24" i="50" s="1"/>
  <c r="G16" i="49"/>
  <c r="G82" i="49" s="1"/>
  <c r="H81" i="50"/>
  <c r="L24" i="10"/>
  <c r="D19" i="34"/>
  <c r="D19" i="5" s="1"/>
  <c r="D24" i="5" s="1"/>
  <c r="I14" i="34"/>
  <c r="L42" i="49"/>
  <c r="L43" i="49" s="1"/>
  <c r="H82" i="17"/>
  <c r="E29" i="29"/>
  <c r="G27" i="41"/>
  <c r="F66" i="34"/>
  <c r="H64" i="34"/>
  <c r="H66" i="34" s="1"/>
  <c r="M56" i="17"/>
  <c r="M82" i="17" s="1"/>
  <c r="B26" i="4" s="1"/>
  <c r="C26" i="4" s="1"/>
  <c r="H78" i="34"/>
  <c r="E19" i="32"/>
  <c r="M24" i="8"/>
  <c r="H82" i="8"/>
  <c r="G42" i="32"/>
  <c r="G43" i="32" s="1"/>
  <c r="D11" i="24"/>
  <c r="H77" i="32"/>
  <c r="E72" i="20"/>
  <c r="G70" i="32"/>
  <c r="F64" i="41"/>
  <c r="D66" i="29"/>
  <c r="L24" i="8"/>
  <c r="M13" i="12"/>
  <c r="E13" i="36" s="1"/>
  <c r="G13" i="12"/>
  <c r="M15" i="12"/>
  <c r="E15" i="36" s="1"/>
  <c r="G15" i="12"/>
  <c r="L24" i="9"/>
  <c r="D20" i="33"/>
  <c r="D24" i="33" s="1"/>
  <c r="Q16" i="24"/>
  <c r="N36" i="24"/>
  <c r="L54" i="12"/>
  <c r="H56" i="12"/>
  <c r="F54" i="12"/>
  <c r="D76" i="24"/>
  <c r="F76" i="36" s="1"/>
  <c r="H76" i="36" s="1"/>
  <c r="L36" i="9"/>
  <c r="D34" i="33"/>
  <c r="K16" i="24"/>
  <c r="K82" i="24" s="1"/>
  <c r="P24" i="24"/>
  <c r="F12" i="12"/>
  <c r="L12" i="12"/>
  <c r="D12" i="36" s="1"/>
  <c r="H12" i="36" s="1"/>
  <c r="L16" i="24"/>
  <c r="L82" i="24" s="1"/>
  <c r="Y24" i="24"/>
  <c r="Y82" i="24" s="1"/>
  <c r="P61" i="24"/>
  <c r="F55" i="12"/>
  <c r="L55" i="12"/>
  <c r="D55" i="36" s="1"/>
  <c r="M88" i="12"/>
  <c r="E88" i="36" s="1"/>
  <c r="I88" i="36" s="1"/>
  <c r="E88" i="33"/>
  <c r="R24" i="24"/>
  <c r="AD29" i="24"/>
  <c r="AB36" i="24"/>
  <c r="M27" i="12"/>
  <c r="I29" i="12"/>
  <c r="G27" i="12"/>
  <c r="G29" i="12" s="1"/>
  <c r="H29" i="24"/>
  <c r="T36" i="24"/>
  <c r="M64" i="12"/>
  <c r="I66" i="12"/>
  <c r="G64" i="12"/>
  <c r="G66" i="12" s="1"/>
  <c r="Q29" i="24"/>
  <c r="T61" i="24"/>
  <c r="M61" i="24"/>
  <c r="L87" i="12"/>
  <c r="L89" i="9"/>
  <c r="D87" i="33"/>
  <c r="U56" i="24"/>
  <c r="V16" i="24"/>
  <c r="V82" i="24" s="1"/>
  <c r="I34" i="33"/>
  <c r="G34" i="5"/>
  <c r="F80" i="12"/>
  <c r="L80" i="12"/>
  <c r="D80" i="36" s="1"/>
  <c r="AE82" i="21"/>
  <c r="I88" i="33"/>
  <c r="G88" i="5"/>
  <c r="I88" i="5" s="1"/>
  <c r="M36" i="11"/>
  <c r="E32" i="35"/>
  <c r="E61" i="35"/>
  <c r="E60" i="5"/>
  <c r="D66" i="23"/>
  <c r="J61" i="24"/>
  <c r="L82" i="11"/>
  <c r="M61" i="19"/>
  <c r="E59" i="43"/>
  <c r="E61" i="43" s="1"/>
  <c r="E54" i="24"/>
  <c r="G56" i="24"/>
  <c r="I12" i="43"/>
  <c r="G12" i="5"/>
  <c r="I77" i="43"/>
  <c r="D16" i="54"/>
  <c r="D82" i="54" s="1"/>
  <c r="F11" i="52"/>
  <c r="E71" i="5"/>
  <c r="P650" i="44"/>
  <c r="R91" i="31"/>
  <c r="H35" i="43"/>
  <c r="F35" i="5"/>
  <c r="H35" i="5" s="1"/>
  <c r="I650" i="44"/>
  <c r="K91" i="31"/>
  <c r="H47" i="43"/>
  <c r="F47" i="5"/>
  <c r="T650" i="44"/>
  <c r="V91" i="31"/>
  <c r="I47" i="43"/>
  <c r="G47" i="5"/>
  <c r="H14" i="43"/>
  <c r="F14" i="5"/>
  <c r="H14" i="5" s="1"/>
  <c r="M66" i="19"/>
  <c r="D56" i="43"/>
  <c r="D55" i="5"/>
  <c r="H47" i="42"/>
  <c r="D47" i="5"/>
  <c r="E80" i="5"/>
  <c r="D34" i="5"/>
  <c r="H34" i="42"/>
  <c r="G45" i="5"/>
  <c r="I45" i="5" s="1"/>
  <c r="L36" i="18"/>
  <c r="I64" i="43"/>
  <c r="I66" i="43" s="1"/>
  <c r="G66" i="43"/>
  <c r="G82" i="31"/>
  <c r="G91" i="31" s="1"/>
  <c r="F24" i="42"/>
  <c r="H19" i="42"/>
  <c r="H24" i="42" s="1"/>
  <c r="F19" i="5"/>
  <c r="G14" i="5"/>
  <c r="I14" i="5" s="1"/>
  <c r="G21" i="5"/>
  <c r="F77" i="5"/>
  <c r="H77" i="5" s="1"/>
  <c r="I80" i="42"/>
  <c r="F86" i="39"/>
  <c r="D89" i="27"/>
  <c r="M36" i="18"/>
  <c r="M82" i="18" s="1"/>
  <c r="B23" i="4" s="1"/>
  <c r="C23" i="4" s="1"/>
  <c r="I41" i="42"/>
  <c r="G41" i="5"/>
  <c r="I41" i="5" s="1"/>
  <c r="H39" i="42"/>
  <c r="M23" i="15"/>
  <c r="E23" i="39" s="1"/>
  <c r="I23" i="39" s="1"/>
  <c r="G23" i="15"/>
  <c r="J24" i="27"/>
  <c r="D51" i="27"/>
  <c r="F51" i="39" s="1"/>
  <c r="L82" i="25"/>
  <c r="L39" i="15"/>
  <c r="D39" i="39" s="1"/>
  <c r="F39" i="15"/>
  <c r="I16" i="27"/>
  <c r="T24" i="27"/>
  <c r="T82" i="27" s="1"/>
  <c r="G60" i="15"/>
  <c r="M60" i="15"/>
  <c r="E60" i="39" s="1"/>
  <c r="L22" i="15"/>
  <c r="D22" i="39" s="1"/>
  <c r="H22" i="39" s="1"/>
  <c r="F22" i="15"/>
  <c r="G39" i="15"/>
  <c r="M39" i="15"/>
  <c r="E39" i="39" s="1"/>
  <c r="I39" i="39" s="1"/>
  <c r="AD16" i="27"/>
  <c r="AD82" i="27" s="1"/>
  <c r="M24" i="27"/>
  <c r="T66" i="27"/>
  <c r="G71" i="5"/>
  <c r="I71" i="5" s="1"/>
  <c r="L41" i="15"/>
  <c r="D41" i="39" s="1"/>
  <c r="F41" i="15"/>
  <c r="M75" i="15"/>
  <c r="E75" i="39" s="1"/>
  <c r="I75" i="39" s="1"/>
  <c r="G75" i="15"/>
  <c r="AE16" i="27"/>
  <c r="J43" i="27"/>
  <c r="G43" i="13"/>
  <c r="G82" i="13" s="1"/>
  <c r="G91" i="13" s="1"/>
  <c r="M16" i="27"/>
  <c r="P24" i="27"/>
  <c r="H61" i="27"/>
  <c r="D59" i="27"/>
  <c r="W66" i="27"/>
  <c r="AE72" i="27"/>
  <c r="K82" i="25"/>
  <c r="K91" i="25" s="1"/>
  <c r="I644" i="44" s="1"/>
  <c r="M72" i="27"/>
  <c r="I82" i="14"/>
  <c r="L24" i="27"/>
  <c r="E56" i="25"/>
  <c r="G54" i="37"/>
  <c r="F70" i="37"/>
  <c r="D72" i="25"/>
  <c r="D16" i="37"/>
  <c r="D82" i="37" s="1"/>
  <c r="L70" i="15"/>
  <c r="H72" i="15"/>
  <c r="F70" i="15"/>
  <c r="F72" i="15" s="1"/>
  <c r="G72" i="37"/>
  <c r="I13" i="47"/>
  <c r="G66" i="15"/>
  <c r="M70" i="15"/>
  <c r="I72" i="15"/>
  <c r="G70" i="15"/>
  <c r="I82" i="25"/>
  <c r="F64" i="37"/>
  <c r="D66" i="25"/>
  <c r="M16" i="45"/>
  <c r="M82" i="45" s="1"/>
  <c r="B20" i="4" s="1"/>
  <c r="C20" i="4" s="1"/>
  <c r="O24" i="27"/>
  <c r="O82" i="27" s="1"/>
  <c r="E42" i="25"/>
  <c r="E43" i="25" s="1"/>
  <c r="G40" i="37"/>
  <c r="Q66" i="27"/>
  <c r="E74" i="27"/>
  <c r="G74" i="39" s="1"/>
  <c r="I74" i="39" s="1"/>
  <c r="H56" i="27"/>
  <c r="E82" i="26"/>
  <c r="G19" i="4" s="1"/>
  <c r="H19" i="4" s="1"/>
  <c r="G54" i="40"/>
  <c r="E56" i="28"/>
  <c r="M36" i="13"/>
  <c r="I82" i="16"/>
  <c r="I91" i="16" s="1"/>
  <c r="D29" i="46"/>
  <c r="D56" i="26"/>
  <c r="F54" i="38"/>
  <c r="F54" i="5" s="1"/>
  <c r="E56" i="40"/>
  <c r="H40" i="40"/>
  <c r="H42" i="40" s="1"/>
  <c r="H43" i="40" s="1"/>
  <c r="F42" i="40"/>
  <c r="F43" i="40" s="1"/>
  <c r="D72" i="26"/>
  <c r="W643" i="44" l="1"/>
  <c r="Y91" i="24"/>
  <c r="U647" i="44"/>
  <c r="W91" i="27"/>
  <c r="Y643" i="44"/>
  <c r="AA91" i="24"/>
  <c r="K643" i="44"/>
  <c r="M91" i="24"/>
  <c r="Y647" i="44"/>
  <c r="AA91" i="27"/>
  <c r="M647" i="44"/>
  <c r="O91" i="27"/>
  <c r="AA643" i="44"/>
  <c r="AC91" i="24"/>
  <c r="L647" i="44"/>
  <c r="N91" i="27"/>
  <c r="F56" i="5"/>
  <c r="X647" i="44"/>
  <c r="Z91" i="27"/>
  <c r="X643" i="44"/>
  <c r="Z91" i="24"/>
  <c r="F66" i="5"/>
  <c r="B22" i="4"/>
  <c r="C22" i="4" s="1"/>
  <c r="M91" i="16"/>
  <c r="F16" i="5"/>
  <c r="H11" i="5"/>
  <c r="Q643" i="44"/>
  <c r="S91" i="24"/>
  <c r="W647" i="44"/>
  <c r="Y91" i="27"/>
  <c r="R647" i="44"/>
  <c r="T91" i="27"/>
  <c r="F42" i="5"/>
  <c r="F43" i="5" s="1"/>
  <c r="G29" i="5"/>
  <c r="E16" i="24"/>
  <c r="G11" i="36"/>
  <c r="Z643" i="44"/>
  <c r="AB91" i="24"/>
  <c r="G66" i="32"/>
  <c r="I64" i="32"/>
  <c r="I66" i="32" s="1"/>
  <c r="G29" i="43"/>
  <c r="I27" i="43"/>
  <c r="I29" i="43" s="1"/>
  <c r="R82" i="24"/>
  <c r="H59" i="47"/>
  <c r="H61" i="47" s="1"/>
  <c r="F61" i="47"/>
  <c r="D82" i="50"/>
  <c r="M82" i="19"/>
  <c r="G24" i="34"/>
  <c r="I19" i="34"/>
  <c r="H82" i="12"/>
  <c r="H91" i="12" s="1"/>
  <c r="G24" i="32"/>
  <c r="I19" i="32"/>
  <c r="I24" i="32" s="1"/>
  <c r="V647" i="44"/>
  <c r="X91" i="27"/>
  <c r="M29" i="15"/>
  <c r="E27" i="39"/>
  <c r="E29" i="39" s="1"/>
  <c r="H65" i="39"/>
  <c r="H34" i="35"/>
  <c r="U82" i="24"/>
  <c r="M66" i="15"/>
  <c r="G64" i="5"/>
  <c r="G72" i="15"/>
  <c r="H51" i="39"/>
  <c r="I47" i="5"/>
  <c r="AC640" i="44"/>
  <c r="AE91" i="21"/>
  <c r="L56" i="12"/>
  <c r="D54" i="36"/>
  <c r="D56" i="36" s="1"/>
  <c r="D72" i="43"/>
  <c r="D71" i="5"/>
  <c r="M42" i="12"/>
  <c r="M43" i="12" s="1"/>
  <c r="E40" i="36"/>
  <c r="E42" i="36" s="1"/>
  <c r="E43" i="36" s="1"/>
  <c r="G36" i="37"/>
  <c r="I32" i="37"/>
  <c r="I36" i="37" s="1"/>
  <c r="M82" i="14"/>
  <c r="B19" i="4" s="1"/>
  <c r="C19" i="4" s="1"/>
  <c r="D82" i="31"/>
  <c r="D91" i="31" s="1"/>
  <c r="E56" i="21"/>
  <c r="G54" i="33"/>
  <c r="I11" i="41"/>
  <c r="I16" i="41" s="1"/>
  <c r="G16" i="41"/>
  <c r="E29" i="24"/>
  <c r="G27" i="36"/>
  <c r="D61" i="24"/>
  <c r="F59" i="36"/>
  <c r="E36" i="24"/>
  <c r="G32" i="36"/>
  <c r="G66" i="34"/>
  <c r="I64" i="34"/>
  <c r="I66" i="34" s="1"/>
  <c r="F72" i="47"/>
  <c r="H70" i="47"/>
  <c r="H72" i="47" s="1"/>
  <c r="I65" i="39"/>
  <c r="M36" i="15"/>
  <c r="E32" i="39"/>
  <c r="E36" i="39" s="1"/>
  <c r="D16" i="42"/>
  <c r="D12" i="5"/>
  <c r="H12" i="42"/>
  <c r="H16" i="42" s="1"/>
  <c r="H82" i="42" s="1"/>
  <c r="F42" i="35"/>
  <c r="F43" i="35" s="1"/>
  <c r="H40" i="35"/>
  <c r="H42" i="35" s="1"/>
  <c r="H43" i="35" s="1"/>
  <c r="H55" i="36"/>
  <c r="I35" i="36"/>
  <c r="E66" i="24"/>
  <c r="G64" i="36"/>
  <c r="I28" i="32"/>
  <c r="I29" i="32" s="1"/>
  <c r="E29" i="32"/>
  <c r="I59" i="47"/>
  <c r="I61" i="47" s="1"/>
  <c r="G61" i="47"/>
  <c r="F24" i="52"/>
  <c r="H19" i="52"/>
  <c r="H24" i="52" s="1"/>
  <c r="H24" i="43"/>
  <c r="G61" i="15"/>
  <c r="E29" i="43"/>
  <c r="E27" i="5"/>
  <c r="E29" i="5" s="1"/>
  <c r="L72" i="12"/>
  <c r="D70" i="36"/>
  <c r="D72" i="36" s="1"/>
  <c r="L82" i="49"/>
  <c r="E16" i="43"/>
  <c r="E12" i="5"/>
  <c r="I12" i="5" s="1"/>
  <c r="I40" i="52"/>
  <c r="I42" i="52" s="1"/>
  <c r="I43" i="52" s="1"/>
  <c r="G42" i="52"/>
  <c r="G43" i="52" s="1"/>
  <c r="I36" i="38"/>
  <c r="G54" i="39"/>
  <c r="E56" i="27"/>
  <c r="F29" i="15"/>
  <c r="L16" i="12"/>
  <c r="L82" i="12" s="1"/>
  <c r="L91" i="12" s="1"/>
  <c r="D11" i="36"/>
  <c r="D16" i="36" s="1"/>
  <c r="D42" i="32"/>
  <c r="D43" i="32" s="1"/>
  <c r="D41" i="5"/>
  <c r="D16" i="27"/>
  <c r="F11" i="39"/>
  <c r="L82" i="27"/>
  <c r="L56" i="15"/>
  <c r="D54" i="39"/>
  <c r="D56" i="39" s="1"/>
  <c r="H11" i="37"/>
  <c r="H16" i="37" s="1"/>
  <c r="F16" i="37"/>
  <c r="I54" i="43"/>
  <c r="G56" i="43"/>
  <c r="H70" i="33"/>
  <c r="H72" i="33" s="1"/>
  <c r="F72" i="33"/>
  <c r="H78" i="5"/>
  <c r="F24" i="41"/>
  <c r="H19" i="41"/>
  <c r="H24" i="41" s="1"/>
  <c r="H82" i="41" s="1"/>
  <c r="D82" i="38"/>
  <c r="L82" i="13"/>
  <c r="L91" i="13" s="1"/>
  <c r="AA644" i="44"/>
  <c r="AC91" i="25"/>
  <c r="H64" i="52"/>
  <c r="H66" i="52" s="1"/>
  <c r="F66" i="52"/>
  <c r="H65" i="43"/>
  <c r="D66" i="43"/>
  <c r="I64" i="33"/>
  <c r="I66" i="33" s="1"/>
  <c r="G66" i="33"/>
  <c r="F42" i="12"/>
  <c r="F43" i="12" s="1"/>
  <c r="H32" i="50"/>
  <c r="H36" i="50" s="1"/>
  <c r="D36" i="27"/>
  <c r="G644" i="44"/>
  <c r="I91" i="25"/>
  <c r="D87" i="5"/>
  <c r="D89" i="33"/>
  <c r="H86" i="33"/>
  <c r="H89" i="33" s="1"/>
  <c r="F89" i="33"/>
  <c r="H40" i="43"/>
  <c r="H42" i="43" s="1"/>
  <c r="H43" i="43" s="1"/>
  <c r="F42" i="43"/>
  <c r="F43" i="43" s="1"/>
  <c r="F54" i="39"/>
  <c r="D56" i="27"/>
  <c r="I27" i="41"/>
  <c r="I29" i="41" s="1"/>
  <c r="G29" i="41"/>
  <c r="G43" i="15"/>
  <c r="M56" i="12"/>
  <c r="E54" i="36"/>
  <c r="E56" i="36" s="1"/>
  <c r="H643" i="44"/>
  <c r="J91" i="24"/>
  <c r="F61" i="40"/>
  <c r="H59" i="40"/>
  <c r="H61" i="40" s="1"/>
  <c r="K644" i="44"/>
  <c r="M91" i="25"/>
  <c r="Q647" i="44"/>
  <c r="S91" i="27"/>
  <c r="E21" i="5"/>
  <c r="I21" i="5" s="1"/>
  <c r="E24" i="42"/>
  <c r="E82" i="42" s="1"/>
  <c r="I21" i="42"/>
  <c r="I59" i="52"/>
  <c r="I61" i="52" s="1"/>
  <c r="G61" i="52"/>
  <c r="E82" i="29"/>
  <c r="G26" i="4" s="1"/>
  <c r="H26" i="4" s="1"/>
  <c r="L66" i="12"/>
  <c r="D64" i="36"/>
  <c r="D66" i="36" s="1"/>
  <c r="H71" i="34"/>
  <c r="H72" i="34" s="1"/>
  <c r="F72" i="34"/>
  <c r="F42" i="15"/>
  <c r="F43" i="15" s="1"/>
  <c r="F42" i="37"/>
  <c r="F43" i="37" s="1"/>
  <c r="H40" i="37"/>
  <c r="H42" i="37" s="1"/>
  <c r="H43" i="37" s="1"/>
  <c r="H54" i="34"/>
  <c r="H56" i="34" s="1"/>
  <c r="F56" i="34"/>
  <c r="H64" i="33"/>
  <c r="H66" i="33" s="1"/>
  <c r="F66" i="33"/>
  <c r="G89" i="39"/>
  <c r="I86" i="39"/>
  <c r="I89" i="39" s="1"/>
  <c r="H76" i="39"/>
  <c r="L82" i="18"/>
  <c r="G16" i="43"/>
  <c r="G82" i="43" s="1"/>
  <c r="G91" i="43" s="1"/>
  <c r="I11" i="43"/>
  <c r="I16" i="43" s="1"/>
  <c r="I11" i="32"/>
  <c r="I16" i="32" s="1"/>
  <c r="G16" i="32"/>
  <c r="G82" i="32" s="1"/>
  <c r="I27" i="33"/>
  <c r="I29" i="33" s="1"/>
  <c r="G29" i="33"/>
  <c r="H27" i="33"/>
  <c r="H29" i="33" s="1"/>
  <c r="F29" i="33"/>
  <c r="L82" i="8"/>
  <c r="I19" i="50"/>
  <c r="I24" i="50" s="1"/>
  <c r="E24" i="50"/>
  <c r="I76" i="39"/>
  <c r="L36" i="15"/>
  <c r="D32" i="39"/>
  <c r="D36" i="39" s="1"/>
  <c r="F24" i="37"/>
  <c r="H19" i="37"/>
  <c r="H24" i="37" s="1"/>
  <c r="M61" i="15"/>
  <c r="E59" i="39"/>
  <c r="E61" i="39" s="1"/>
  <c r="F42" i="52"/>
  <c r="F43" i="52" s="1"/>
  <c r="H40" i="52"/>
  <c r="H42" i="52" s="1"/>
  <c r="H43" i="52" s="1"/>
  <c r="I70" i="43"/>
  <c r="I72" i="43" s="1"/>
  <c r="G72" i="43"/>
  <c r="W82" i="24"/>
  <c r="G72" i="41"/>
  <c r="I70" i="41"/>
  <c r="I72" i="41" s="1"/>
  <c r="I59" i="34"/>
  <c r="I61" i="34" s="1"/>
  <c r="G61" i="34"/>
  <c r="H88" i="5"/>
  <c r="H20" i="33"/>
  <c r="L16" i="15"/>
  <c r="D11" i="39"/>
  <c r="D16" i="39" s="1"/>
  <c r="H15" i="36"/>
  <c r="I54" i="41"/>
  <c r="I56" i="41" s="1"/>
  <c r="G56" i="41"/>
  <c r="H82" i="27"/>
  <c r="G24" i="38"/>
  <c r="G82" i="38" s="1"/>
  <c r="I19" i="38"/>
  <c r="I24" i="38" s="1"/>
  <c r="I19" i="43"/>
  <c r="I24" i="43" s="1"/>
  <c r="G24" i="43"/>
  <c r="I11" i="34"/>
  <c r="G16" i="34"/>
  <c r="G82" i="34" s="1"/>
  <c r="L82" i="16"/>
  <c r="L91" i="16" s="1"/>
  <c r="D82" i="25"/>
  <c r="D91" i="25" s="1"/>
  <c r="E36" i="47"/>
  <c r="I34" i="47"/>
  <c r="S647" i="44"/>
  <c r="U91" i="27"/>
  <c r="G11" i="5"/>
  <c r="H22" i="36"/>
  <c r="H19" i="50"/>
  <c r="H24" i="50" s="1"/>
  <c r="F24" i="50"/>
  <c r="H11" i="38"/>
  <c r="H16" i="38" s="1"/>
  <c r="F16" i="38"/>
  <c r="G32" i="39"/>
  <c r="E36" i="27"/>
  <c r="I65" i="5"/>
  <c r="H27" i="52"/>
  <c r="H29" i="52" s="1"/>
  <c r="F29" i="52"/>
  <c r="I40" i="43"/>
  <c r="I42" i="43" s="1"/>
  <c r="I43" i="43" s="1"/>
  <c r="G42" i="43"/>
  <c r="G43" i="43" s="1"/>
  <c r="G40" i="5"/>
  <c r="E36" i="43"/>
  <c r="E33" i="5"/>
  <c r="I33" i="43"/>
  <c r="I36" i="43" s="1"/>
  <c r="F16" i="33"/>
  <c r="H11" i="33"/>
  <c r="H16" i="33" s="1"/>
  <c r="D42" i="24"/>
  <c r="D43" i="24" s="1"/>
  <c r="F40" i="36"/>
  <c r="F72" i="32"/>
  <c r="H70" i="32"/>
  <c r="H72" i="32" s="1"/>
  <c r="F36" i="39"/>
  <c r="H32" i="39"/>
  <c r="H36" i="39" s="1"/>
  <c r="D16" i="24"/>
  <c r="F11" i="36"/>
  <c r="M16" i="12"/>
  <c r="E11" i="36"/>
  <c r="E16" i="36" s="1"/>
  <c r="H87" i="33"/>
  <c r="E24" i="47"/>
  <c r="I20" i="47"/>
  <c r="G42" i="37"/>
  <c r="G43" i="37" s="1"/>
  <c r="I40" i="37"/>
  <c r="I42" i="37" s="1"/>
  <c r="I43" i="37" s="1"/>
  <c r="L72" i="15"/>
  <c r="D70" i="39"/>
  <c r="D72" i="39" s="1"/>
  <c r="M82" i="27"/>
  <c r="F89" i="39"/>
  <c r="H86" i="39"/>
  <c r="H89" i="39" s="1"/>
  <c r="D87" i="36"/>
  <c r="L89" i="12"/>
  <c r="M72" i="15"/>
  <c r="E70" i="39"/>
  <c r="E72" i="39" s="1"/>
  <c r="D91" i="37"/>
  <c r="I643" i="44"/>
  <c r="K91" i="24"/>
  <c r="Q82" i="24"/>
  <c r="F29" i="12"/>
  <c r="F42" i="38"/>
  <c r="F43" i="38" s="1"/>
  <c r="H40" i="38"/>
  <c r="H42" i="38" s="1"/>
  <c r="H43" i="38" s="1"/>
  <c r="E66" i="27"/>
  <c r="G64" i="39"/>
  <c r="F61" i="43"/>
  <c r="H59" i="43"/>
  <c r="H61" i="43" s="1"/>
  <c r="F59" i="5"/>
  <c r="G16" i="4"/>
  <c r="H16" i="4" s="1"/>
  <c r="I82" i="24"/>
  <c r="H40" i="32"/>
  <c r="H42" i="32" s="1"/>
  <c r="H43" i="32" s="1"/>
  <c r="F42" i="32"/>
  <c r="F43" i="32" s="1"/>
  <c r="D82" i="29"/>
  <c r="D16" i="34"/>
  <c r="D11" i="5"/>
  <c r="D16" i="5" s="1"/>
  <c r="H11" i="34"/>
  <c r="H16" i="34" s="1"/>
  <c r="L42" i="15"/>
  <c r="L43" i="15" s="1"/>
  <c r="D40" i="39"/>
  <c r="D42" i="39" s="1"/>
  <c r="D43" i="39" s="1"/>
  <c r="O82" i="24"/>
  <c r="H64" i="38"/>
  <c r="H66" i="38" s="1"/>
  <c r="F66" i="38"/>
  <c r="V82" i="27"/>
  <c r="D72" i="27"/>
  <c r="F70" i="39"/>
  <c r="G24" i="47"/>
  <c r="I19" i="47"/>
  <c r="E55" i="5"/>
  <c r="E56" i="5" s="1"/>
  <c r="E56" i="43"/>
  <c r="E82" i="31"/>
  <c r="E82" i="20"/>
  <c r="G11" i="4" s="1"/>
  <c r="I15" i="36"/>
  <c r="H80" i="36"/>
  <c r="D72" i="24"/>
  <c r="F70" i="36"/>
  <c r="H40" i="33"/>
  <c r="H42" i="33" s="1"/>
  <c r="H43" i="33" s="1"/>
  <c r="F42" i="33"/>
  <c r="F43" i="33" s="1"/>
  <c r="L36" i="12"/>
  <c r="D32" i="36"/>
  <c r="D36" i="36" s="1"/>
  <c r="E42" i="42"/>
  <c r="E43" i="42" s="1"/>
  <c r="E40" i="5"/>
  <c r="E42" i="5" s="1"/>
  <c r="E43" i="5" s="1"/>
  <c r="I40" i="42"/>
  <c r="I42" i="42" s="1"/>
  <c r="I43" i="42" s="1"/>
  <c r="H27" i="35"/>
  <c r="H29" i="35" s="1"/>
  <c r="F29" i="35"/>
  <c r="D29" i="24"/>
  <c r="F27" i="36"/>
  <c r="I71" i="39"/>
  <c r="I79" i="39"/>
  <c r="F36" i="15"/>
  <c r="G82" i="21"/>
  <c r="E11" i="5"/>
  <c r="E16" i="5" s="1"/>
  <c r="P82" i="24"/>
  <c r="AB82" i="27"/>
  <c r="D56" i="32"/>
  <c r="D54" i="5"/>
  <c r="D56" i="5" s="1"/>
  <c r="D61" i="50"/>
  <c r="H59" i="50"/>
  <c r="H61" i="50" s="1"/>
  <c r="H82" i="15"/>
  <c r="H91" i="15" s="1"/>
  <c r="D29" i="42"/>
  <c r="D27" i="5"/>
  <c r="D29" i="5" s="1"/>
  <c r="H27" i="42"/>
  <c r="H29" i="42" s="1"/>
  <c r="H33" i="32"/>
  <c r="F33" i="5"/>
  <c r="H33" i="5" s="1"/>
  <c r="F36" i="32"/>
  <c r="F56" i="15"/>
  <c r="H71" i="42"/>
  <c r="F71" i="5"/>
  <c r="H71" i="5" s="1"/>
  <c r="F72" i="42"/>
  <c r="E82" i="22"/>
  <c r="F16" i="40"/>
  <c r="H11" i="40"/>
  <c r="H16" i="40" s="1"/>
  <c r="H59" i="38"/>
  <c r="H61" i="38" s="1"/>
  <c r="F61" i="38"/>
  <c r="I21" i="37"/>
  <c r="H59" i="37"/>
  <c r="H61" i="37" s="1"/>
  <c r="F61" i="37"/>
  <c r="G61" i="43"/>
  <c r="I59" i="43"/>
  <c r="I61" i="43" s="1"/>
  <c r="G59" i="5"/>
  <c r="J650" i="44"/>
  <c r="L91" i="31"/>
  <c r="E24" i="24"/>
  <c r="G19" i="36"/>
  <c r="D82" i="26"/>
  <c r="H27" i="37"/>
  <c r="H29" i="37" s="1"/>
  <c r="F66" i="15"/>
  <c r="E11" i="39"/>
  <c r="E16" i="39" s="1"/>
  <c r="M16" i="15"/>
  <c r="I32" i="33"/>
  <c r="I36" i="33" s="1"/>
  <c r="G36" i="33"/>
  <c r="D82" i="21"/>
  <c r="D91" i="21" s="1"/>
  <c r="L42" i="12"/>
  <c r="L43" i="12" s="1"/>
  <c r="D40" i="36"/>
  <c r="D42" i="36" s="1"/>
  <c r="D43" i="36" s="1"/>
  <c r="I28" i="36"/>
  <c r="H27" i="50"/>
  <c r="H29" i="50" s="1"/>
  <c r="F29" i="50"/>
  <c r="F66" i="36"/>
  <c r="H64" i="36"/>
  <c r="H66" i="36" s="1"/>
  <c r="G72" i="5"/>
  <c r="N647" i="44"/>
  <c r="P91" i="27"/>
  <c r="I34" i="5"/>
  <c r="E24" i="32"/>
  <c r="E19" i="5"/>
  <c r="M42" i="15"/>
  <c r="M43" i="15" s="1"/>
  <c r="E40" i="39"/>
  <c r="E42" i="39" s="1"/>
  <c r="E43" i="39" s="1"/>
  <c r="H34" i="5"/>
  <c r="U650" i="44"/>
  <c r="W91" i="31"/>
  <c r="H41" i="36"/>
  <c r="B15" i="4"/>
  <c r="C15" i="4" s="1"/>
  <c r="L82" i="10"/>
  <c r="I60" i="39"/>
  <c r="H644" i="44"/>
  <c r="J91" i="25"/>
  <c r="I11" i="37"/>
  <c r="I16" i="37" s="1"/>
  <c r="G16" i="37"/>
  <c r="K82" i="27"/>
  <c r="H86" i="43"/>
  <c r="H89" i="43" s="1"/>
  <c r="F89" i="43"/>
  <c r="F86" i="5"/>
  <c r="N82" i="24"/>
  <c r="F36" i="12"/>
  <c r="M82" i="8"/>
  <c r="H59" i="32"/>
  <c r="H61" i="32" s="1"/>
  <c r="F61" i="32"/>
  <c r="H41" i="5"/>
  <c r="F42" i="47"/>
  <c r="F43" i="47" s="1"/>
  <c r="H40" i="47"/>
  <c r="H42" i="47" s="1"/>
  <c r="H43" i="47" s="1"/>
  <c r="H19" i="32"/>
  <c r="H24" i="32" s="1"/>
  <c r="F24" i="32"/>
  <c r="F82" i="32" s="1"/>
  <c r="F40" i="39"/>
  <c r="D42" i="27"/>
  <c r="D43" i="27" s="1"/>
  <c r="E16" i="21"/>
  <c r="E82" i="21" s="1"/>
  <c r="E91" i="21" s="1"/>
  <c r="G11" i="33"/>
  <c r="H70" i="43"/>
  <c r="F72" i="43"/>
  <c r="F70" i="5"/>
  <c r="F29" i="43"/>
  <c r="H27" i="43"/>
  <c r="H29" i="43" s="1"/>
  <c r="F27" i="5"/>
  <c r="E61" i="24"/>
  <c r="G59" i="36"/>
  <c r="I21" i="34"/>
  <c r="E24" i="34"/>
  <c r="I64" i="50"/>
  <c r="I66" i="50" s="1"/>
  <c r="G66" i="50"/>
  <c r="F16" i="15"/>
  <c r="I64" i="41"/>
  <c r="I66" i="41" s="1"/>
  <c r="G66" i="41"/>
  <c r="H20" i="5"/>
  <c r="D59" i="36"/>
  <c r="D61" i="36" s="1"/>
  <c r="L61" i="12"/>
  <c r="H32" i="34"/>
  <c r="H36" i="34" s="1"/>
  <c r="F36" i="34"/>
  <c r="D82" i="28"/>
  <c r="R644" i="44"/>
  <c r="T91" i="25"/>
  <c r="M644" i="44"/>
  <c r="O91" i="25"/>
  <c r="I24" i="42"/>
  <c r="I16" i="42"/>
  <c r="E72" i="43"/>
  <c r="E70" i="5"/>
  <c r="E72" i="5" s="1"/>
  <c r="G89" i="5"/>
  <c r="I59" i="33"/>
  <c r="I61" i="33" s="1"/>
  <c r="G61" i="33"/>
  <c r="W640" i="44"/>
  <c r="Y91" i="21"/>
  <c r="E32" i="5"/>
  <c r="E36" i="5" s="1"/>
  <c r="S640" i="44"/>
  <c r="U91" i="21"/>
  <c r="H54" i="32"/>
  <c r="H56" i="32" s="1"/>
  <c r="F56" i="32"/>
  <c r="F42" i="50"/>
  <c r="F43" i="50" s="1"/>
  <c r="H40" i="50"/>
  <c r="H42" i="50" s="1"/>
  <c r="H43" i="50" s="1"/>
  <c r="H70" i="38"/>
  <c r="H72" i="38" s="1"/>
  <c r="I40" i="47"/>
  <c r="I42" i="47" s="1"/>
  <c r="I43" i="47" s="1"/>
  <c r="G42" i="47"/>
  <c r="G43" i="47" s="1"/>
  <c r="I11" i="47"/>
  <c r="I16" i="47" s="1"/>
  <c r="G16" i="47"/>
  <c r="L66" i="15"/>
  <c r="D64" i="39"/>
  <c r="D66" i="39" s="1"/>
  <c r="G16" i="15"/>
  <c r="F36" i="52"/>
  <c r="H32" i="52"/>
  <c r="H36" i="52" s="1"/>
  <c r="I74" i="36"/>
  <c r="H55" i="5"/>
  <c r="AD82" i="24"/>
  <c r="M24" i="12"/>
  <c r="E19" i="36"/>
  <c r="E24" i="36" s="1"/>
  <c r="F19" i="39"/>
  <c r="D24" i="27"/>
  <c r="E56" i="24"/>
  <c r="G54" i="36"/>
  <c r="H64" i="41"/>
  <c r="H66" i="41" s="1"/>
  <c r="F66" i="41"/>
  <c r="H70" i="37"/>
  <c r="H72" i="37" s="1"/>
  <c r="F72" i="37"/>
  <c r="AE82" i="27"/>
  <c r="AB647" i="44"/>
  <c r="AD91" i="27"/>
  <c r="I82" i="27"/>
  <c r="H47" i="5"/>
  <c r="E36" i="35"/>
  <c r="E82" i="35" s="1"/>
  <c r="E94" i="36" s="1"/>
  <c r="I32" i="35"/>
  <c r="I36" i="35" s="1"/>
  <c r="M29" i="12"/>
  <c r="E27" i="36"/>
  <c r="E29" i="36" s="1"/>
  <c r="I70" i="32"/>
  <c r="I72" i="32" s="1"/>
  <c r="G72" i="32"/>
  <c r="L29" i="12"/>
  <c r="D27" i="36"/>
  <c r="D29" i="36" s="1"/>
  <c r="F36" i="38"/>
  <c r="H32" i="38"/>
  <c r="H36" i="38" s="1"/>
  <c r="D66" i="27"/>
  <c r="F64" i="39"/>
  <c r="I60" i="5"/>
  <c r="M82" i="9"/>
  <c r="M91" i="9" s="1"/>
  <c r="L24" i="12"/>
  <c r="D19" i="36"/>
  <c r="D24" i="36" s="1"/>
  <c r="I13" i="34"/>
  <c r="E16" i="34"/>
  <c r="E82" i="34" s="1"/>
  <c r="E16" i="50"/>
  <c r="E82" i="50" s="1"/>
  <c r="I11" i="50"/>
  <c r="I16" i="50" s="1"/>
  <c r="H64" i="47"/>
  <c r="H66" i="47" s="1"/>
  <c r="F66" i="47"/>
  <c r="G16" i="40"/>
  <c r="I11" i="40"/>
  <c r="I16" i="40" s="1"/>
  <c r="I77" i="39"/>
  <c r="E82" i="25"/>
  <c r="E91" i="25" s="1"/>
  <c r="G18" i="4" s="1"/>
  <c r="H18" i="4" s="1"/>
  <c r="G56" i="52"/>
  <c r="I54" i="52"/>
  <c r="I56" i="52" s="1"/>
  <c r="V643" i="44"/>
  <c r="X91" i="24"/>
  <c r="M61" i="12"/>
  <c r="E59" i="36"/>
  <c r="E61" i="36" s="1"/>
  <c r="E59" i="5"/>
  <c r="E61" i="5" s="1"/>
  <c r="E20" i="5"/>
  <c r="I20" i="5" s="1"/>
  <c r="T644" i="44"/>
  <c r="V91" i="25"/>
  <c r="I59" i="37"/>
  <c r="I61" i="37" s="1"/>
  <c r="G61" i="37"/>
  <c r="D89" i="39"/>
  <c r="F36" i="35"/>
  <c r="H32" i="35"/>
  <c r="H36" i="35" s="1"/>
  <c r="H71" i="43"/>
  <c r="H19" i="33"/>
  <c r="H24" i="33" s="1"/>
  <c r="F24" i="33"/>
  <c r="AE82" i="24"/>
  <c r="D56" i="24"/>
  <c r="F54" i="36"/>
  <c r="D24" i="24"/>
  <c r="F19" i="36"/>
  <c r="I70" i="52"/>
  <c r="I72" i="52" s="1"/>
  <c r="G72" i="52"/>
  <c r="H60" i="41"/>
  <c r="H61" i="41" s="1"/>
  <c r="F61" i="41"/>
  <c r="G24" i="52"/>
  <c r="I19" i="52"/>
  <c r="I24" i="52" s="1"/>
  <c r="H24" i="38"/>
  <c r="I27" i="37"/>
  <c r="I29" i="37" s="1"/>
  <c r="G29" i="37"/>
  <c r="G24" i="15"/>
  <c r="H12" i="5"/>
  <c r="F24" i="15"/>
  <c r="F36" i="37"/>
  <c r="H32" i="37"/>
  <c r="H36" i="37" s="1"/>
  <c r="M640" i="44"/>
  <c r="O91" i="21"/>
  <c r="I27" i="47"/>
  <c r="I29" i="47" s="1"/>
  <c r="V644" i="44"/>
  <c r="X91" i="25"/>
  <c r="E82" i="46"/>
  <c r="E72" i="27"/>
  <c r="G70" i="39"/>
  <c r="I82" i="15"/>
  <c r="I91" i="15" s="1"/>
  <c r="L650" i="44"/>
  <c r="N91" i="31"/>
  <c r="G72" i="33"/>
  <c r="I70" i="33"/>
  <c r="I72" i="33" s="1"/>
  <c r="I22" i="5"/>
  <c r="G24" i="12"/>
  <c r="H75" i="5"/>
  <c r="E42" i="32"/>
  <c r="E43" i="32" s="1"/>
  <c r="E82" i="32" s="1"/>
  <c r="I40" i="32"/>
  <c r="I42" i="32" s="1"/>
  <c r="I43" i="32" s="1"/>
  <c r="I59" i="41"/>
  <c r="I61" i="41" s="1"/>
  <c r="G61" i="41"/>
  <c r="M66" i="12"/>
  <c r="E64" i="36"/>
  <c r="E66" i="36" s="1"/>
  <c r="E29" i="27"/>
  <c r="G27" i="39"/>
  <c r="F16" i="43"/>
  <c r="H11" i="43"/>
  <c r="H16" i="43" s="1"/>
  <c r="G24" i="37"/>
  <c r="I19" i="37"/>
  <c r="I24" i="37" s="1"/>
  <c r="I33" i="42"/>
  <c r="I36" i="42" s="1"/>
  <c r="G33" i="5"/>
  <c r="I33" i="5" s="1"/>
  <c r="G36" i="42"/>
  <c r="G82" i="42" s="1"/>
  <c r="D36" i="33"/>
  <c r="H34" i="33"/>
  <c r="H36" i="33" s="1"/>
  <c r="I54" i="40"/>
  <c r="I56" i="40" s="1"/>
  <c r="G56" i="40"/>
  <c r="I70" i="37"/>
  <c r="I72" i="37" s="1"/>
  <c r="G56" i="37"/>
  <c r="I54" i="37"/>
  <c r="I56" i="37" s="1"/>
  <c r="H11" i="52"/>
  <c r="H16" i="52" s="1"/>
  <c r="F16" i="52"/>
  <c r="F82" i="52" s="1"/>
  <c r="T643" i="44"/>
  <c r="V91" i="24"/>
  <c r="H64" i="43"/>
  <c r="H66" i="43" s="1"/>
  <c r="F66" i="43"/>
  <c r="H82" i="24"/>
  <c r="G72" i="47"/>
  <c r="I70" i="47"/>
  <c r="I72" i="47" s="1"/>
  <c r="M82" i="13"/>
  <c r="X644" i="44"/>
  <c r="Z91" i="25"/>
  <c r="J82" i="27"/>
  <c r="F61" i="15"/>
  <c r="H60" i="35"/>
  <c r="H61" i="35" s="1"/>
  <c r="F61" i="35"/>
  <c r="T640" i="44"/>
  <c r="V91" i="21"/>
  <c r="I82" i="12"/>
  <c r="I91" i="12" s="1"/>
  <c r="M82" i="49"/>
  <c r="B13" i="4" s="1"/>
  <c r="C13" i="4" s="1"/>
  <c r="G36" i="47"/>
  <c r="I32" i="47"/>
  <c r="I36" i="47" s="1"/>
  <c r="D42" i="43"/>
  <c r="D43" i="43" s="1"/>
  <c r="D82" i="43" s="1"/>
  <c r="D91" i="43" s="1"/>
  <c r="D40" i="5"/>
  <c r="D42" i="5" s="1"/>
  <c r="D43" i="5" s="1"/>
  <c r="E82" i="28"/>
  <c r="G22" i="4" s="1"/>
  <c r="H22" i="4" s="1"/>
  <c r="H39" i="39"/>
  <c r="E56" i="48"/>
  <c r="E82" i="48" s="1"/>
  <c r="G13" i="4" s="1"/>
  <c r="H13" i="4" s="1"/>
  <c r="G54" i="50"/>
  <c r="I73" i="36"/>
  <c r="H27" i="32"/>
  <c r="H29" i="32" s="1"/>
  <c r="F29" i="32"/>
  <c r="H32" i="43"/>
  <c r="H36" i="43" s="1"/>
  <c r="F36" i="43"/>
  <c r="F32" i="36"/>
  <c r="D36" i="24"/>
  <c r="E82" i="54"/>
  <c r="G12" i="4" s="1"/>
  <c r="H12" i="4" s="1"/>
  <c r="M72" i="12"/>
  <c r="E70" i="36"/>
  <c r="E72" i="36" s="1"/>
  <c r="G19" i="39"/>
  <c r="E24" i="27"/>
  <c r="L89" i="15"/>
  <c r="G40" i="39"/>
  <c r="E42" i="27"/>
  <c r="E43" i="27" s="1"/>
  <c r="D29" i="27"/>
  <c r="F27" i="39"/>
  <c r="E89" i="43"/>
  <c r="E86" i="5"/>
  <c r="E89" i="5" s="1"/>
  <c r="I86" i="43"/>
  <c r="I89" i="43" s="1"/>
  <c r="M82" i="11"/>
  <c r="B16" i="4" s="1"/>
  <c r="C16" i="4" s="1"/>
  <c r="E72" i="24"/>
  <c r="G70" i="36"/>
  <c r="H40" i="34"/>
  <c r="H42" i="34" s="1"/>
  <c r="H43" i="34" s="1"/>
  <c r="F42" i="34"/>
  <c r="F43" i="34" s="1"/>
  <c r="M36" i="12"/>
  <c r="E32" i="36"/>
  <c r="E36" i="36" s="1"/>
  <c r="F42" i="41"/>
  <c r="F43" i="41" s="1"/>
  <c r="H40" i="41"/>
  <c r="H42" i="41" s="1"/>
  <c r="H43" i="41" s="1"/>
  <c r="E29" i="40"/>
  <c r="E82" i="40" s="1"/>
  <c r="I27" i="40"/>
  <c r="I29" i="40" s="1"/>
  <c r="I51" i="5"/>
  <c r="D36" i="32"/>
  <c r="D82" i="32" s="1"/>
  <c r="H32" i="32"/>
  <c r="H36" i="32" s="1"/>
  <c r="D32" i="5"/>
  <c r="D36" i="5" s="1"/>
  <c r="M24" i="15"/>
  <c r="E19" i="39"/>
  <c r="E24" i="39" s="1"/>
  <c r="L24" i="15"/>
  <c r="D19" i="39"/>
  <c r="D24" i="39" s="1"/>
  <c r="F36" i="47"/>
  <c r="F82" i="47" s="1"/>
  <c r="F91" i="47" s="1"/>
  <c r="H32" i="47"/>
  <c r="H36" i="47" s="1"/>
  <c r="H82" i="47" s="1"/>
  <c r="H91" i="47" s="1"/>
  <c r="D72" i="42"/>
  <c r="D70" i="5"/>
  <c r="D72" i="5" s="1"/>
  <c r="H70" i="42"/>
  <c r="H72" i="42" s="1"/>
  <c r="H19" i="35"/>
  <c r="H24" i="35" s="1"/>
  <c r="H82" i="35" s="1"/>
  <c r="F24" i="35"/>
  <c r="F82" i="35" s="1"/>
  <c r="I86" i="33"/>
  <c r="I89" i="33" s="1"/>
  <c r="I640" i="44"/>
  <c r="K91" i="21"/>
  <c r="G61" i="50"/>
  <c r="I59" i="50"/>
  <c r="I61" i="50" s="1"/>
  <c r="I14" i="39"/>
  <c r="AC644" i="44"/>
  <c r="AE91" i="25"/>
  <c r="I13" i="5"/>
  <c r="H36" i="42"/>
  <c r="I55" i="43"/>
  <c r="Q650" i="44"/>
  <c r="S91" i="31"/>
  <c r="I81" i="5"/>
  <c r="E24" i="21"/>
  <c r="G19" i="33"/>
  <c r="I80" i="36"/>
  <c r="J644" i="44"/>
  <c r="L91" i="25"/>
  <c r="F56" i="38"/>
  <c r="H54" i="38"/>
  <c r="H56" i="38" s="1"/>
  <c r="H64" i="37"/>
  <c r="H66" i="37" s="1"/>
  <c r="F66" i="37"/>
  <c r="F59" i="39"/>
  <c r="D61" i="27"/>
  <c r="H19" i="5"/>
  <c r="F24" i="5"/>
  <c r="J643" i="44"/>
  <c r="L91" i="24"/>
  <c r="F56" i="12"/>
  <c r="D24" i="34"/>
  <c r="H19" i="34"/>
  <c r="H24" i="34" s="1"/>
  <c r="I64" i="47"/>
  <c r="I66" i="47" s="1"/>
  <c r="G66" i="47"/>
  <c r="E66" i="38"/>
  <c r="E82" i="38" s="1"/>
  <c r="I64" i="38"/>
  <c r="I66" i="38" s="1"/>
  <c r="P647" i="44"/>
  <c r="R91" i="27"/>
  <c r="D59" i="39"/>
  <c r="D61" i="39" s="1"/>
  <c r="L61" i="15"/>
  <c r="I40" i="33"/>
  <c r="I42" i="33" s="1"/>
  <c r="I43" i="33" s="1"/>
  <c r="G42" i="33"/>
  <c r="G43" i="33" s="1"/>
  <c r="M89" i="12"/>
  <c r="E86" i="36"/>
  <c r="E89" i="36" s="1"/>
  <c r="D16" i="33"/>
  <c r="H12" i="33"/>
  <c r="D56" i="33"/>
  <c r="H54" i="33"/>
  <c r="H56" i="33" s="1"/>
  <c r="G16" i="12"/>
  <c r="F16" i="50"/>
  <c r="H11" i="50"/>
  <c r="H16" i="50" s="1"/>
  <c r="H70" i="52"/>
  <c r="H72" i="52" s="1"/>
  <c r="F72" i="52"/>
  <c r="H87" i="5"/>
  <c r="I19" i="40"/>
  <c r="I24" i="40" s="1"/>
  <c r="G24" i="40"/>
  <c r="Q82" i="27"/>
  <c r="G36" i="15"/>
  <c r="E16" i="27"/>
  <c r="G11" i="39"/>
  <c r="G82" i="24"/>
  <c r="G91" i="24" s="1"/>
  <c r="F56" i="35"/>
  <c r="H54" i="35"/>
  <c r="H56" i="35" s="1"/>
  <c r="E42" i="24"/>
  <c r="E43" i="24" s="1"/>
  <c r="G40" i="36"/>
  <c r="I11" i="52"/>
  <c r="I16" i="52" s="1"/>
  <c r="I82" i="52" s="1"/>
  <c r="G16" i="52"/>
  <c r="G82" i="52" s="1"/>
  <c r="F36" i="41"/>
  <c r="F82" i="41" s="1"/>
  <c r="H32" i="41"/>
  <c r="H36" i="41" s="1"/>
  <c r="H32" i="40"/>
  <c r="H36" i="40" s="1"/>
  <c r="F36" i="40"/>
  <c r="H45" i="5"/>
  <c r="H74" i="5"/>
  <c r="G36" i="12"/>
  <c r="D27" i="39"/>
  <c r="D29" i="39" s="1"/>
  <c r="L29" i="15"/>
  <c r="F16" i="12"/>
  <c r="L644" i="44"/>
  <c r="N91" i="25"/>
  <c r="G59" i="39"/>
  <c r="E61" i="27"/>
  <c r="D88" i="5"/>
  <c r="D89" i="5" s="1"/>
  <c r="H88" i="37"/>
  <c r="H89" i="37" s="1"/>
  <c r="F56" i="37"/>
  <c r="H54" i="37"/>
  <c r="H56" i="37" s="1"/>
  <c r="D66" i="42"/>
  <c r="D64" i="5"/>
  <c r="D66" i="5" s="1"/>
  <c r="E56" i="39"/>
  <c r="AC82" i="27"/>
  <c r="H43" i="42"/>
  <c r="F82" i="42"/>
  <c r="I24" i="35"/>
  <c r="I82" i="35" s="1"/>
  <c r="H86" i="36"/>
  <c r="F89" i="36"/>
  <c r="I70" i="50"/>
  <c r="I72" i="50" s="1"/>
  <c r="G72" i="50"/>
  <c r="H27" i="40"/>
  <c r="H29" i="40" s="1"/>
  <c r="F29" i="40"/>
  <c r="I11" i="38"/>
  <c r="I16" i="38" s="1"/>
  <c r="I82" i="38" s="1"/>
  <c r="E66" i="39"/>
  <c r="H41" i="39"/>
  <c r="H65" i="5"/>
  <c r="H59" i="33"/>
  <c r="H61" i="33" s="1"/>
  <c r="F61" i="33"/>
  <c r="G89" i="36"/>
  <c r="T82" i="24"/>
  <c r="I54" i="32"/>
  <c r="I56" i="32" s="1"/>
  <c r="G56" i="32"/>
  <c r="G36" i="41"/>
  <c r="I32" i="41"/>
  <c r="I36" i="41" s="1"/>
  <c r="D72" i="50"/>
  <c r="H70" i="50"/>
  <c r="H72" i="50" s="1"/>
  <c r="E13" i="5"/>
  <c r="H27" i="5" l="1"/>
  <c r="H29" i="5" s="1"/>
  <c r="F29" i="5"/>
  <c r="E82" i="5"/>
  <c r="E91" i="5" s="1"/>
  <c r="B28" i="4" s="1"/>
  <c r="H11" i="36"/>
  <c r="H16" i="36" s="1"/>
  <c r="F16" i="36"/>
  <c r="H59" i="36"/>
  <c r="H61" i="36" s="1"/>
  <c r="F61" i="36"/>
  <c r="G66" i="5"/>
  <c r="I64" i="5"/>
  <c r="I66" i="5" s="1"/>
  <c r="H16" i="5"/>
  <c r="F82" i="12"/>
  <c r="F91" i="12" s="1"/>
  <c r="I19" i="33"/>
  <c r="I24" i="33" s="1"/>
  <c r="G24" i="33"/>
  <c r="I70" i="36"/>
  <c r="I72" i="36" s="1"/>
  <c r="G72" i="36"/>
  <c r="I54" i="50"/>
  <c r="I56" i="50" s="1"/>
  <c r="I82" i="50" s="1"/>
  <c r="G56" i="50"/>
  <c r="G82" i="50" s="1"/>
  <c r="H82" i="43"/>
  <c r="H91" i="43" s="1"/>
  <c r="F66" i="39"/>
  <c r="H64" i="39"/>
  <c r="H66" i="39" s="1"/>
  <c r="F82" i="34"/>
  <c r="F82" i="15"/>
  <c r="F91" i="15" s="1"/>
  <c r="G82" i="37"/>
  <c r="G91" i="37" s="1"/>
  <c r="E24" i="5"/>
  <c r="G91" i="21"/>
  <c r="G84" i="24"/>
  <c r="H70" i="36"/>
  <c r="H72" i="36" s="1"/>
  <c r="F72" i="36"/>
  <c r="I24" i="47"/>
  <c r="G643" i="44"/>
  <c r="I91" i="24"/>
  <c r="D82" i="24"/>
  <c r="D91" i="24" s="1"/>
  <c r="F82" i="33"/>
  <c r="F91" i="33" s="1"/>
  <c r="F647" i="44"/>
  <c r="H91" i="27"/>
  <c r="I82" i="32"/>
  <c r="I11" i="36"/>
  <c r="I16" i="36" s="1"/>
  <c r="G16" i="36"/>
  <c r="G82" i="36" s="1"/>
  <c r="G91" i="36" s="1"/>
  <c r="M643" i="44"/>
  <c r="O91" i="24"/>
  <c r="H82" i="33"/>
  <c r="H91" i="33" s="1"/>
  <c r="E82" i="43"/>
  <c r="E91" i="43" s="1"/>
  <c r="D82" i="33"/>
  <c r="D91" i="33" s="1"/>
  <c r="I40" i="39"/>
  <c r="I42" i="39" s="1"/>
  <c r="I43" i="39" s="1"/>
  <c r="G42" i="39"/>
  <c r="G43" i="39" s="1"/>
  <c r="F36" i="36"/>
  <c r="H32" i="36"/>
  <c r="H36" i="36" s="1"/>
  <c r="F82" i="43"/>
  <c r="F91" i="43" s="1"/>
  <c r="I55" i="5"/>
  <c r="AC647" i="44"/>
  <c r="AE91" i="27"/>
  <c r="H19" i="39"/>
  <c r="H24" i="39" s="1"/>
  <c r="F24" i="39"/>
  <c r="G82" i="15"/>
  <c r="G91" i="15" s="1"/>
  <c r="I82" i="42"/>
  <c r="H40" i="39"/>
  <c r="H42" i="39" s="1"/>
  <c r="H43" i="39" s="1"/>
  <c r="F42" i="39"/>
  <c r="F43" i="39" s="1"/>
  <c r="B11" i="4"/>
  <c r="E84" i="5"/>
  <c r="I82" i="37"/>
  <c r="I91" i="37" s="1"/>
  <c r="M82" i="15"/>
  <c r="M91" i="15" s="1"/>
  <c r="E84" i="24"/>
  <c r="G54" i="5"/>
  <c r="J647" i="44"/>
  <c r="L91" i="27"/>
  <c r="I27" i="36"/>
  <c r="I29" i="36" s="1"/>
  <c r="G29" i="36"/>
  <c r="S643" i="44"/>
  <c r="U91" i="24"/>
  <c r="P643" i="44"/>
  <c r="R91" i="24"/>
  <c r="E82" i="24"/>
  <c r="E91" i="24" s="1"/>
  <c r="H647" i="44"/>
  <c r="J91" i="27"/>
  <c r="R643" i="44"/>
  <c r="T91" i="24"/>
  <c r="I70" i="39"/>
  <c r="I72" i="39" s="1"/>
  <c r="G72" i="39"/>
  <c r="H82" i="32"/>
  <c r="L643" i="44"/>
  <c r="N91" i="24"/>
  <c r="H82" i="40"/>
  <c r="D82" i="5"/>
  <c r="D91" i="5" s="1"/>
  <c r="H59" i="5"/>
  <c r="H61" i="5" s="1"/>
  <c r="F61" i="5"/>
  <c r="O643" i="44"/>
  <c r="Q91" i="24"/>
  <c r="E82" i="47"/>
  <c r="E91" i="47" s="1"/>
  <c r="G19" i="5"/>
  <c r="I16" i="34"/>
  <c r="I82" i="34" s="1"/>
  <c r="I56" i="43"/>
  <c r="I82" i="43" s="1"/>
  <c r="I91" i="43" s="1"/>
  <c r="D82" i="27"/>
  <c r="D91" i="27" s="1"/>
  <c r="G82" i="41"/>
  <c r="I24" i="34"/>
  <c r="I27" i="5"/>
  <c r="I29" i="5" s="1"/>
  <c r="H59" i="39"/>
  <c r="H61" i="39" s="1"/>
  <c r="F61" i="39"/>
  <c r="G16" i="39"/>
  <c r="I11" i="39"/>
  <c r="I16" i="39" s="1"/>
  <c r="I59" i="5"/>
  <c r="I61" i="5" s="1"/>
  <c r="G61" i="5"/>
  <c r="H70" i="39"/>
  <c r="H72" i="39" s="1"/>
  <c r="F72" i="39"/>
  <c r="F16" i="39"/>
  <c r="H11" i="39"/>
  <c r="H16" i="39" s="1"/>
  <c r="E82" i="27"/>
  <c r="E91" i="27" s="1"/>
  <c r="H82" i="52"/>
  <c r="I82" i="40"/>
  <c r="AB643" i="44"/>
  <c r="AD91" i="24"/>
  <c r="H86" i="5"/>
  <c r="H89" i="5" s="1"/>
  <c r="F89" i="5"/>
  <c r="I32" i="5"/>
  <c r="I36" i="5" s="1"/>
  <c r="F82" i="40"/>
  <c r="H27" i="36"/>
  <c r="H29" i="36" s="1"/>
  <c r="F29" i="36"/>
  <c r="H11" i="4"/>
  <c r="T647" i="44"/>
  <c r="V91" i="27"/>
  <c r="D82" i="34"/>
  <c r="G36" i="39"/>
  <c r="I32" i="39"/>
  <c r="I36" i="39" s="1"/>
  <c r="D82" i="39"/>
  <c r="D91" i="39" s="1"/>
  <c r="U643" i="44"/>
  <c r="W91" i="24"/>
  <c r="I82" i="41"/>
  <c r="H32" i="5"/>
  <c r="H36" i="5" s="1"/>
  <c r="H64" i="5"/>
  <c r="H66" i="5" s="1"/>
  <c r="H54" i="5"/>
  <c r="H56" i="5" s="1"/>
  <c r="I647" i="44"/>
  <c r="K91" i="27"/>
  <c r="B18" i="4"/>
  <c r="C18" i="4" s="1"/>
  <c r="M85" i="13"/>
  <c r="M91" i="13"/>
  <c r="I27" i="39"/>
  <c r="I29" i="39" s="1"/>
  <c r="G29" i="39"/>
  <c r="F24" i="36"/>
  <c r="H19" i="36"/>
  <c r="H24" i="36" s="1"/>
  <c r="H82" i="34"/>
  <c r="D89" i="36"/>
  <c r="H87" i="36"/>
  <c r="H89" i="36" s="1"/>
  <c r="I11" i="5"/>
  <c r="I16" i="5" s="1"/>
  <c r="G16" i="5"/>
  <c r="I54" i="39"/>
  <c r="I56" i="39" s="1"/>
  <c r="G56" i="39"/>
  <c r="H82" i="50"/>
  <c r="I86" i="36"/>
  <c r="I89" i="36" s="1"/>
  <c r="AA647" i="44"/>
  <c r="AC91" i="27"/>
  <c r="F82" i="50"/>
  <c r="I19" i="39"/>
  <c r="I24" i="39" s="1"/>
  <c r="G24" i="39"/>
  <c r="F56" i="36"/>
  <c r="H54" i="36"/>
  <c r="H56" i="36" s="1"/>
  <c r="G82" i="47"/>
  <c r="G91" i="47" s="1"/>
  <c r="H72" i="43"/>
  <c r="I59" i="39"/>
  <c r="I61" i="39" s="1"/>
  <c r="G61" i="39"/>
  <c r="G42" i="36"/>
  <c r="G43" i="36" s="1"/>
  <c r="I40" i="36"/>
  <c r="I42" i="36" s="1"/>
  <c r="I43" i="36" s="1"/>
  <c r="O647" i="44"/>
  <c r="Q91" i="27"/>
  <c r="G82" i="12"/>
  <c r="G91" i="12" s="1"/>
  <c r="H24" i="5"/>
  <c r="F643" i="44"/>
  <c r="H91" i="24"/>
  <c r="G20" i="4"/>
  <c r="H20" i="4" s="1"/>
  <c r="E91" i="46"/>
  <c r="G82" i="40"/>
  <c r="I82" i="47"/>
  <c r="I91" i="47" s="1"/>
  <c r="I86" i="5"/>
  <c r="I89" i="5" s="1"/>
  <c r="G61" i="36"/>
  <c r="I59" i="36"/>
  <c r="I61" i="36" s="1"/>
  <c r="G36" i="5"/>
  <c r="I70" i="5"/>
  <c r="I72" i="5" s="1"/>
  <c r="G15" i="4"/>
  <c r="H15" i="4" s="1"/>
  <c r="Z647" i="44"/>
  <c r="AB91" i="27"/>
  <c r="G24" i="4"/>
  <c r="H24" i="4" s="1"/>
  <c r="E91" i="31"/>
  <c r="K647" i="44"/>
  <c r="M91" i="27"/>
  <c r="E82" i="36"/>
  <c r="E91" i="36" s="1"/>
  <c r="F42" i="36"/>
  <c r="F43" i="36" s="1"/>
  <c r="H40" i="36"/>
  <c r="H42" i="36" s="1"/>
  <c r="H43" i="36" s="1"/>
  <c r="G42" i="5"/>
  <c r="G43" i="5" s="1"/>
  <c r="I40" i="5"/>
  <c r="I42" i="5" s="1"/>
  <c r="I43" i="5" s="1"/>
  <c r="F82" i="38"/>
  <c r="L82" i="15"/>
  <c r="L91" i="15" s="1"/>
  <c r="F82" i="37"/>
  <c r="F91" i="37" s="1"/>
  <c r="I64" i="36"/>
  <c r="I66" i="36" s="1"/>
  <c r="G66" i="36"/>
  <c r="D82" i="42"/>
  <c r="G36" i="36"/>
  <c r="I32" i="36"/>
  <c r="I36" i="36" s="1"/>
  <c r="I54" i="33"/>
  <c r="I56" i="33" s="1"/>
  <c r="G56" i="33"/>
  <c r="B24" i="4"/>
  <c r="C24" i="4" s="1"/>
  <c r="M91" i="19"/>
  <c r="H40" i="5"/>
  <c r="H42" i="5" s="1"/>
  <c r="H43" i="5" s="1"/>
  <c r="F36" i="5"/>
  <c r="F82" i="5" s="1"/>
  <c r="F91" i="5" s="1"/>
  <c r="H70" i="5"/>
  <c r="H72" i="5" s="1"/>
  <c r="F72" i="5"/>
  <c r="E82" i="39"/>
  <c r="E91" i="39" s="1"/>
  <c r="H27" i="39"/>
  <c r="H29" i="39" s="1"/>
  <c r="F29" i="39"/>
  <c r="AC643" i="44"/>
  <c r="AE91" i="24"/>
  <c r="G647" i="44"/>
  <c r="I91" i="27"/>
  <c r="I54" i="36"/>
  <c r="I56" i="36" s="1"/>
  <c r="G56" i="36"/>
  <c r="I11" i="33"/>
  <c r="I16" i="33" s="1"/>
  <c r="G16" i="33"/>
  <c r="G82" i="33" s="1"/>
  <c r="G91" i="33" s="1"/>
  <c r="G94" i="36" s="1"/>
  <c r="G24" i="36"/>
  <c r="I19" i="36"/>
  <c r="I24" i="36" s="1"/>
  <c r="N643" i="44"/>
  <c r="P91" i="24"/>
  <c r="G66" i="39"/>
  <c r="I64" i="39"/>
  <c r="I66" i="39" s="1"/>
  <c r="M82" i="12"/>
  <c r="M91" i="12" s="1"/>
  <c r="H82" i="38"/>
  <c r="H54" i="39"/>
  <c r="H56" i="39" s="1"/>
  <c r="F56" i="39"/>
  <c r="H82" i="37"/>
  <c r="H91" i="37" s="1"/>
  <c r="D82" i="36"/>
  <c r="D91" i="36" s="1"/>
  <c r="H82" i="39" l="1"/>
  <c r="H91" i="39" s="1"/>
  <c r="G24" i="5"/>
  <c r="I19" i="5"/>
  <c r="I24" i="5" s="1"/>
  <c r="C11" i="4"/>
  <c r="C27" i="4" s="1"/>
  <c r="B27" i="4"/>
  <c r="B30" i="4" s="1"/>
  <c r="F82" i="36"/>
  <c r="F91" i="36" s="1"/>
  <c r="I82" i="39"/>
  <c r="I91" i="39" s="1"/>
  <c r="G82" i="5"/>
  <c r="G91" i="5" s="1"/>
  <c r="G28" i="4" s="1"/>
  <c r="G84" i="4" s="1"/>
  <c r="G86" i="4" s="1"/>
  <c r="F82" i="39"/>
  <c r="F91" i="39" s="1"/>
  <c r="H82" i="36"/>
  <c r="H91" i="36" s="1"/>
  <c r="I82" i="5"/>
  <c r="I91" i="5" s="1"/>
  <c r="G56" i="5"/>
  <c r="I54" i="5"/>
  <c r="I56" i="5" s="1"/>
  <c r="I82" i="36"/>
  <c r="I91" i="36" s="1"/>
  <c r="I82" i="33"/>
  <c r="I91" i="33" s="1"/>
  <c r="I94" i="36" s="1"/>
  <c r="H27" i="4"/>
  <c r="H29" i="4" s="1"/>
  <c r="H82" i="5"/>
  <c r="H91" i="5" s="1"/>
  <c r="G82" i="39"/>
  <c r="G91" i="39" s="1"/>
  <c r="G27" i="4"/>
  <c r="C28" i="4" l="1"/>
  <c r="C30" i="4" s="1"/>
  <c r="G30" i="4"/>
</calcChain>
</file>

<file path=xl/comments1.xml><?xml version="1.0" encoding="utf-8"?>
<comments xmlns="http://schemas.openxmlformats.org/spreadsheetml/2006/main">
  <authors>
    <author>jlittle</author>
  </authors>
  <commentList>
    <comment ref="U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U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bammel drip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Trans. Exp. Adj. Per P. Love</t>
        </r>
      </text>
    </comment>
    <comment ref="U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third party revenues</t>
        </r>
      </text>
    </comment>
    <comment ref="K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Rho and drift not captured in November booked in December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<sst xmlns="http://schemas.openxmlformats.org/spreadsheetml/2006/main" count="5622" uniqueCount="214">
  <si>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</si>
  <si>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</si>
  <si>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</si>
  <si>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</si>
  <si>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</si>
  <si>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</si>
  <si>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</si>
  <si>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</si>
  <si>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</si>
  <si>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</si>
  <si>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</si>
  <si>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</si>
  <si>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</si>
  <si>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</si>
  <si>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</si>
  <si>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</si>
  <si>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</si>
  <si>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</si>
  <si>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</si>
  <si>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</si>
  <si>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</si>
  <si>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</si>
  <si>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</si>
  <si>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</si>
  <si>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</si>
  <si>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</si>
  <si>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</si>
  <si>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</si>
  <si>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</si>
  <si>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</si>
  <si>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</si>
  <si>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</si>
  <si>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</si>
  <si>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</si>
  <si>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</si>
  <si>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</si>
  <si>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</si>
  <si>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</si>
  <si>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</si>
  <si>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</si>
  <si>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</si>
  <si>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</si>
  <si>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</si>
  <si>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</si>
  <si>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</si>
  <si>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</si>
  <si>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</si>
  <si>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</si>
  <si>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</si>
  <si>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</si>
  <si>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</si>
  <si>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</si>
  <si>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</si>
  <si>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</si>
  <si>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</si>
  <si>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</si>
  <si>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</si>
  <si>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</si>
  <si>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</si>
  <si>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</si>
  <si>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</si>
  <si>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</si>
  <si>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</si>
  <si>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</si>
  <si>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</si>
  <si>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</si>
  <si>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</si>
  <si>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</si>
  <si>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</si>
  <si>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</si>
  <si>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</si>
  <si>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</si>
  <si>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</si>
  <si>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</si>
  <si>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</si>
  <si>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</si>
  <si>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</si>
  <si>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</si>
  <si>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</si>
  <si>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</si>
  <si>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</si>
  <si>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</si>
  <si>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</si>
  <si>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</si>
  <si>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</si>
  <si>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</si>
  <si>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</si>
  <si>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</si>
  <si>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</si>
  <si>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</si>
  <si>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</si>
  <si>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</si>
  <si>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</si>
  <si>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</si>
  <si>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</si>
  <si>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</si>
  <si>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</si>
  <si>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</si>
  <si>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</si>
  <si>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</si>
  <si>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</si>
  <si>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</si>
  <si>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</si>
  <si>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</si>
  <si>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</si>
  <si>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</si>
  <si>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</si>
  <si>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</si>
  <si>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</si>
  <si>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</si>
  <si>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</si>
  <si>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</si>
  <si>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</si>
  <si>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</si>
  <si>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</si>
  <si>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</si>
  <si>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</si>
  <si>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</si>
  <si>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</si>
  <si>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</si>
  <si>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</si>
  <si>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</si>
  <si>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</si>
  <si>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</si>
  <si>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</si>
  <si>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</si>
  <si>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</si>
  <si>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</si>
  <si>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</si>
  <si>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</si>
  <si>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</si>
  <si>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</si>
  <si>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</si>
  <si>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</si>
  <si>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</si>
  <si>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</si>
  <si>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</si>
  <si>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</si>
  <si>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</si>
  <si>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</si>
  <si>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</si>
  <si>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</si>
  <si>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</si>
  <si>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</si>
  <si>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</si>
  <si>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</si>
  <si>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</si>
  <si>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</si>
  <si>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</si>
  <si>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</si>
  <si>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</si>
  <si>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</si>
  <si>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</si>
  <si>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</si>
  <si>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</si>
  <si>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</si>
  <si>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</si>
  <si>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</si>
  <si>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</si>
  <si>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</si>
  <si>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</si>
  <si>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</si>
  <si>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</si>
  <si>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</si>
  <si>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</si>
  <si>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</si>
  <si>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</si>
  <si>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</si>
  <si>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</si>
  <si>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</si>
  <si>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</si>
  <si>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</si>
  <si>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</si>
  <si>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</si>
  <si>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</si>
  <si>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</si>
  <si>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</si>
  <si>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</si>
  <si>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</si>
  <si>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</si>
  <si>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</si>
  <si>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</si>
  <si>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</si>
  <si>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</si>
  <si>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</si>
  <si>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</si>
  <si>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</si>
  <si>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</si>
  <si>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</si>
  <si>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Aruba</t>
  </si>
  <si>
    <t>November</t>
  </si>
  <si>
    <t>REGION:  ARUBA</t>
  </si>
  <si>
    <t>REGION: ARUBA</t>
  </si>
  <si>
    <t>Consolidated Flash</t>
  </si>
  <si>
    <t>ARUBA</t>
  </si>
  <si>
    <t>REGION: BUG</t>
  </si>
  <si>
    <t>9911V</t>
  </si>
  <si>
    <t>9911A</t>
  </si>
  <si>
    <t>Sithe</t>
  </si>
  <si>
    <t>REGION:  SITHE</t>
  </si>
  <si>
    <t>PRODUCTION MONTH: 9911</t>
  </si>
  <si>
    <t>SITHE</t>
  </si>
  <si>
    <t>December</t>
  </si>
  <si>
    <t>REGION: SITHE</t>
  </si>
  <si>
    <t>January</t>
  </si>
  <si>
    <t>Cost of Inventory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</si>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</sst>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27" fillId="0" borderId="11" xfId="1" applyNumberFormat="1" applyFont="1" applyFill="1" applyBorder="1"/>
    <xf numFmtId="165" fontId="27" fillId="0" borderId="3" xfId="1" applyNumberFormat="1" applyFont="1" applyFill="1" applyBorder="1"/>
    <xf numFmtId="165" fontId="27" fillId="0" borderId="8" xfId="1" applyNumberFormat="1" applyFont="1" applyFill="1" applyBorder="1"/>
    <xf numFmtId="165" fontId="4" fillId="5" borderId="1" xfId="1" applyNumberFormat="1" applyFont="1" applyFill="1" applyBorder="1"/>
    <xf numFmtId="165" fontId="23" fillId="0" borderId="2" xfId="1" applyNumberFormat="1" applyFont="1" applyBorder="1"/>
    <xf numFmtId="165" fontId="25" fillId="0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4">
          <cell r="G54">
            <v>-4352927.8099999996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B15">
            <v>446000</v>
          </cell>
          <cell r="C15">
            <v>-301000</v>
          </cell>
          <cell r="D15">
            <v>503000</v>
          </cell>
          <cell r="E15">
            <v>580000</v>
          </cell>
          <cell r="G15">
            <v>77000</v>
          </cell>
          <cell r="H15">
            <v>-2202000</v>
          </cell>
          <cell r="I15">
            <v>5481000</v>
          </cell>
          <cell r="J15">
            <v>-836000</v>
          </cell>
          <cell r="K15">
            <v>-152000</v>
          </cell>
          <cell r="L15">
            <v>1009000</v>
          </cell>
          <cell r="M15">
            <v>1593000</v>
          </cell>
          <cell r="N15">
            <v>19000</v>
          </cell>
          <cell r="O15">
            <v>77000</v>
          </cell>
          <cell r="P15">
            <v>686000</v>
          </cell>
          <cell r="Q15">
            <v>905000</v>
          </cell>
          <cell r="T15">
            <v>7885000</v>
          </cell>
        </row>
        <row r="32">
          <cell r="T32">
            <v>-3352516</v>
          </cell>
        </row>
        <row r="49">
          <cell r="B49">
            <v>-176098</v>
          </cell>
          <cell r="C49">
            <v>-100781</v>
          </cell>
          <cell r="D49">
            <v>503000</v>
          </cell>
          <cell r="E49">
            <v>580000</v>
          </cell>
          <cell r="G49">
            <v>-1173172</v>
          </cell>
          <cell r="H49">
            <v>-2866680</v>
          </cell>
          <cell r="I49">
            <v>5481000</v>
          </cell>
          <cell r="J49">
            <v>-836000</v>
          </cell>
          <cell r="K49">
            <v>-152000</v>
          </cell>
          <cell r="L49">
            <v>975036</v>
          </cell>
          <cell r="M49">
            <v>2071059</v>
          </cell>
          <cell r="N49">
            <v>23880</v>
          </cell>
          <cell r="O49">
            <v>531960</v>
          </cell>
          <cell r="P49">
            <v>686000</v>
          </cell>
          <cell r="Q49">
            <v>-1014720</v>
          </cell>
          <cell r="T49">
            <v>4532484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1.bin"/><Relationship Id="rId5" Type="http://schemas.openxmlformats.org/officeDocument/2006/relationships/comments" Target="../comments5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11813102</v>
      </c>
      <c r="E11" s="65">
        <v>33001683</v>
      </c>
      <c r="F11" s="65">
        <f>H11-D11</f>
        <v>0</v>
      </c>
      <c r="G11" s="63">
        <f>I11-E11</f>
        <v>0</v>
      </c>
      <c r="H11" s="65">
        <f>D11</f>
        <v>11813102</v>
      </c>
      <c r="I11" s="66">
        <f>E11</f>
        <v>33001683</v>
      </c>
      <c r="J11" s="60"/>
      <c r="K11" s="38"/>
      <c r="L11" s="60">
        <f t="shared" ref="L11:M15" si="0">H11+J11</f>
        <v>11813102</v>
      </c>
      <c r="M11" s="38">
        <f t="shared" si="0"/>
        <v>33001683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11813102</v>
      </c>
      <c r="E16" s="39">
        <v>33001683</v>
      </c>
      <c r="F16" s="61">
        <f t="shared" ref="F16:M16" si="3">SUM(F11:F15)</f>
        <v>0</v>
      </c>
      <c r="G16" s="39">
        <f t="shared" si="3"/>
        <v>0</v>
      </c>
      <c r="H16" s="61">
        <f>SUM(H11:H15)</f>
        <v>11813102</v>
      </c>
      <c r="I16" s="39">
        <f>SUM(I11:I15)</f>
        <v>33001683</v>
      </c>
      <c r="J16" s="61">
        <f t="shared" si="3"/>
        <v>0</v>
      </c>
      <c r="K16" s="39">
        <f t="shared" si="3"/>
        <v>0</v>
      </c>
      <c r="L16" s="61">
        <f t="shared" si="3"/>
        <v>11813102</v>
      </c>
      <c r="M16" s="39">
        <f t="shared" si="3"/>
        <v>33001683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-11822373</v>
      </c>
      <c r="E19" s="65">
        <v>-28401276.02337328</v>
      </c>
      <c r="F19" s="65">
        <f>H19-D19</f>
        <v>0</v>
      </c>
      <c r="G19" s="63">
        <f>I19-E19</f>
        <v>0</v>
      </c>
      <c r="H19" s="65">
        <f t="shared" si="4"/>
        <v>-11822373</v>
      </c>
      <c r="I19" s="66">
        <f t="shared" si="4"/>
        <v>-28401276.02337328</v>
      </c>
      <c r="J19" s="60"/>
      <c r="K19" s="38"/>
      <c r="L19" s="60">
        <f t="shared" ref="L19:M23" si="5">H19+J19</f>
        <v>-11822373</v>
      </c>
      <c r="M19" s="38">
        <f t="shared" si="5"/>
        <v>-28401276.02337328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-11822373</v>
      </c>
      <c r="E24" s="39">
        <v>-28401276.02337328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-11822373</v>
      </c>
      <c r="I24" s="39">
        <f>SUM(I19:I23)</f>
        <v>-28401276.02337328</v>
      </c>
      <c r="J24" s="61">
        <f t="shared" si="7"/>
        <v>0</v>
      </c>
      <c r="K24" s="39">
        <f t="shared" si="7"/>
        <v>0</v>
      </c>
      <c r="L24" s="61">
        <f t="shared" si="7"/>
        <v>-11822373</v>
      </c>
      <c r="M24" s="39">
        <f t="shared" si="7"/>
        <v>-28401276.02337328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669651</v>
      </c>
      <c r="E39" s="65">
        <v>2049132</v>
      </c>
      <c r="F39" s="65">
        <f t="shared" ref="F39:G41" si="13">H39-D39</f>
        <v>0</v>
      </c>
      <c r="G39" s="63">
        <f t="shared" si="13"/>
        <v>0</v>
      </c>
      <c r="H39" s="65">
        <f t="shared" si="12"/>
        <v>669651</v>
      </c>
      <c r="I39" s="66">
        <f t="shared" si="12"/>
        <v>2049132</v>
      </c>
      <c r="J39" s="60"/>
      <c r="K39" s="38"/>
      <c r="L39" s="60">
        <f t="shared" ref="L39:M41" si="14">H39+J39</f>
        <v>669651</v>
      </c>
      <c r="M39" s="38">
        <f t="shared" si="14"/>
        <v>2049132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-1704571</v>
      </c>
      <c r="E40" s="65">
        <v>-5215985</v>
      </c>
      <c r="F40" s="65">
        <f t="shared" si="13"/>
        <v>0</v>
      </c>
      <c r="G40" s="63">
        <f t="shared" si="13"/>
        <v>0</v>
      </c>
      <c r="H40" s="65">
        <f t="shared" si="12"/>
        <v>-1704571</v>
      </c>
      <c r="I40" s="66">
        <f t="shared" si="12"/>
        <v>-5215985</v>
      </c>
      <c r="J40" s="60"/>
      <c r="K40" s="38"/>
      <c r="L40" s="60">
        <f t="shared" si="14"/>
        <v>-1704571</v>
      </c>
      <c r="M40" s="38">
        <f t="shared" si="14"/>
        <v>-5215985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-1704571</v>
      </c>
      <c r="E42" s="39">
        <v>-5215985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-1704571</v>
      </c>
      <c r="I42" s="39">
        <f>SUM(I40:I41)</f>
        <v>-5215985</v>
      </c>
      <c r="J42" s="61">
        <f t="shared" si="15"/>
        <v>0</v>
      </c>
      <c r="K42" s="39">
        <f t="shared" si="15"/>
        <v>0</v>
      </c>
      <c r="L42" s="61">
        <f t="shared" si="15"/>
        <v>-1704571</v>
      </c>
      <c r="M42" s="39">
        <f t="shared" si="15"/>
        <v>-5215985</v>
      </c>
    </row>
    <row r="43" spans="1:13" ht="21" customHeight="1" x14ac:dyDescent="0.2">
      <c r="A43" s="9"/>
      <c r="B43" s="7" t="s">
        <v>49</v>
      </c>
      <c r="C43" s="6"/>
      <c r="D43" s="61">
        <v>-1034920</v>
      </c>
      <c r="E43" s="39">
        <v>-3166853</v>
      </c>
      <c r="F43" s="61">
        <f t="shared" ref="F43:M43" si="16">F42+F39</f>
        <v>0</v>
      </c>
      <c r="G43" s="39">
        <f t="shared" si="16"/>
        <v>0</v>
      </c>
      <c r="H43" s="61">
        <f>H42+H39</f>
        <v>-1034920</v>
      </c>
      <c r="I43" s="39">
        <f>I42+I39</f>
        <v>-3166853</v>
      </c>
      <c r="J43" s="61">
        <f t="shared" si="16"/>
        <v>0</v>
      </c>
      <c r="K43" s="39">
        <f t="shared" si="16"/>
        <v>0</v>
      </c>
      <c r="L43" s="61">
        <f t="shared" si="16"/>
        <v>-1034920</v>
      </c>
      <c r="M43" s="39">
        <f t="shared" si="16"/>
        <v>-3166853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984191</v>
      </c>
      <c r="E49" s="65">
        <v>2884134.6433662344</v>
      </c>
      <c r="F49" s="65">
        <f>H49-D49</f>
        <v>0</v>
      </c>
      <c r="G49" s="63">
        <f>I49-E49</f>
        <v>0</v>
      </c>
      <c r="H49" s="65">
        <f>D49</f>
        <v>984191</v>
      </c>
      <c r="I49" s="66">
        <f>E49</f>
        <v>2884134.6433662344</v>
      </c>
      <c r="J49" s="60"/>
      <c r="K49" s="38"/>
      <c r="L49" s="60">
        <f>H49+J49</f>
        <v>984191</v>
      </c>
      <c r="M49" s="38">
        <f>I49+K49</f>
        <v>2884134.6433662344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82527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82527</v>
      </c>
      <c r="J60" s="60"/>
      <c r="K60" s="38"/>
      <c r="L60" s="60">
        <f>H60+J60</f>
        <v>0</v>
      </c>
      <c r="M60" s="38">
        <f>I60+K60</f>
        <v>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63">
        <f>D16+D24+D29+D36+D43+D45+D47+D49</f>
        <v>-60000</v>
      </c>
      <c r="E82" s="162">
        <f>SUM(E72:E81)+E16+E24+E29+E36+E43+E45+E47+E49+E51+E56+E61+E66</f>
        <v>503215.61999295466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503215.61999295466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503215.61999295466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112606163</v>
      </c>
      <c r="E11" s="66">
        <f>'EAST-EGM-FLSH'!E11+'EAST-LRC-FLSH'!E11</f>
        <v>323822835</v>
      </c>
      <c r="F11" s="37">
        <f>H11-D11</f>
        <v>0</v>
      </c>
      <c r="G11" s="37">
        <f>I11-E11</f>
        <v>0</v>
      </c>
      <c r="H11" s="60">
        <f>'EAST-EGM-FLSH'!H11+'EAST-LRC-FLSH'!H11</f>
        <v>112606163</v>
      </c>
      <c r="I11" s="38">
        <f>'EAST-EGM-FLSH'!I11+'EAST-LRC-FLSH'!I11</f>
        <v>323822835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112606163</v>
      </c>
      <c r="M11" s="38">
        <f t="shared" si="0"/>
        <v>323822835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34376354</v>
      </c>
      <c r="E13" s="66">
        <f>'EAST-EGM-FLSH'!E13+'EAST-LRC-FLSH'!E13</f>
        <v>87323206</v>
      </c>
      <c r="F13" s="60">
        <f t="shared" si="1"/>
        <v>0</v>
      </c>
      <c r="G13" s="37">
        <f t="shared" si="1"/>
        <v>0</v>
      </c>
      <c r="H13" s="60">
        <f>'EAST-EGM-FLSH'!H13+'EAST-LRC-FLSH'!H13</f>
        <v>34376354</v>
      </c>
      <c r="I13" s="38">
        <f>'EAST-EGM-FLSH'!I13+'EAST-LRC-FLSH'!I13</f>
        <v>87323206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34376354</v>
      </c>
      <c r="M13" s="38">
        <f t="shared" si="0"/>
        <v>87323206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-481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-481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-481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146982517</v>
      </c>
      <c r="E16" s="39">
        <f>SUM(E11:E15)</f>
        <v>411145560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146982517</v>
      </c>
      <c r="I16" s="39">
        <f t="shared" si="2"/>
        <v>411145560</v>
      </c>
      <c r="J16" s="61">
        <f t="shared" si="2"/>
        <v>0</v>
      </c>
      <c r="K16" s="39">
        <f t="shared" si="2"/>
        <v>0</v>
      </c>
      <c r="L16" s="61">
        <f t="shared" si="2"/>
        <v>146982517</v>
      </c>
      <c r="M16" s="39">
        <f t="shared" si="2"/>
        <v>411145560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-115429462</v>
      </c>
      <c r="E19" s="66">
        <f>'EAST-EGM-FLSH'!E19+'EAST-LRC-FLSH'!E19</f>
        <v>-337395019</v>
      </c>
      <c r="F19" s="60">
        <f>H19-D19</f>
        <v>0</v>
      </c>
      <c r="G19" s="37">
        <f>I19-E19</f>
        <v>0</v>
      </c>
      <c r="H19" s="60">
        <f>'EAST-EGM-FLSH'!H19+'EAST-LRC-FLSH'!H19</f>
        <v>-115429462</v>
      </c>
      <c r="I19" s="38">
        <f>'EAST-EGM-FLSH'!I19+'EAST-LRC-FLSH'!I19</f>
        <v>-337395019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-115429462</v>
      </c>
      <c r="M19" s="38">
        <f t="shared" si="3"/>
        <v>-337395019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-30814363</v>
      </c>
      <c r="E21" s="66">
        <f>'EAST-EGM-FLSH'!E21+'EAST-LRC-FLSH'!E21</f>
        <v>-78054921</v>
      </c>
      <c r="F21" s="60">
        <f t="shared" si="4"/>
        <v>0</v>
      </c>
      <c r="G21" s="37">
        <f t="shared" si="4"/>
        <v>0</v>
      </c>
      <c r="H21" s="60">
        <f>'EAST-EGM-FLSH'!H21+'EAST-LRC-FLSH'!H21</f>
        <v>-30814363</v>
      </c>
      <c r="I21" s="38">
        <f>'EAST-EGM-FLSH'!I21+'EAST-LRC-FLSH'!I21</f>
        <v>-78054921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-30814363</v>
      </c>
      <c r="M21" s="38">
        <f t="shared" si="3"/>
        <v>-78054921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152027</v>
      </c>
      <c r="E23" s="66">
        <f>'EAST-EGM-FLSH'!E23+'EAST-LRC-FLSH'!E23</f>
        <v>362607</v>
      </c>
      <c r="F23" s="60">
        <f t="shared" si="4"/>
        <v>0</v>
      </c>
      <c r="G23" s="37">
        <f t="shared" si="4"/>
        <v>0</v>
      </c>
      <c r="H23" s="60">
        <f>'EAST-EGM-FLSH'!H23+'EAST-LRC-FLSH'!H23</f>
        <v>152027</v>
      </c>
      <c r="I23" s="38">
        <f>'EAST-EGM-FLSH'!I23+'EAST-LRC-FLSH'!I23</f>
        <v>362607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152027</v>
      </c>
      <c r="M23" s="38">
        <f t="shared" si="3"/>
        <v>362607</v>
      </c>
    </row>
    <row r="24" spans="1:13" x14ac:dyDescent="0.2">
      <c r="A24" s="9"/>
      <c r="B24" s="7" t="s">
        <v>33</v>
      </c>
      <c r="C24" s="6"/>
      <c r="D24" s="61">
        <f>SUM(D19:D23)</f>
        <v>-146091798</v>
      </c>
      <c r="E24" s="39">
        <f>SUM(E19:E23)</f>
        <v>-415087333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-146091798</v>
      </c>
      <c r="I24" s="39">
        <f t="shared" si="5"/>
        <v>-415087333</v>
      </c>
      <c r="J24" s="61">
        <f t="shared" si="5"/>
        <v>0</v>
      </c>
      <c r="K24" s="39">
        <f t="shared" si="5"/>
        <v>0</v>
      </c>
      <c r="L24" s="61">
        <f t="shared" si="5"/>
        <v>-146091798</v>
      </c>
      <c r="M24" s="39">
        <f t="shared" si="5"/>
        <v>-415087333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-3098</v>
      </c>
      <c r="E32" s="66">
        <f>'EAST-EGM-FLSH'!E32+'EAST-LRC-FLSH'!E32</f>
        <v>-75353</v>
      </c>
      <c r="F32" s="60">
        <f>H32-D32</f>
        <v>0</v>
      </c>
      <c r="G32" s="37">
        <f>I32-E32</f>
        <v>0</v>
      </c>
      <c r="H32" s="60">
        <f>'EAST-EGM-FLSH'!H32+'EAST-LRC-FLSH'!H32</f>
        <v>-3098</v>
      </c>
      <c r="I32" s="38">
        <f>'EAST-EGM-FLSH'!I32+'EAST-LRC-FLSH'!I32</f>
        <v>-75353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-3098</v>
      </c>
      <c r="M32" s="38">
        <f t="shared" si="7"/>
        <v>-75353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830902</v>
      </c>
      <c r="E33" s="66">
        <f>'EAST-EGM-FLSH'!E33+'EAST-LRC-FLSH'!E33</f>
        <v>2045437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830902</v>
      </c>
      <c r="I33" s="38">
        <f>'EAST-EGM-FLSH'!I33+'EAST-LRC-FLSH'!I33</f>
        <v>2045437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830902</v>
      </c>
      <c r="M33" s="38">
        <f t="shared" si="7"/>
        <v>2045437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-844605</v>
      </c>
      <c r="E34" s="66">
        <f>'EAST-EGM-FLSH'!E34+'EAST-LRC-FLSH'!E34</f>
        <v>-2079004</v>
      </c>
      <c r="F34" s="60">
        <f t="shared" si="8"/>
        <v>0</v>
      </c>
      <c r="G34" s="37">
        <f t="shared" si="8"/>
        <v>0</v>
      </c>
      <c r="H34" s="60">
        <f>'EAST-EGM-FLSH'!H34+'EAST-LRC-FLSH'!H34</f>
        <v>-844605</v>
      </c>
      <c r="I34" s="38">
        <f>'EAST-EGM-FLSH'!I34+'EAST-LRC-FLSH'!I34</f>
        <v>-2079004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-844605</v>
      </c>
      <c r="M34" s="38">
        <f t="shared" si="7"/>
        <v>-2079004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501387</v>
      </c>
      <c r="E35" s="66">
        <f>'EAST-EGM-FLSH'!E35+'EAST-LRC-FLSH'!E35</f>
        <v>5752</v>
      </c>
      <c r="F35" s="60">
        <f t="shared" si="8"/>
        <v>0</v>
      </c>
      <c r="G35" s="37">
        <f t="shared" si="8"/>
        <v>0</v>
      </c>
      <c r="H35" s="60">
        <f>'EAST-EGM-FLSH'!H35+'EAST-LRC-FLSH'!H35</f>
        <v>501387</v>
      </c>
      <c r="I35" s="38">
        <f>'EAST-EGM-FLSH'!I35+'EAST-LRC-FLSH'!I35</f>
        <v>5752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501387</v>
      </c>
      <c r="M35" s="38">
        <f t="shared" si="7"/>
        <v>5752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484586</v>
      </c>
      <c r="E36" s="39">
        <f t="shared" si="9"/>
        <v>-103168</v>
      </c>
      <c r="F36" s="61">
        <f t="shared" si="9"/>
        <v>0</v>
      </c>
      <c r="G36" s="39">
        <f t="shared" si="9"/>
        <v>0</v>
      </c>
      <c r="H36" s="61">
        <f t="shared" si="9"/>
        <v>484586</v>
      </c>
      <c r="I36" s="39">
        <f t="shared" si="9"/>
        <v>-103168</v>
      </c>
      <c r="J36" s="61">
        <f>SUM(J32:J34)</f>
        <v>0</v>
      </c>
      <c r="K36" s="39">
        <f>SUM(K32:K34)</f>
        <v>0</v>
      </c>
      <c r="L36" s="61">
        <f>SUM(L32:L35)</f>
        <v>484586</v>
      </c>
      <c r="M36" s="39">
        <f>SUM(M32:M35)</f>
        <v>-103168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669651</v>
      </c>
      <c r="E39" s="66">
        <f>'EAST-EGM-FLSH'!E39+'EAST-LRC-FLSH'!E39</f>
        <v>2049132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669651</v>
      </c>
      <c r="I39" s="38">
        <f>'EAST-EGM-FLSH'!I39+'EAST-LRC-FLSH'!I39</f>
        <v>2049132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669651</v>
      </c>
      <c r="M39" s="38">
        <f t="shared" si="11"/>
        <v>2049132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-1461287</v>
      </c>
      <c r="E40" s="66">
        <f>'EAST-EGM-FLSH'!E40+'EAST-LRC-FLSH'!E40</f>
        <v>-4471536</v>
      </c>
      <c r="F40" s="60">
        <f t="shared" si="10"/>
        <v>0</v>
      </c>
      <c r="G40" s="37">
        <f t="shared" si="10"/>
        <v>0</v>
      </c>
      <c r="H40" s="60">
        <f>'EAST-EGM-FLSH'!H40+'EAST-LRC-FLSH'!H40</f>
        <v>-1461287</v>
      </c>
      <c r="I40" s="38">
        <f>'EAST-EGM-FLSH'!I40+'EAST-LRC-FLSH'!I40</f>
        <v>-4471536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-1461287</v>
      </c>
      <c r="M40" s="38">
        <f t="shared" si="11"/>
        <v>-4471536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-1461287</v>
      </c>
      <c r="E42" s="39">
        <f>SUM(E40:E41)</f>
        <v>-4471536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-1461287</v>
      </c>
      <c r="I42" s="39">
        <f t="shared" si="12"/>
        <v>-4471536</v>
      </c>
      <c r="J42" s="61">
        <f t="shared" si="12"/>
        <v>0</v>
      </c>
      <c r="K42" s="39">
        <f t="shared" si="12"/>
        <v>0</v>
      </c>
      <c r="L42" s="61">
        <f t="shared" si="12"/>
        <v>-1461287</v>
      </c>
      <c r="M42" s="39">
        <f t="shared" si="12"/>
        <v>-4471536</v>
      </c>
    </row>
    <row r="43" spans="1:13" ht="21" customHeight="1" x14ac:dyDescent="0.2">
      <c r="A43" s="9"/>
      <c r="B43" s="7" t="s">
        <v>49</v>
      </c>
      <c r="C43" s="6"/>
      <c r="D43" s="61">
        <f>D42+D39</f>
        <v>-791636</v>
      </c>
      <c r="E43" s="39">
        <f>E42+E39</f>
        <v>-2422404</v>
      </c>
      <c r="F43" s="61">
        <f t="shared" ref="F43:M43" si="13">F42+F39</f>
        <v>0</v>
      </c>
      <c r="G43" s="39">
        <f t="shared" si="13"/>
        <v>0</v>
      </c>
      <c r="H43" s="61">
        <f t="shared" si="13"/>
        <v>-791636</v>
      </c>
      <c r="I43" s="39">
        <f t="shared" si="13"/>
        <v>-2422404</v>
      </c>
      <c r="J43" s="61">
        <f t="shared" si="13"/>
        <v>0</v>
      </c>
      <c r="K43" s="39">
        <f t="shared" si="13"/>
        <v>0</v>
      </c>
      <c r="L43" s="61">
        <f t="shared" si="13"/>
        <v>-791636</v>
      </c>
      <c r="M43" s="39">
        <f t="shared" si="13"/>
        <v>-2422404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-583669</v>
      </c>
      <c r="E49" s="66">
        <f>'EAST-EGM-FLSH'!E49+'EAST-LRC-FLSH'!E49</f>
        <v>-1800618.8650000002</v>
      </c>
      <c r="F49" s="60">
        <f>H49-D49</f>
        <v>0</v>
      </c>
      <c r="G49" s="37">
        <f>I49-E49</f>
        <v>0</v>
      </c>
      <c r="H49" s="60">
        <f>'EAST-EGM-FLSH'!H49+'EAST-LRC-FLSH'!H49</f>
        <v>-583669</v>
      </c>
      <c r="I49" s="38">
        <f>'EAST-EGM-FLSH'!I49+'EAST-LRC-FLSH'!I49</f>
        <v>-1800618.8650000002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-583669</v>
      </c>
      <c r="M49" s="38">
        <f>I49+K49</f>
        <v>-1800618.8650000002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-152027</v>
      </c>
      <c r="E51" s="66">
        <f>'EAST-EGM-FLSH'!E51+'EAST-LRC-FLSH'!E51</f>
        <v>-362607</v>
      </c>
      <c r="F51" s="60">
        <f>H51-D51</f>
        <v>0</v>
      </c>
      <c r="G51" s="37">
        <f>I51-E51</f>
        <v>0</v>
      </c>
      <c r="H51" s="60">
        <f>'EAST-EGM-FLSH'!H51+'EAST-LRC-FLSH'!H51</f>
        <v>-152027</v>
      </c>
      <c r="I51" s="38">
        <f>'EAST-EGM-FLSH'!I51+'EAST-LRC-FLSH'!I51</f>
        <v>-362607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-152027</v>
      </c>
      <c r="M51" s="38">
        <f>I51+K51</f>
        <v>-362607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-402213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-402213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-402213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-490388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-490388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-490388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-892601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-892601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-892601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42944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42944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42944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42944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15355188.296300001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15355188.296300001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15355188.296300001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-6851832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-6851832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-6851832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8503356.2963000014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8503356.2963000014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8503356.2963000014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5094995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5094995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5094995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14426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14426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14426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-15665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-15665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-15665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23732.85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23732.85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23732.85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-20325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-20325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-20325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186483.28130001761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186483.28130001761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186483.28130001761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186483.28130004369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68"/>
      <c r="C86" s="10" t="s">
        <v>166</v>
      </c>
      <c r="D86" s="169">
        <f>'EAST-EGM-FLSH'!D86+'EAST-LRC-FLSH'!D86</f>
        <v>0</v>
      </c>
      <c r="E86" s="169">
        <f>'EAST-EGM-FLSH'!E86+'EAST-LRC-FLSH'!E86</f>
        <v>580000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580000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580000</v>
      </c>
    </row>
    <row r="87" spans="1:67" s="3" customFormat="1" x14ac:dyDescent="0.2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0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0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580000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580000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580000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766483.28130001761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766483.28130001761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766483.28130001761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12767378</v>
      </c>
      <c r="E11" s="38">
        <v>33255264.359999999</v>
      </c>
      <c r="F11" s="65">
        <f>H11-D11</f>
        <v>0</v>
      </c>
      <c r="G11" s="63">
        <f>I11-E11</f>
        <v>0</v>
      </c>
      <c r="H11" s="65">
        <f>D11</f>
        <v>12767378</v>
      </c>
      <c r="I11" s="66">
        <f>E11</f>
        <v>33255264.359999999</v>
      </c>
      <c r="J11" s="60"/>
      <c r="K11" s="38"/>
      <c r="L11" s="60">
        <f t="shared" ref="L11:M15" si="0">H11+J11</f>
        <v>12767378</v>
      </c>
      <c r="M11" s="38">
        <f t="shared" si="0"/>
        <v>33255264.359999999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15000</v>
      </c>
      <c r="E13" s="38">
        <v>44650</v>
      </c>
      <c r="F13" s="65">
        <f t="shared" si="1"/>
        <v>0</v>
      </c>
      <c r="G13" s="63">
        <f t="shared" si="1"/>
        <v>0</v>
      </c>
      <c r="H13" s="65">
        <f t="shared" si="2"/>
        <v>15000</v>
      </c>
      <c r="I13" s="66">
        <f t="shared" si="2"/>
        <v>44650</v>
      </c>
      <c r="J13" s="60"/>
      <c r="K13" s="38"/>
      <c r="L13" s="60">
        <f t="shared" si="0"/>
        <v>15000</v>
      </c>
      <c r="M13" s="38">
        <f t="shared" si="0"/>
        <v>44650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12782378</v>
      </c>
      <c r="E16" s="39">
        <v>33299914.359999999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12782378</v>
      </c>
      <c r="I16" s="39">
        <f>SUM(I11:I15)</f>
        <v>33299914.359999999</v>
      </c>
      <c r="J16" s="61">
        <f t="shared" si="3"/>
        <v>0</v>
      </c>
      <c r="K16" s="39">
        <f t="shared" si="3"/>
        <v>0</v>
      </c>
      <c r="L16" s="61">
        <f t="shared" si="3"/>
        <v>12782378</v>
      </c>
      <c r="M16" s="39">
        <f t="shared" si="3"/>
        <v>33299914.359999999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-7612939</v>
      </c>
      <c r="E19" s="38">
        <v>-20225697.999999996</v>
      </c>
      <c r="F19" s="65">
        <f>H19-D19</f>
        <v>0</v>
      </c>
      <c r="G19" s="63">
        <f>I19-E19</f>
        <v>0</v>
      </c>
      <c r="H19" s="65">
        <f t="shared" si="4"/>
        <v>-7612939</v>
      </c>
      <c r="I19" s="66">
        <f t="shared" si="4"/>
        <v>-20225697.999999996</v>
      </c>
      <c r="J19" s="60"/>
      <c r="K19" s="38"/>
      <c r="L19" s="60">
        <f t="shared" ref="L19:M23" si="5">H19+J19</f>
        <v>-7612939</v>
      </c>
      <c r="M19" s="38">
        <f t="shared" si="5"/>
        <v>-20225697.999999996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-11290</v>
      </c>
      <c r="E21" s="38">
        <v>-27847.599999999999</v>
      </c>
      <c r="F21" s="65">
        <f t="shared" si="6"/>
        <v>0</v>
      </c>
      <c r="G21" s="63">
        <f t="shared" si="6"/>
        <v>0</v>
      </c>
      <c r="H21" s="65">
        <f t="shared" si="4"/>
        <v>-11290</v>
      </c>
      <c r="I21" s="66">
        <f t="shared" si="4"/>
        <v>-27847.599999999999</v>
      </c>
      <c r="J21" s="60"/>
      <c r="K21" s="38"/>
      <c r="L21" s="60">
        <f t="shared" si="5"/>
        <v>-11290</v>
      </c>
      <c r="M21" s="38">
        <f t="shared" si="5"/>
        <v>-27847.599999999999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80</v>
      </c>
      <c r="E23" s="38">
        <v>198.29</v>
      </c>
      <c r="F23" s="65">
        <f t="shared" si="6"/>
        <v>0</v>
      </c>
      <c r="G23" s="63">
        <f t="shared" si="6"/>
        <v>0</v>
      </c>
      <c r="H23" s="65">
        <f t="shared" si="4"/>
        <v>80</v>
      </c>
      <c r="I23" s="66">
        <f t="shared" si="4"/>
        <v>198.29</v>
      </c>
      <c r="J23" s="60"/>
      <c r="K23" s="38"/>
      <c r="L23" s="60">
        <f t="shared" si="5"/>
        <v>80</v>
      </c>
      <c r="M23" s="38">
        <f t="shared" si="5"/>
        <v>198.29</v>
      </c>
    </row>
    <row r="24" spans="1:13" x14ac:dyDescent="0.2">
      <c r="A24" s="9"/>
      <c r="B24" s="7" t="s">
        <v>33</v>
      </c>
      <c r="C24" s="6"/>
      <c r="D24" s="61">
        <v>-7624149</v>
      </c>
      <c r="E24" s="39">
        <v>-20253347.309999999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-7624149</v>
      </c>
      <c r="I24" s="39">
        <f>SUM(I19:I23)</f>
        <v>-20253347.309999999</v>
      </c>
      <c r="J24" s="61">
        <f t="shared" si="7"/>
        <v>0</v>
      </c>
      <c r="K24" s="39">
        <f t="shared" si="7"/>
        <v>0</v>
      </c>
      <c r="L24" s="61">
        <f t="shared" si="7"/>
        <v>-7624149</v>
      </c>
      <c r="M24" s="39">
        <f t="shared" si="7"/>
        <v>-20253347.309999999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9692997</v>
      </c>
      <c r="E27" s="38">
        <v>25871132.780000001</v>
      </c>
      <c r="F27" s="65">
        <f>H27-D27</f>
        <v>0</v>
      </c>
      <c r="G27" s="63">
        <f>I27-E27</f>
        <v>0</v>
      </c>
      <c r="H27" s="65">
        <f>D27</f>
        <v>9692997</v>
      </c>
      <c r="I27" s="66">
        <f>E27</f>
        <v>25871132.780000001</v>
      </c>
      <c r="J27" s="60"/>
      <c r="K27" s="38"/>
      <c r="L27" s="60">
        <f>H27+J27</f>
        <v>9692997</v>
      </c>
      <c r="M27" s="38">
        <f>I27+K27</f>
        <v>25871132.780000001</v>
      </c>
    </row>
    <row r="28" spans="1:13" x14ac:dyDescent="0.2">
      <c r="A28" s="9">
        <v>12</v>
      </c>
      <c r="B28" s="7"/>
      <c r="C28" s="18" t="s">
        <v>36</v>
      </c>
      <c r="D28" s="60">
        <v>-9692997</v>
      </c>
      <c r="E28" s="38">
        <v>-25871134.699999999</v>
      </c>
      <c r="F28" s="65">
        <f>H28-D28</f>
        <v>0</v>
      </c>
      <c r="G28" s="63">
        <f>I28-E28</f>
        <v>0</v>
      </c>
      <c r="H28" s="65">
        <f>D28</f>
        <v>-9692997</v>
      </c>
      <c r="I28" s="66">
        <f>E28</f>
        <v>-25871134.699999999</v>
      </c>
      <c r="J28" s="60"/>
      <c r="K28" s="38"/>
      <c r="L28" s="60">
        <f>H28+J28</f>
        <v>-9692997</v>
      </c>
      <c r="M28" s="38">
        <f>I28+K28</f>
        <v>-25871134.699999999</v>
      </c>
    </row>
    <row r="29" spans="1:13" x14ac:dyDescent="0.2">
      <c r="A29" s="9"/>
      <c r="B29" s="7" t="s">
        <v>37</v>
      </c>
      <c r="C29" s="6"/>
      <c r="D29" s="61">
        <v>0</v>
      </c>
      <c r="E29" s="39">
        <v>-1.919999998062849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-1.919999998062849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-5158229</v>
      </c>
      <c r="E49" s="38">
        <v>-14992482.937280502</v>
      </c>
      <c r="F49" s="65">
        <f>H49-D49</f>
        <v>0</v>
      </c>
      <c r="G49" s="63">
        <f>I49-E49</f>
        <v>0</v>
      </c>
      <c r="H49" s="65">
        <f>D49</f>
        <v>-5158229</v>
      </c>
      <c r="I49" s="66">
        <f>E49</f>
        <v>-14992482.937280502</v>
      </c>
      <c r="J49" s="60"/>
      <c r="K49" s="38"/>
      <c r="L49" s="60">
        <f>H49+J49</f>
        <v>-5158229</v>
      </c>
      <c r="M49" s="38">
        <f>I49+K49</f>
        <v>-14992482.937280502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-80</v>
      </c>
      <c r="E51" s="38">
        <v>0</v>
      </c>
      <c r="F51" s="65">
        <f>H51-D51</f>
        <v>0</v>
      </c>
      <c r="G51" s="63">
        <f>I51-E51</f>
        <v>0</v>
      </c>
      <c r="H51" s="65">
        <f>D51</f>
        <v>-80</v>
      </c>
      <c r="I51" s="66">
        <f>E51</f>
        <v>0</v>
      </c>
      <c r="J51" s="60"/>
      <c r="K51" s="38"/>
      <c r="L51" s="60">
        <f>H51+J51</f>
        <v>-80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-1210108.6200000001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-1210108.6200000001</v>
      </c>
      <c r="J70" s="60"/>
      <c r="K70" s="38"/>
      <c r="L70" s="60">
        <f t="shared" si="20"/>
        <v>0</v>
      </c>
      <c r="M70" s="38">
        <f t="shared" si="20"/>
        <v>-1210108.6200000001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876740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876740</v>
      </c>
      <c r="J71" s="60"/>
      <c r="K71" s="38"/>
      <c r="L71" s="60">
        <f t="shared" si="20"/>
        <v>0</v>
      </c>
      <c r="M71" s="38">
        <f t="shared" si="20"/>
        <v>876740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-333368.62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-333368.62000000011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-333368.62000000011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-619419.84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-619419.84</v>
      </c>
      <c r="J74" s="60"/>
      <c r="K74" s="38"/>
      <c r="L74" s="60">
        <f t="shared" si="23"/>
        <v>0</v>
      </c>
      <c r="M74" s="38">
        <f t="shared" si="23"/>
        <v>-619419.84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697272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697272</v>
      </c>
      <c r="J81" s="60"/>
      <c r="K81" s="38"/>
      <c r="L81" s="60">
        <f t="shared" si="23"/>
        <v>0</v>
      </c>
      <c r="M81" s="38">
        <f t="shared" si="23"/>
        <v>697272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-2201434.2672805004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-2201434.2672805004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-2201434.2672805004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3279418.4917017389</v>
      </c>
    </row>
    <row r="86" spans="1:67" s="3" customFormat="1" x14ac:dyDescent="0.2">
      <c r="A86" s="168"/>
      <c r="C86" s="10" t="s">
        <v>166</v>
      </c>
      <c r="D86" s="172">
        <v>0</v>
      </c>
      <c r="E86" s="172">
        <v>-152498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-152498</v>
      </c>
      <c r="J86" s="172"/>
      <c r="K86" s="172"/>
      <c r="L86" s="172">
        <f t="shared" ref="L86:M88" si="27">H86+J86</f>
        <v>0</v>
      </c>
      <c r="M86" s="172">
        <f t="shared" si="27"/>
        <v>-152498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8">SUM(E86:E88)</f>
        <v>-152498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-152498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-152498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9">+E82+E89</f>
        <v>-2353932.2672805004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-2353932.2672805004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-2353932.2672805004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-1089399</v>
      </c>
      <c r="E11" s="60">
        <v>-567411.36000001431</v>
      </c>
      <c r="F11" s="60">
        <f>H11-D11</f>
        <v>0</v>
      </c>
      <c r="G11" s="37">
        <f>I11-E11</f>
        <v>0</v>
      </c>
      <c r="H11" s="65">
        <f>D11</f>
        <v>-1089399</v>
      </c>
      <c r="I11" s="66">
        <f>E11</f>
        <v>-567411.36000001431</v>
      </c>
      <c r="J11" s="60"/>
      <c r="K11" s="38"/>
      <c r="L11" s="60">
        <f t="shared" ref="L11:M15" si="0">H11+J11</f>
        <v>-1089399</v>
      </c>
      <c r="M11" s="38">
        <f t="shared" si="0"/>
        <v>-567411.36000001431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-15000</v>
      </c>
      <c r="E13" s="60">
        <v>-44650</v>
      </c>
      <c r="F13" s="60">
        <f t="shared" si="1"/>
        <v>0</v>
      </c>
      <c r="G13" s="37">
        <f t="shared" si="1"/>
        <v>0</v>
      </c>
      <c r="H13" s="65">
        <f t="shared" si="2"/>
        <v>-15000</v>
      </c>
      <c r="I13" s="66">
        <f t="shared" si="2"/>
        <v>-44650</v>
      </c>
      <c r="J13" s="60"/>
      <c r="K13" s="38"/>
      <c r="L13" s="60">
        <f t="shared" si="0"/>
        <v>-15000</v>
      </c>
      <c r="M13" s="38">
        <f t="shared" si="0"/>
        <v>-44650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v>-1104399</v>
      </c>
      <c r="E16" s="39">
        <v>-492061.36000001431</v>
      </c>
      <c r="F16" s="61">
        <f t="shared" ref="F16:M16" si="3">SUM(F11:F15)</f>
        <v>0</v>
      </c>
      <c r="G16" s="39">
        <f t="shared" si="3"/>
        <v>0</v>
      </c>
      <c r="H16" s="61">
        <f>SUM(H11:H15)</f>
        <v>-1104399</v>
      </c>
      <c r="I16" s="39">
        <f>SUM(I11:I15)</f>
        <v>-492061.36000001431</v>
      </c>
      <c r="J16" s="61">
        <f t="shared" si="3"/>
        <v>0</v>
      </c>
      <c r="K16" s="39">
        <f t="shared" si="3"/>
        <v>0</v>
      </c>
      <c r="L16" s="61">
        <f t="shared" si="3"/>
        <v>-1104399</v>
      </c>
      <c r="M16" s="39">
        <f t="shared" si="3"/>
        <v>-492061.36000001431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120147</v>
      </c>
      <c r="E19" s="60">
        <v>3111548</v>
      </c>
      <c r="F19" s="60">
        <f>H19-D19</f>
        <v>0</v>
      </c>
      <c r="G19" s="37">
        <f>I19-E19</f>
        <v>0</v>
      </c>
      <c r="H19" s="65">
        <f t="shared" si="4"/>
        <v>120147</v>
      </c>
      <c r="I19" s="66">
        <f t="shared" si="4"/>
        <v>3111548</v>
      </c>
      <c r="J19" s="60"/>
      <c r="K19" s="38"/>
      <c r="L19" s="60">
        <f t="shared" ref="L19:M23" si="5">H19+J19</f>
        <v>120147</v>
      </c>
      <c r="M19" s="38">
        <f t="shared" si="5"/>
        <v>3111548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11290</v>
      </c>
      <c r="E21" s="60">
        <v>27847.600000000093</v>
      </c>
      <c r="F21" s="60">
        <f t="shared" si="6"/>
        <v>0</v>
      </c>
      <c r="G21" s="37">
        <f t="shared" si="6"/>
        <v>0</v>
      </c>
      <c r="H21" s="65">
        <f t="shared" si="4"/>
        <v>11290</v>
      </c>
      <c r="I21" s="66">
        <f t="shared" si="4"/>
        <v>27847.600000000093</v>
      </c>
      <c r="J21" s="60"/>
      <c r="K21" s="38"/>
      <c r="L21" s="60">
        <f t="shared" si="5"/>
        <v>11290</v>
      </c>
      <c r="M21" s="38">
        <f t="shared" si="5"/>
        <v>27847.600000000093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-74</v>
      </c>
      <c r="E23" s="60">
        <v>-186.29000000000087</v>
      </c>
      <c r="F23" s="60">
        <f t="shared" si="6"/>
        <v>0</v>
      </c>
      <c r="G23" s="37">
        <f t="shared" si="6"/>
        <v>0</v>
      </c>
      <c r="H23" s="65">
        <f t="shared" si="4"/>
        <v>-74</v>
      </c>
      <c r="I23" s="66">
        <f t="shared" si="4"/>
        <v>-186.29000000000087</v>
      </c>
      <c r="J23" s="60"/>
      <c r="K23" s="38"/>
      <c r="L23" s="60">
        <f t="shared" si="5"/>
        <v>-74</v>
      </c>
      <c r="M23" s="38">
        <f t="shared" si="5"/>
        <v>-186.29000000000087</v>
      </c>
    </row>
    <row r="24" spans="1:13" x14ac:dyDescent="0.2">
      <c r="A24" s="9"/>
      <c r="B24" s="7" t="s">
        <v>33</v>
      </c>
      <c r="C24" s="6"/>
      <c r="D24" s="61">
        <v>131363</v>
      </c>
      <c r="E24" s="39">
        <v>3139209.31</v>
      </c>
      <c r="F24" s="61">
        <f t="shared" ref="F24:M24" si="7">SUM(F19:F23)</f>
        <v>0</v>
      </c>
      <c r="G24" s="39">
        <f t="shared" si="7"/>
        <v>0</v>
      </c>
      <c r="H24" s="61">
        <f>SUM(H19:H23)</f>
        <v>131363</v>
      </c>
      <c r="I24" s="39">
        <f>SUM(I19:I23)</f>
        <v>3139209.31</v>
      </c>
      <c r="J24" s="61">
        <f t="shared" si="7"/>
        <v>0</v>
      </c>
      <c r="K24" s="39">
        <f t="shared" si="7"/>
        <v>0</v>
      </c>
      <c r="L24" s="61">
        <f t="shared" si="7"/>
        <v>131363</v>
      </c>
      <c r="M24" s="39">
        <f t="shared" si="7"/>
        <v>3139209.31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-5967750</v>
      </c>
      <c r="E27" s="60">
        <v>-17708650.780000001</v>
      </c>
      <c r="F27" s="60">
        <f>H27-D27</f>
        <v>0</v>
      </c>
      <c r="G27" s="37">
        <f>I27-E27</f>
        <v>0</v>
      </c>
      <c r="H27" s="65">
        <f>D27</f>
        <v>-5967750</v>
      </c>
      <c r="I27" s="66">
        <f>E27</f>
        <v>-17708650.780000001</v>
      </c>
      <c r="J27" s="60"/>
      <c r="K27" s="38"/>
      <c r="L27" s="60">
        <f>H27+J27</f>
        <v>-5967750</v>
      </c>
      <c r="M27" s="38">
        <f>I27+K27</f>
        <v>-17708650.780000001</v>
      </c>
    </row>
    <row r="28" spans="1:13" x14ac:dyDescent="0.2">
      <c r="A28" s="9">
        <v>12</v>
      </c>
      <c r="B28" s="7"/>
      <c r="C28" s="18" t="s">
        <v>36</v>
      </c>
      <c r="D28" s="60">
        <v>5967750</v>
      </c>
      <c r="E28" s="60">
        <v>17708652.699999999</v>
      </c>
      <c r="F28" s="60">
        <f>H28-D28</f>
        <v>0</v>
      </c>
      <c r="G28" s="37">
        <f>I28-E28</f>
        <v>0</v>
      </c>
      <c r="H28" s="65">
        <f>D28</f>
        <v>5967750</v>
      </c>
      <c r="I28" s="66">
        <f>E28</f>
        <v>17708652.699999999</v>
      </c>
      <c r="J28" s="60"/>
      <c r="K28" s="38"/>
      <c r="L28" s="60">
        <f>H28+J28</f>
        <v>5967750</v>
      </c>
      <c r="M28" s="38">
        <f>I28+K28</f>
        <v>17708652.699999999</v>
      </c>
    </row>
    <row r="29" spans="1:13" x14ac:dyDescent="0.2">
      <c r="A29" s="9"/>
      <c r="B29" s="7" t="s">
        <v>37</v>
      </c>
      <c r="C29" s="6"/>
      <c r="D29" s="61">
        <v>0</v>
      </c>
      <c r="E29" s="39">
        <v>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1.919999998062849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45000</v>
      </c>
      <c r="E39" s="60">
        <v>136350</v>
      </c>
      <c r="F39" s="60">
        <f t="shared" ref="F39:G41" si="13">H39-D39</f>
        <v>0</v>
      </c>
      <c r="G39" s="37">
        <f t="shared" si="13"/>
        <v>0</v>
      </c>
      <c r="H39" s="65">
        <f t="shared" si="12"/>
        <v>45000</v>
      </c>
      <c r="I39" s="66">
        <f t="shared" si="12"/>
        <v>136350</v>
      </c>
      <c r="J39" s="60"/>
      <c r="K39" s="38"/>
      <c r="L39" s="60">
        <f t="shared" ref="L39:M41" si="14">H39+J39</f>
        <v>45000</v>
      </c>
      <c r="M39" s="38">
        <f t="shared" si="14"/>
        <v>136350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45000</v>
      </c>
      <c r="E43" s="39">
        <v>136350</v>
      </c>
      <c r="F43" s="61">
        <f t="shared" ref="F43:M43" si="16">F42+F39</f>
        <v>0</v>
      </c>
      <c r="G43" s="39">
        <f t="shared" si="16"/>
        <v>0</v>
      </c>
      <c r="H43" s="61">
        <f>H42+H39</f>
        <v>45000</v>
      </c>
      <c r="I43" s="39">
        <f>I42+I39</f>
        <v>136350</v>
      </c>
      <c r="J43" s="61">
        <f t="shared" si="16"/>
        <v>0</v>
      </c>
      <c r="K43" s="39">
        <f t="shared" si="16"/>
        <v>0</v>
      </c>
      <c r="L43" s="61">
        <f t="shared" si="16"/>
        <v>45000</v>
      </c>
      <c r="M43" s="39">
        <f t="shared" si="16"/>
        <v>136350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928036</v>
      </c>
      <c r="E49" s="60">
        <v>2697352.888982255</v>
      </c>
      <c r="F49" s="60">
        <f>H49-D49</f>
        <v>0</v>
      </c>
      <c r="G49" s="37">
        <f>I49-E49</f>
        <v>0</v>
      </c>
      <c r="H49" s="65">
        <f>D49</f>
        <v>928036</v>
      </c>
      <c r="I49" s="66">
        <f>E49</f>
        <v>2697352.888982255</v>
      </c>
      <c r="J49" s="60"/>
      <c r="K49" s="38"/>
      <c r="L49" s="60">
        <f>H49+J49</f>
        <v>928036</v>
      </c>
      <c r="M49" s="38">
        <f>I49+K49</f>
        <v>2697352.888982255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80</v>
      </c>
      <c r="E51" s="60">
        <v>0</v>
      </c>
      <c r="F51" s="60">
        <f>H51-D51</f>
        <v>0</v>
      </c>
      <c r="G51" s="37">
        <f>I51-E51</f>
        <v>0</v>
      </c>
      <c r="H51" s="65">
        <f>D51</f>
        <v>80</v>
      </c>
      <c r="I51" s="66">
        <f>E51</f>
        <v>0</v>
      </c>
      <c r="J51" s="60"/>
      <c r="K51" s="38"/>
      <c r="L51" s="60">
        <f>H51+J51</f>
        <v>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5480852.7589822393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5480852.7589822393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5480852.7589822393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72518438</v>
      </c>
      <c r="E11" s="60">
        <v>185499709</v>
      </c>
      <c r="F11" s="60">
        <f>H11-D11</f>
        <v>0</v>
      </c>
      <c r="G11" s="37">
        <f>I11-E11</f>
        <v>0</v>
      </c>
      <c r="H11" s="65">
        <f>D11</f>
        <v>72518438</v>
      </c>
      <c r="I11" s="66">
        <f>E11</f>
        <v>185499709</v>
      </c>
      <c r="J11" s="60"/>
      <c r="K11" s="38"/>
      <c r="L11" s="60">
        <f t="shared" ref="L11:M15" si="0">H11+J11</f>
        <v>72518438</v>
      </c>
      <c r="M11" s="38">
        <f t="shared" si="0"/>
        <v>185499709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447399</v>
      </c>
      <c r="E13" s="60">
        <v>968613</v>
      </c>
      <c r="F13" s="60">
        <f t="shared" si="1"/>
        <v>0</v>
      </c>
      <c r="G13" s="37">
        <f t="shared" si="1"/>
        <v>0</v>
      </c>
      <c r="H13" s="65">
        <f t="shared" si="2"/>
        <v>447399</v>
      </c>
      <c r="I13" s="66">
        <f t="shared" si="2"/>
        <v>968613</v>
      </c>
      <c r="J13" s="60"/>
      <c r="K13" s="38"/>
      <c r="L13" s="60">
        <f t="shared" si="0"/>
        <v>447399</v>
      </c>
      <c r="M13" s="38">
        <f t="shared" si="0"/>
        <v>968613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72965837</v>
      </c>
      <c r="E16" s="39">
        <v>186468322</v>
      </c>
      <c r="F16" s="61">
        <f t="shared" ref="F16:M16" si="3">SUM(F11:F15)</f>
        <v>0</v>
      </c>
      <c r="G16" s="39">
        <f t="shared" si="3"/>
        <v>0</v>
      </c>
      <c r="H16" s="61">
        <f>SUM(H11:H15)</f>
        <v>72965837</v>
      </c>
      <c r="I16" s="39">
        <f>SUM(I11:I15)</f>
        <v>186468322</v>
      </c>
      <c r="J16" s="61">
        <f t="shared" si="3"/>
        <v>0</v>
      </c>
      <c r="K16" s="39">
        <f t="shared" si="3"/>
        <v>0</v>
      </c>
      <c r="L16" s="61">
        <f t="shared" si="3"/>
        <v>72965837</v>
      </c>
      <c r="M16" s="39">
        <f t="shared" si="3"/>
        <v>186468322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-79116150</v>
      </c>
      <c r="E19" s="60">
        <v>-201857085</v>
      </c>
      <c r="F19" s="60">
        <f>H19-D19</f>
        <v>0</v>
      </c>
      <c r="G19" s="37">
        <f>I19-E19</f>
        <v>0</v>
      </c>
      <c r="H19" s="65">
        <f t="shared" si="4"/>
        <v>-79116150</v>
      </c>
      <c r="I19" s="66">
        <f t="shared" si="4"/>
        <v>-201857085</v>
      </c>
      <c r="J19" s="60"/>
      <c r="K19" s="38"/>
      <c r="L19" s="60">
        <f t="shared" ref="L19:M23" si="5">H19+J19</f>
        <v>-79116150</v>
      </c>
      <c r="M19" s="38">
        <f t="shared" si="5"/>
        <v>-201857085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-1209517</v>
      </c>
      <c r="E21" s="60">
        <v>-2578691</v>
      </c>
      <c r="F21" s="60">
        <f t="shared" si="6"/>
        <v>0</v>
      </c>
      <c r="G21" s="37">
        <f t="shared" si="6"/>
        <v>0</v>
      </c>
      <c r="H21" s="65">
        <f t="shared" si="4"/>
        <v>-1209517</v>
      </c>
      <c r="I21" s="66">
        <f t="shared" si="4"/>
        <v>-2578691</v>
      </c>
      <c r="J21" s="60"/>
      <c r="K21" s="38"/>
      <c r="L21" s="60">
        <f t="shared" si="5"/>
        <v>-1209517</v>
      </c>
      <c r="M21" s="38">
        <f t="shared" si="5"/>
        <v>-2578691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20100</v>
      </c>
      <c r="E23" s="60">
        <v>42970</v>
      </c>
      <c r="F23" s="60">
        <f t="shared" si="6"/>
        <v>0</v>
      </c>
      <c r="G23" s="37">
        <f t="shared" si="6"/>
        <v>0</v>
      </c>
      <c r="H23" s="65">
        <f t="shared" si="4"/>
        <v>20100</v>
      </c>
      <c r="I23" s="66">
        <f t="shared" si="4"/>
        <v>42970</v>
      </c>
      <c r="J23" s="60"/>
      <c r="K23" s="38"/>
      <c r="L23" s="60">
        <f t="shared" si="5"/>
        <v>20100</v>
      </c>
      <c r="M23" s="38">
        <f t="shared" si="5"/>
        <v>42970</v>
      </c>
    </row>
    <row r="24" spans="1:13" x14ac:dyDescent="0.2">
      <c r="A24" s="9"/>
      <c r="B24" s="7" t="s">
        <v>33</v>
      </c>
      <c r="C24" s="6"/>
      <c r="D24" s="61">
        <v>-80305567</v>
      </c>
      <c r="E24" s="39">
        <v>-204392806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-80305567</v>
      </c>
      <c r="I24" s="39">
        <f>SUM(I19:I23)</f>
        <v>-204392806</v>
      </c>
      <c r="J24" s="61">
        <f t="shared" si="7"/>
        <v>0</v>
      </c>
      <c r="K24" s="39">
        <f t="shared" si="7"/>
        <v>0</v>
      </c>
      <c r="L24" s="61">
        <f t="shared" si="7"/>
        <v>-80305567</v>
      </c>
      <c r="M24" s="39">
        <f t="shared" si="7"/>
        <v>-204392806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6564419</v>
      </c>
      <c r="E27" s="60">
        <v>15242700</v>
      </c>
      <c r="F27" s="60">
        <f>H27-D27</f>
        <v>0</v>
      </c>
      <c r="G27" s="37">
        <f>I27-E27</f>
        <v>0</v>
      </c>
      <c r="H27" s="65">
        <f>D27</f>
        <v>6564419</v>
      </c>
      <c r="I27" s="66">
        <f>E27</f>
        <v>15242700</v>
      </c>
      <c r="J27" s="60"/>
      <c r="K27" s="38"/>
      <c r="L27" s="60">
        <f>H27+J27</f>
        <v>6564419</v>
      </c>
      <c r="M27" s="38">
        <f>I27+K27</f>
        <v>15242700</v>
      </c>
    </row>
    <row r="28" spans="1:13" x14ac:dyDescent="0.2">
      <c r="A28" s="9">
        <v>12</v>
      </c>
      <c r="B28" s="7"/>
      <c r="C28" s="18" t="s">
        <v>36</v>
      </c>
      <c r="D28" s="60">
        <v>-3320188</v>
      </c>
      <c r="E28" s="60">
        <v>-7466875</v>
      </c>
      <c r="F28" s="60">
        <f>H28-D28</f>
        <v>0</v>
      </c>
      <c r="G28" s="37">
        <f>I28-E28</f>
        <v>0</v>
      </c>
      <c r="H28" s="65">
        <f>D28</f>
        <v>-3320188</v>
      </c>
      <c r="I28" s="66">
        <f>E28</f>
        <v>-7466875</v>
      </c>
      <c r="J28" s="60"/>
      <c r="K28" s="38"/>
      <c r="L28" s="60">
        <f>H28+J28</f>
        <v>-3320188</v>
      </c>
      <c r="M28" s="38">
        <f>I28+K28</f>
        <v>-7466875</v>
      </c>
    </row>
    <row r="29" spans="1:13" x14ac:dyDescent="0.2">
      <c r="A29" s="9"/>
      <c r="B29" s="7" t="s">
        <v>37</v>
      </c>
      <c r="C29" s="6"/>
      <c r="D29" s="61">
        <v>3244231</v>
      </c>
      <c r="E29" s="39">
        <v>7775825</v>
      </c>
      <c r="F29" s="61">
        <f t="shared" ref="F29:M29" si="8">SUM(F27:F28)</f>
        <v>0</v>
      </c>
      <c r="G29" s="39">
        <f t="shared" si="8"/>
        <v>0</v>
      </c>
      <c r="H29" s="61">
        <f>SUM(H27:H28)</f>
        <v>3244231</v>
      </c>
      <c r="I29" s="39">
        <f>SUM(I27:I28)</f>
        <v>7775825</v>
      </c>
      <c r="J29" s="61">
        <f t="shared" si="8"/>
        <v>0</v>
      </c>
      <c r="K29" s="39">
        <f t="shared" si="8"/>
        <v>0</v>
      </c>
      <c r="L29" s="61">
        <f t="shared" si="8"/>
        <v>3244231</v>
      </c>
      <c r="M29" s="39">
        <f t="shared" si="8"/>
        <v>7775825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2259396</v>
      </c>
      <c r="E39" s="60">
        <v>6260727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2259396</v>
      </c>
      <c r="I39" s="66">
        <f t="shared" si="12"/>
        <v>6260727</v>
      </c>
      <c r="J39" s="60"/>
      <c r="K39" s="38"/>
      <c r="L39" s="60">
        <f t="shared" ref="L39:M41" si="14">H39+J39</f>
        <v>2259396</v>
      </c>
      <c r="M39" s="38">
        <f t="shared" si="14"/>
        <v>6260727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-2550952</v>
      </c>
      <c r="E40" s="60">
        <v>-7697498</v>
      </c>
      <c r="F40" s="60">
        <f t="shared" si="13"/>
        <v>0</v>
      </c>
      <c r="G40" s="37">
        <f t="shared" si="13"/>
        <v>0</v>
      </c>
      <c r="H40" s="65">
        <f t="shared" si="12"/>
        <v>-2550952</v>
      </c>
      <c r="I40" s="66">
        <f t="shared" si="12"/>
        <v>-7697498</v>
      </c>
      <c r="J40" s="60"/>
      <c r="K40" s="38"/>
      <c r="L40" s="60">
        <f t="shared" si="14"/>
        <v>-2550952</v>
      </c>
      <c r="M40" s="38">
        <f t="shared" si="14"/>
        <v>-7697498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-2550952</v>
      </c>
      <c r="E42" s="39">
        <v>-7697498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-2550952</v>
      </c>
      <c r="I42" s="39">
        <f>SUM(I40:I41)</f>
        <v>-7697498</v>
      </c>
      <c r="J42" s="61">
        <f t="shared" si="15"/>
        <v>0</v>
      </c>
      <c r="K42" s="39">
        <f t="shared" si="15"/>
        <v>0</v>
      </c>
      <c r="L42" s="61">
        <f t="shared" si="15"/>
        <v>-2550952</v>
      </c>
      <c r="M42" s="39">
        <f t="shared" si="15"/>
        <v>-7697498</v>
      </c>
    </row>
    <row r="43" spans="1:13" ht="21" customHeight="1" x14ac:dyDescent="0.2">
      <c r="A43" s="9"/>
      <c r="B43" s="7" t="s">
        <v>49</v>
      </c>
      <c r="C43" s="6"/>
      <c r="D43" s="61">
        <v>-291556</v>
      </c>
      <c r="E43" s="39">
        <v>-1436771</v>
      </c>
      <c r="F43" s="61">
        <f t="shared" ref="F43:M43" si="16">F42+F39</f>
        <v>0</v>
      </c>
      <c r="G43" s="39">
        <f t="shared" si="16"/>
        <v>0</v>
      </c>
      <c r="H43" s="61">
        <f>H42+H39</f>
        <v>-291556</v>
      </c>
      <c r="I43" s="39">
        <f>I42+I39</f>
        <v>-1436771</v>
      </c>
      <c r="J43" s="61">
        <f t="shared" si="16"/>
        <v>0</v>
      </c>
      <c r="K43" s="39">
        <f t="shared" si="16"/>
        <v>0</v>
      </c>
      <c r="L43" s="61">
        <f t="shared" si="16"/>
        <v>-291556</v>
      </c>
      <c r="M43" s="39">
        <f t="shared" si="16"/>
        <v>-1436771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4387055</v>
      </c>
      <c r="E49" s="60">
        <v>12751052.198809147</v>
      </c>
      <c r="F49" s="60">
        <f>H49-D49</f>
        <v>0</v>
      </c>
      <c r="G49" s="37">
        <f>I49-E49</f>
        <v>0</v>
      </c>
      <c r="H49" s="65">
        <f>D49</f>
        <v>4387055</v>
      </c>
      <c r="I49" s="66">
        <f>E49</f>
        <v>12751052.198809147</v>
      </c>
      <c r="J49" s="60"/>
      <c r="K49" s="38"/>
      <c r="L49" s="60">
        <f>H49+J49</f>
        <v>4387055</v>
      </c>
      <c r="M49" s="38">
        <f>I49+K49</f>
        <v>12751052.198809147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-1893243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-1893243</v>
      </c>
      <c r="J54" s="60"/>
      <c r="K54" s="38"/>
      <c r="L54" s="60">
        <f>H54+J54</f>
        <v>0</v>
      </c>
      <c r="M54" s="38">
        <f>I54+K54</f>
        <v>-1893243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-1893243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-1893243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-1893243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-835920.80119085312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-835920.80119085312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-835920.80119085312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84196417</v>
      </c>
      <c r="E11" s="38">
        <f>'TX-EGM-FLSH'!E11+'TX-HPLR-FLSH'!E11+'TX-HPLC-FLSH'!E11</f>
        <v>218187562</v>
      </c>
      <c r="F11" s="60">
        <f>H11-D11</f>
        <v>0</v>
      </c>
      <c r="G11" s="37">
        <f>I11-E11</f>
        <v>0</v>
      </c>
      <c r="H11" s="60">
        <f>'TX-EGM-FLSH'!H11+'TX-HPLR-FLSH'!H11+'TX-HPLC-FLSH'!H11</f>
        <v>84196417</v>
      </c>
      <c r="I11" s="38">
        <f>'TX-EGM-FLSH'!I11+'TX-HPLR-FLSH'!I11+'TX-HPLC-FLSH'!I11</f>
        <v>218187562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84196417</v>
      </c>
      <c r="M11" s="38">
        <f t="shared" si="0"/>
        <v>218187562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447399</v>
      </c>
      <c r="E13" s="38">
        <f>'TX-EGM-FLSH'!E13+'TX-HPLR-FLSH'!E13+'TX-HPLC-FLSH'!E13</f>
        <v>968613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447399</v>
      </c>
      <c r="I13" s="38">
        <f>'TX-EGM-FLSH'!I13+'TX-HPLR-FLSH'!I13+'TX-HPLC-FLSH'!I13</f>
        <v>968613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447399</v>
      </c>
      <c r="M13" s="38">
        <f t="shared" si="0"/>
        <v>968613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120000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120000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30</v>
      </c>
      <c r="C16" s="6"/>
      <c r="D16" s="61">
        <f>SUM(D11:D15)</f>
        <v>84643816</v>
      </c>
      <c r="E16" s="39">
        <f>SUM(E11:E15)</f>
        <v>219276175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84643816</v>
      </c>
      <c r="I16" s="39">
        <f t="shared" si="2"/>
        <v>219276175</v>
      </c>
      <c r="J16" s="61">
        <f t="shared" si="2"/>
        <v>0</v>
      </c>
      <c r="K16" s="39">
        <f t="shared" si="2"/>
        <v>0</v>
      </c>
      <c r="L16" s="61">
        <f t="shared" si="2"/>
        <v>84643816</v>
      </c>
      <c r="M16" s="39">
        <f t="shared" si="2"/>
        <v>219276175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-86608942</v>
      </c>
      <c r="E19" s="38">
        <f>'TX-EGM-FLSH'!E19+'TX-HPLR-FLSH'!E19+'TX-HPLC-FLSH'!E19</f>
        <v>-218971235</v>
      </c>
      <c r="F19" s="60">
        <f>H19-D19</f>
        <v>0</v>
      </c>
      <c r="G19" s="37">
        <f>I19-E19</f>
        <v>0</v>
      </c>
      <c r="H19" s="60">
        <f>'TX-EGM-FLSH'!H19+'TX-HPLR-FLSH'!H19+'TX-HPLC-FLSH'!H19</f>
        <v>-86608942</v>
      </c>
      <c r="I19" s="38">
        <f>'TX-EGM-FLSH'!I19+'TX-HPLR-FLSH'!I19+'TX-HPLC-FLSH'!I19</f>
        <v>-218971235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-86608942</v>
      </c>
      <c r="M19" s="38">
        <f t="shared" si="3"/>
        <v>-218971235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-1209517</v>
      </c>
      <c r="E21" s="38">
        <f>'TX-EGM-FLSH'!E21+'TX-HPLR-FLSH'!E21+'TX-HPLC-FLSH'!E21</f>
        <v>-2578691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-1209517</v>
      </c>
      <c r="I21" s="38">
        <f>'TX-EGM-FLSH'!I21+'TX-HPLR-FLSH'!I21+'TX-HPLC-FLSH'!I21</f>
        <v>-2578691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-1209517</v>
      </c>
      <c r="M21" s="38">
        <f t="shared" si="3"/>
        <v>-2578691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20106</v>
      </c>
      <c r="E23" s="38">
        <f>'TX-EGM-FLSH'!E23+'TX-HPLR-FLSH'!E23+'TX-HPLC-FLSH'!E23</f>
        <v>42982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20106</v>
      </c>
      <c r="I23" s="38">
        <f>'TX-EGM-FLSH'!I23+'TX-HPLR-FLSH'!I23+'TX-HPLC-FLSH'!I23</f>
        <v>42982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20106</v>
      </c>
      <c r="M23" s="38">
        <f t="shared" si="3"/>
        <v>42982</v>
      </c>
    </row>
    <row r="24" spans="1:13" x14ac:dyDescent="0.2">
      <c r="A24" s="9"/>
      <c r="B24" s="7" t="s">
        <v>33</v>
      </c>
      <c r="C24" s="6"/>
      <c r="D24" s="61">
        <f>SUM(D19:D23)</f>
        <v>-87798353</v>
      </c>
      <c r="E24" s="39">
        <f>SUM(E19:E23)</f>
        <v>-221506944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-87798353</v>
      </c>
      <c r="I24" s="39">
        <f t="shared" si="5"/>
        <v>-221506944</v>
      </c>
      <c r="J24" s="61">
        <f t="shared" si="5"/>
        <v>0</v>
      </c>
      <c r="K24" s="39">
        <f t="shared" si="5"/>
        <v>0</v>
      </c>
      <c r="L24" s="61">
        <f t="shared" si="5"/>
        <v>-87798353</v>
      </c>
      <c r="M24" s="39">
        <f t="shared" si="5"/>
        <v>-221506944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10289666</v>
      </c>
      <c r="E27" s="38">
        <f>'TX-EGM-FLSH'!E27+'TX-HPLR-FLSH'!E27+'TX-HPLC-FLSH'!E27</f>
        <v>23405182</v>
      </c>
      <c r="F27" s="60">
        <f>H27-D27</f>
        <v>0</v>
      </c>
      <c r="G27" s="37">
        <f>I27-E27</f>
        <v>0</v>
      </c>
      <c r="H27" s="60">
        <f>'TX-EGM-FLSH'!H27+'TX-HPLR-FLSH'!H27+'TX-HPLC-FLSH'!H27</f>
        <v>10289666</v>
      </c>
      <c r="I27" s="38">
        <f>'TX-EGM-FLSH'!I27+'TX-HPLR-FLSH'!I27+'TX-HPLC-FLSH'!I27</f>
        <v>23405182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10289666</v>
      </c>
      <c r="M27" s="38">
        <f>I27+K27</f>
        <v>23405182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-7045435</v>
      </c>
      <c r="E28" s="38">
        <f>'TX-EGM-FLSH'!E28+'TX-HPLR-FLSH'!E28+'TX-HPLC-FLSH'!E28</f>
        <v>-15629357</v>
      </c>
      <c r="F28" s="60">
        <f>H28-D28</f>
        <v>0</v>
      </c>
      <c r="G28" s="37">
        <f>I28-E28</f>
        <v>0</v>
      </c>
      <c r="H28" s="60">
        <f>'TX-EGM-FLSH'!H28+'TX-HPLR-FLSH'!H28+'TX-HPLC-FLSH'!H28</f>
        <v>-7045435</v>
      </c>
      <c r="I28" s="38">
        <f>'TX-EGM-FLSH'!I28+'TX-HPLR-FLSH'!I28+'TX-HPLC-FLSH'!I28</f>
        <v>-15629357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-7045435</v>
      </c>
      <c r="M28" s="38">
        <f>I28+K28</f>
        <v>-15629357</v>
      </c>
    </row>
    <row r="29" spans="1:13" x14ac:dyDescent="0.2">
      <c r="A29" s="9"/>
      <c r="B29" s="7" t="s">
        <v>37</v>
      </c>
      <c r="C29" s="6"/>
      <c r="D29" s="61">
        <f>SUM(D27:D28)</f>
        <v>3244231</v>
      </c>
      <c r="E29" s="39">
        <f>SUM(E27:E28)</f>
        <v>7775825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3244231</v>
      </c>
      <c r="I29" s="39">
        <f t="shared" si="6"/>
        <v>7775825</v>
      </c>
      <c r="J29" s="61">
        <f t="shared" si="6"/>
        <v>0</v>
      </c>
      <c r="K29" s="39">
        <f t="shared" si="6"/>
        <v>0</v>
      </c>
      <c r="L29" s="61">
        <f t="shared" si="6"/>
        <v>3244231</v>
      </c>
      <c r="M29" s="39">
        <f t="shared" si="6"/>
        <v>7775825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2304396</v>
      </c>
      <c r="E39" s="38">
        <f>'TX-EGM-FLSH'!E39+'TX-HPLR-FLSH'!E39+'TX-HPLC-FLSH'!E39</f>
        <v>6397077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2304396</v>
      </c>
      <c r="I39" s="38">
        <f>'TX-EGM-FLSH'!I39+'TX-HPLR-FLSH'!I39+'TX-HPLC-FLSH'!I39</f>
        <v>6397077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2304396</v>
      </c>
      <c r="M39" s="38">
        <f t="shared" si="11"/>
        <v>6397077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-2550952</v>
      </c>
      <c r="E40" s="38">
        <f>'TX-EGM-FLSH'!E40+'TX-HPLR-FLSH'!E40+'TX-HPLC-FLSH'!E40</f>
        <v>-7697498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-2550952</v>
      </c>
      <c r="I40" s="38">
        <f>'TX-EGM-FLSH'!I40+'TX-HPLR-FLSH'!I40+'TX-HPLC-FLSH'!I40</f>
        <v>-7697498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-2550952</v>
      </c>
      <c r="M40" s="38">
        <f t="shared" si="11"/>
        <v>-7697498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-2550952</v>
      </c>
      <c r="E42" s="39">
        <f>SUM(E40:E41)</f>
        <v>-7697498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-2550952</v>
      </c>
      <c r="I42" s="39">
        <f t="shared" si="12"/>
        <v>-7697498</v>
      </c>
      <c r="J42" s="61">
        <f t="shared" si="12"/>
        <v>0</v>
      </c>
      <c r="K42" s="39">
        <f t="shared" si="12"/>
        <v>0</v>
      </c>
      <c r="L42" s="61">
        <f t="shared" si="12"/>
        <v>-2550952</v>
      </c>
      <c r="M42" s="39">
        <f t="shared" si="12"/>
        <v>-7697498</v>
      </c>
    </row>
    <row r="43" spans="1:13" ht="21" customHeight="1" x14ac:dyDescent="0.2">
      <c r="A43" s="9"/>
      <c r="B43" s="7" t="s">
        <v>49</v>
      </c>
      <c r="C43" s="6"/>
      <c r="D43" s="61">
        <f>D42+D39</f>
        <v>-246556</v>
      </c>
      <c r="E43" s="39">
        <f>E42+E39</f>
        <v>-1300421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-246556</v>
      </c>
      <c r="I43" s="39">
        <f t="shared" si="13"/>
        <v>-1300421</v>
      </c>
      <c r="J43" s="61">
        <f t="shared" si="13"/>
        <v>0</v>
      </c>
      <c r="K43" s="39">
        <f t="shared" si="13"/>
        <v>0</v>
      </c>
      <c r="L43" s="61">
        <f t="shared" si="13"/>
        <v>-246556</v>
      </c>
      <c r="M43" s="39">
        <f t="shared" si="13"/>
        <v>-1300421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156862</v>
      </c>
      <c r="E49" s="38">
        <f>'TX-EGM-FLSH'!E49+'TX-HPLR-FLSH'!E49+'TX-HPLC-FLSH'!E49</f>
        <v>455922.15051089972</v>
      </c>
      <c r="F49" s="60">
        <f>H49-D49</f>
        <v>0</v>
      </c>
      <c r="G49" s="37">
        <f>I49-E49</f>
        <v>0</v>
      </c>
      <c r="H49" s="60">
        <f>'TX-EGM-FLSH'!H49+'TX-HPLR-FLSH'!H49+'TX-HPLC-FLSH'!H49</f>
        <v>156862</v>
      </c>
      <c r="I49" s="38">
        <f>'TX-EGM-FLSH'!I49+'TX-HPLR-FLSH'!I49+'TX-HPLC-FLSH'!I49</f>
        <v>455922.15051089972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156862</v>
      </c>
      <c r="M49" s="38">
        <f>I49+K49</f>
        <v>455922.15051089972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-1893243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-1893243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-1893243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-1893243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-1893243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-1893243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-1210108.6200000001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-1210108.6200000001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-1210108.6200000001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876740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876740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876740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-333368.62000000011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-333368.62000000011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-333368.62000000011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-619419.84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-619419.84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-619419.84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0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0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0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0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-108300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-108300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697272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697272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697272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2443497.6905108914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2443497.6905108914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2443497.6905108914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3279418.4917017389</v>
      </c>
    </row>
    <row r="86" spans="1:67" s="3" customFormat="1" x14ac:dyDescent="0.2">
      <c r="A86" s="168"/>
      <c r="C86" s="10" t="s">
        <v>166</v>
      </c>
      <c r="D86" s="172">
        <f>'TX-EGM-FLSH'!D86+'TX-HPLR-FLSH'!D86</f>
        <v>0</v>
      </c>
      <c r="E86" s="172">
        <f>'TX-EGM-FLSH'!E86+'TX-HPLR-FLSH'!E86</f>
        <v>-152498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-152498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-152498</v>
      </c>
    </row>
    <row r="87" spans="1:67" s="3" customFormat="1" x14ac:dyDescent="0.2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0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0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-152498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-152498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-152498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2290999.6905108914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2290999.6905108914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2290999.6905108914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30324706</v>
      </c>
      <c r="E11" s="65">
        <v>83109250</v>
      </c>
      <c r="F11" s="60">
        <f>H11-D11</f>
        <v>0</v>
      </c>
      <c r="G11" s="37">
        <f>I11-E11</f>
        <v>0</v>
      </c>
      <c r="H11" s="65">
        <f>D11</f>
        <v>30324706</v>
      </c>
      <c r="I11" s="66">
        <f>E11</f>
        <v>83109250</v>
      </c>
      <c r="J11" s="60"/>
      <c r="K11" s="38"/>
      <c r="L11" s="60">
        <f t="shared" ref="L11:M15" si="0">H11+J11</f>
        <v>30324706</v>
      </c>
      <c r="M11" s="38">
        <f t="shared" si="0"/>
        <v>83109250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14474230</v>
      </c>
      <c r="E13" s="65">
        <v>34297248</v>
      </c>
      <c r="F13" s="60">
        <f t="shared" si="1"/>
        <v>0</v>
      </c>
      <c r="G13" s="37">
        <f t="shared" si="1"/>
        <v>0</v>
      </c>
      <c r="H13" s="65">
        <f t="shared" si="2"/>
        <v>14474230</v>
      </c>
      <c r="I13" s="66">
        <f t="shared" si="2"/>
        <v>34297248</v>
      </c>
      <c r="J13" s="60"/>
      <c r="K13" s="38"/>
      <c r="L13" s="60">
        <f t="shared" si="0"/>
        <v>14474230</v>
      </c>
      <c r="M13" s="38">
        <f t="shared" si="0"/>
        <v>34297248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1109336.6599999999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1109336.6599999999</v>
      </c>
      <c r="J15" s="60"/>
      <c r="K15" s="38"/>
      <c r="L15" s="60">
        <f t="shared" si="0"/>
        <v>0</v>
      </c>
      <c r="M15" s="38">
        <f t="shared" si="0"/>
        <v>1109336.6599999999</v>
      </c>
    </row>
    <row r="16" spans="1:26" x14ac:dyDescent="0.2">
      <c r="A16" s="9"/>
      <c r="B16" s="7" t="s">
        <v>30</v>
      </c>
      <c r="C16" s="6"/>
      <c r="D16" s="61">
        <v>44798936</v>
      </c>
      <c r="E16" s="39">
        <v>118515834.66</v>
      </c>
      <c r="F16" s="61">
        <f t="shared" ref="F16:M16" si="3">SUM(F11:F15)</f>
        <v>0</v>
      </c>
      <c r="G16" s="39">
        <f t="shared" si="3"/>
        <v>0</v>
      </c>
      <c r="H16" s="61">
        <f>SUM(H11:H15)</f>
        <v>44798936</v>
      </c>
      <c r="I16" s="39">
        <f>SUM(I11:I15)</f>
        <v>118515834.66</v>
      </c>
      <c r="J16" s="61">
        <f t="shared" si="3"/>
        <v>0</v>
      </c>
      <c r="K16" s="39">
        <f t="shared" si="3"/>
        <v>0</v>
      </c>
      <c r="L16" s="61">
        <f t="shared" si="3"/>
        <v>44798936</v>
      </c>
      <c r="M16" s="39">
        <f t="shared" si="3"/>
        <v>118515834.66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-31503134</v>
      </c>
      <c r="E19" s="65">
        <v>-89103809</v>
      </c>
      <c r="F19" s="60">
        <f>H19-D19</f>
        <v>0</v>
      </c>
      <c r="G19" s="37">
        <f>I19-E19</f>
        <v>0</v>
      </c>
      <c r="H19" s="65">
        <f t="shared" si="4"/>
        <v>-31503134</v>
      </c>
      <c r="I19" s="66">
        <f t="shared" si="4"/>
        <v>-89103809</v>
      </c>
      <c r="J19" s="60"/>
      <c r="K19" s="38"/>
      <c r="L19" s="60">
        <f t="shared" ref="L19:M23" si="5">H19+J19</f>
        <v>-31503134</v>
      </c>
      <c r="M19" s="38">
        <f t="shared" si="5"/>
        <v>-89103809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-13692828</v>
      </c>
      <c r="E21" s="65">
        <v>-31908650</v>
      </c>
      <c r="F21" s="60">
        <f t="shared" si="6"/>
        <v>0</v>
      </c>
      <c r="G21" s="37">
        <f t="shared" si="6"/>
        <v>0</v>
      </c>
      <c r="H21" s="65">
        <f t="shared" si="4"/>
        <v>-13692828</v>
      </c>
      <c r="I21" s="66">
        <f t="shared" si="4"/>
        <v>-31908650</v>
      </c>
      <c r="J21" s="60"/>
      <c r="K21" s="38"/>
      <c r="L21" s="60">
        <f t="shared" si="5"/>
        <v>-13692828</v>
      </c>
      <c r="M21" s="38">
        <f t="shared" si="5"/>
        <v>-31908650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274339</v>
      </c>
      <c r="E23" s="65">
        <v>593522</v>
      </c>
      <c r="F23" s="60">
        <f t="shared" si="6"/>
        <v>0</v>
      </c>
      <c r="G23" s="37">
        <f t="shared" si="6"/>
        <v>0</v>
      </c>
      <c r="H23" s="65">
        <f t="shared" si="4"/>
        <v>274339</v>
      </c>
      <c r="I23" s="66">
        <f t="shared" si="4"/>
        <v>593522</v>
      </c>
      <c r="J23" s="60"/>
      <c r="K23" s="38"/>
      <c r="L23" s="60">
        <f t="shared" si="5"/>
        <v>274339</v>
      </c>
      <c r="M23" s="38">
        <f t="shared" si="5"/>
        <v>593522</v>
      </c>
    </row>
    <row r="24" spans="1:13" x14ac:dyDescent="0.2">
      <c r="A24" s="9"/>
      <c r="B24" s="7" t="s">
        <v>33</v>
      </c>
      <c r="C24" s="6"/>
      <c r="D24" s="61">
        <v>-44921623</v>
      </c>
      <c r="E24" s="39">
        <v>-120418937</v>
      </c>
      <c r="F24" s="61">
        <f t="shared" ref="F24:M24" si="7">SUM(F19:F23)</f>
        <v>0</v>
      </c>
      <c r="G24" s="39">
        <f t="shared" si="7"/>
        <v>0</v>
      </c>
      <c r="H24" s="61">
        <f>SUM(H19:H23)</f>
        <v>-44921623</v>
      </c>
      <c r="I24" s="39">
        <f>SUM(I19:I23)</f>
        <v>-120418937</v>
      </c>
      <c r="J24" s="61">
        <f t="shared" si="7"/>
        <v>0</v>
      </c>
      <c r="K24" s="39">
        <f t="shared" si="7"/>
        <v>0</v>
      </c>
      <c r="L24" s="61">
        <f t="shared" si="7"/>
        <v>-44921623</v>
      </c>
      <c r="M24" s="39">
        <f t="shared" si="7"/>
        <v>-120418937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13842</v>
      </c>
      <c r="E32" s="65">
        <v>36910</v>
      </c>
      <c r="F32" s="60">
        <f>H32-D32</f>
        <v>0</v>
      </c>
      <c r="G32" s="37">
        <f>I32-E32</f>
        <v>0</v>
      </c>
      <c r="H32" s="65">
        <f t="shared" ref="H32:I35" si="9">D32</f>
        <v>13842</v>
      </c>
      <c r="I32" s="66">
        <f t="shared" si="9"/>
        <v>36910</v>
      </c>
      <c r="J32" s="60"/>
      <c r="K32" s="38"/>
      <c r="L32" s="60">
        <f t="shared" ref="L32:M35" si="10">H32+J32</f>
        <v>13842</v>
      </c>
      <c r="M32" s="38">
        <f t="shared" si="10"/>
        <v>36910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51345</v>
      </c>
      <c r="E35" s="65">
        <v>92647</v>
      </c>
      <c r="F35" s="60">
        <f t="shared" si="11"/>
        <v>0</v>
      </c>
      <c r="G35" s="37">
        <f t="shared" si="11"/>
        <v>0</v>
      </c>
      <c r="H35" s="65">
        <f t="shared" si="9"/>
        <v>51345</v>
      </c>
      <c r="I35" s="66">
        <f t="shared" si="9"/>
        <v>92647</v>
      </c>
      <c r="J35" s="60"/>
      <c r="K35" s="38"/>
      <c r="L35" s="60">
        <f t="shared" si="10"/>
        <v>51345</v>
      </c>
      <c r="M35" s="38">
        <f t="shared" si="10"/>
        <v>92647</v>
      </c>
    </row>
    <row r="36" spans="1:13" x14ac:dyDescent="0.2">
      <c r="A36" s="9"/>
      <c r="B36" s="7" t="s">
        <v>43</v>
      </c>
      <c r="C36" s="6"/>
      <c r="D36" s="61">
        <v>65187</v>
      </c>
      <c r="E36" s="39">
        <v>129557</v>
      </c>
      <c r="F36" s="61">
        <f>SUM(F32:F35)</f>
        <v>0</v>
      </c>
      <c r="G36" s="39">
        <f>SUM(G32:G35)</f>
        <v>0</v>
      </c>
      <c r="H36" s="61">
        <f>SUM(H32:H35)</f>
        <v>65187</v>
      </c>
      <c r="I36" s="39">
        <f>SUM(I32:I35)</f>
        <v>129557</v>
      </c>
      <c r="J36" s="61">
        <f>SUM(J32:J34)</f>
        <v>0</v>
      </c>
      <c r="K36" s="39">
        <f>SUM(K32:K34)</f>
        <v>0</v>
      </c>
      <c r="L36" s="61">
        <f>SUM(L32:L35)</f>
        <v>65187</v>
      </c>
      <c r="M36" s="39">
        <f>SUM(M32:M35)</f>
        <v>129557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75417</v>
      </c>
      <c r="E39" s="65">
        <v>163490</v>
      </c>
      <c r="F39" s="60">
        <f t="shared" ref="F39:G41" si="13">H39-D39</f>
        <v>0</v>
      </c>
      <c r="G39" s="37">
        <f t="shared" si="13"/>
        <v>0</v>
      </c>
      <c r="H39" s="65">
        <f t="shared" si="12"/>
        <v>75417</v>
      </c>
      <c r="I39" s="66">
        <f t="shared" si="12"/>
        <v>163490</v>
      </c>
      <c r="J39" s="60"/>
      <c r="K39" s="38"/>
      <c r="L39" s="60">
        <f t="shared" ref="L39:M41" si="14">H39+J39</f>
        <v>75417</v>
      </c>
      <c r="M39" s="38">
        <f t="shared" si="14"/>
        <v>163490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-31776</v>
      </c>
      <c r="E40" s="65">
        <v>-66822</v>
      </c>
      <c r="F40" s="60">
        <f t="shared" si="13"/>
        <v>0</v>
      </c>
      <c r="G40" s="37">
        <f t="shared" si="13"/>
        <v>0</v>
      </c>
      <c r="H40" s="65">
        <f t="shared" si="12"/>
        <v>-31776</v>
      </c>
      <c r="I40" s="66">
        <f t="shared" si="12"/>
        <v>-66822</v>
      </c>
      <c r="J40" s="60"/>
      <c r="K40" s="38"/>
      <c r="L40" s="60">
        <f t="shared" si="14"/>
        <v>-31776</v>
      </c>
      <c r="M40" s="38">
        <f t="shared" si="14"/>
        <v>-66822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-31776</v>
      </c>
      <c r="E42" s="39">
        <v>-66822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-31776</v>
      </c>
      <c r="I42" s="39">
        <f>SUM(I40:I41)</f>
        <v>-66822</v>
      </c>
      <c r="J42" s="61">
        <f t="shared" si="15"/>
        <v>0</v>
      </c>
      <c r="K42" s="39">
        <f t="shared" si="15"/>
        <v>0</v>
      </c>
      <c r="L42" s="61">
        <f t="shared" si="15"/>
        <v>-31776</v>
      </c>
      <c r="M42" s="39">
        <f t="shared" si="15"/>
        <v>-66822</v>
      </c>
    </row>
    <row r="43" spans="1:13" ht="21" customHeight="1" x14ac:dyDescent="0.2">
      <c r="A43" s="9"/>
      <c r="B43" s="7" t="s">
        <v>49</v>
      </c>
      <c r="C43" s="6"/>
      <c r="D43" s="61">
        <v>43641</v>
      </c>
      <c r="E43" s="39">
        <v>96668</v>
      </c>
      <c r="F43" s="61">
        <f t="shared" ref="F43:M43" si="16">F42+F39</f>
        <v>0</v>
      </c>
      <c r="G43" s="39">
        <f t="shared" si="16"/>
        <v>0</v>
      </c>
      <c r="H43" s="61">
        <f>H42+H39</f>
        <v>43641</v>
      </c>
      <c r="I43" s="39">
        <f>I42+I39</f>
        <v>96668</v>
      </c>
      <c r="J43" s="61">
        <f t="shared" si="16"/>
        <v>0</v>
      </c>
      <c r="K43" s="39">
        <f t="shared" si="16"/>
        <v>0</v>
      </c>
      <c r="L43" s="61">
        <f t="shared" si="16"/>
        <v>43641</v>
      </c>
      <c r="M43" s="39">
        <f t="shared" si="16"/>
        <v>96668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13859</v>
      </c>
      <c r="E49" s="65">
        <v>40037.479267444913</v>
      </c>
      <c r="F49" s="60">
        <f>H49-D49</f>
        <v>0</v>
      </c>
      <c r="G49" s="37">
        <f>I49-E49</f>
        <v>0</v>
      </c>
      <c r="H49" s="65">
        <f>D49</f>
        <v>13859</v>
      </c>
      <c r="I49" s="66">
        <f>E49</f>
        <v>40037.479267444913</v>
      </c>
      <c r="J49" s="60"/>
      <c r="K49" s="38"/>
      <c r="L49" s="60">
        <f>H49+J49</f>
        <v>13859</v>
      </c>
      <c r="M49" s="38">
        <f>I49+K49</f>
        <v>40037.479267444913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-274339</v>
      </c>
      <c r="E51" s="65">
        <v>-593522</v>
      </c>
      <c r="F51" s="60">
        <f>H51-D51</f>
        <v>0</v>
      </c>
      <c r="G51" s="37">
        <f>I51-E51</f>
        <v>0</v>
      </c>
      <c r="H51" s="65">
        <f>D51</f>
        <v>-274339</v>
      </c>
      <c r="I51" s="66">
        <f>E51</f>
        <v>-593522</v>
      </c>
      <c r="J51" s="60"/>
      <c r="K51" s="38"/>
      <c r="L51" s="60">
        <f>H51+J51</f>
        <v>-274339</v>
      </c>
      <c r="M51" s="38">
        <f>I51+K51</f>
        <v>-593522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-230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-230</v>
      </c>
      <c r="J54" s="60"/>
      <c r="K54" s="38"/>
      <c r="L54" s="60">
        <f>H54+J54</f>
        <v>0</v>
      </c>
      <c r="M54" s="38">
        <f>I54+K54</f>
        <v>-230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-2454820.62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-2454820.62</v>
      </c>
      <c r="J55" s="60"/>
      <c r="K55" s="38"/>
      <c r="L55" s="60">
        <f>H55+J55</f>
        <v>0</v>
      </c>
      <c r="M55" s="38">
        <f>I55+K55</f>
        <v>-2454820.62</v>
      </c>
    </row>
    <row r="56" spans="1:15" x14ac:dyDescent="0.2">
      <c r="A56" s="9"/>
      <c r="B56" s="7" t="s">
        <v>57</v>
      </c>
      <c r="C56" s="6"/>
      <c r="D56" s="61">
        <v>0</v>
      </c>
      <c r="E56" s="39">
        <v>-2455050.62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-2455050.62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-2455050.62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1968882.4585000004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1968882.4585000004</v>
      </c>
      <c r="J70" s="60"/>
      <c r="K70" s="38"/>
      <c r="L70" s="60">
        <f>H70+J70</f>
        <v>0</v>
      </c>
      <c r="M70" s="38">
        <f>I70+K70</f>
        <v>1968882.4585000004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1343082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1343082</v>
      </c>
      <c r="J71" s="60"/>
      <c r="K71" s="38"/>
      <c r="L71" s="60">
        <f>H71+J71</f>
        <v>0</v>
      </c>
      <c r="M71" s="38">
        <f>I71+K71</f>
        <v>1343082</v>
      </c>
    </row>
    <row r="72" spans="1:13" x14ac:dyDescent="0.2">
      <c r="A72" s="9"/>
      <c r="B72" s="3"/>
      <c r="C72" s="55" t="s">
        <v>69</v>
      </c>
      <c r="D72" s="61">
        <v>0</v>
      </c>
      <c r="E72" s="39">
        <v>3311964.4585000006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3311964.4585000006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3311964.4585000006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2295015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2295015</v>
      </c>
      <c r="J74" s="60"/>
      <c r="K74" s="38"/>
      <c r="L74" s="60">
        <f t="shared" si="22"/>
        <v>0</v>
      </c>
      <c r="M74" s="38">
        <f t="shared" si="22"/>
        <v>2295015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78558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78558</v>
      </c>
      <c r="J75" s="60"/>
      <c r="K75" s="38"/>
      <c r="L75" s="60">
        <f t="shared" si="22"/>
        <v>0</v>
      </c>
      <c r="M75" s="38">
        <f t="shared" si="22"/>
        <v>78558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-21510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-21510</v>
      </c>
      <c r="J76" s="60"/>
      <c r="K76" s="38"/>
      <c r="L76" s="60">
        <f t="shared" si="22"/>
        <v>0</v>
      </c>
      <c r="M76" s="38">
        <f t="shared" si="22"/>
        <v>-21510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30221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30221</v>
      </c>
      <c r="J81" s="60"/>
      <c r="K81" s="38"/>
      <c r="L81" s="60">
        <f t="shared" si="22"/>
        <v>0</v>
      </c>
      <c r="M81" s="38">
        <f t="shared" si="22"/>
        <v>30221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1008835.9777674391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1008835.9777674391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1008835.9777674391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68"/>
      <c r="C86" s="10" t="s">
        <v>166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5">+E82+E89</f>
        <v>1008835.9777674391</v>
      </c>
      <c r="F91" s="179">
        <f t="shared" si="25"/>
        <v>0</v>
      </c>
      <c r="G91" s="179">
        <f t="shared" si="25"/>
        <v>0</v>
      </c>
      <c r="H91" s="179">
        <f t="shared" si="25"/>
        <v>0</v>
      </c>
      <c r="I91" s="179">
        <f t="shared" si="25"/>
        <v>1008835.9777674391</v>
      </c>
      <c r="J91" s="179">
        <f t="shared" si="25"/>
        <v>0</v>
      </c>
      <c r="K91" s="179">
        <f t="shared" si="25"/>
        <v>0</v>
      </c>
      <c r="L91" s="179">
        <f t="shared" si="25"/>
        <v>0</v>
      </c>
      <c r="M91" s="179">
        <f t="shared" si="25"/>
        <v>1008835.9777674391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2" activePane="bottomRight" state="frozen"/>
      <selection activeCell="B11" sqref="B11"/>
      <selection pane="topRight" activeCell="B11" sqref="B11"/>
      <selection pane="bottomLeft" activeCell="B11" sqref="B11"/>
      <selection pane="bottomRight" activeCell="E70" sqref="E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/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530625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530625</v>
      </c>
      <c r="J12" s="60"/>
      <c r="K12" s="38"/>
      <c r="L12" s="60">
        <f t="shared" si="0"/>
        <v>0</v>
      </c>
      <c r="M12" s="38">
        <f t="shared" si="0"/>
        <v>530625</v>
      </c>
    </row>
    <row r="13" spans="1:26" x14ac:dyDescent="0.2">
      <c r="A13" s="9">
        <v>3</v>
      </c>
      <c r="B13" s="7"/>
      <c r="C13" s="18" t="s">
        <v>27</v>
      </c>
      <c r="D13" s="60"/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39">
        <v>530625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530625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530625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/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/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/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/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/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/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>
        <v>0</v>
      </c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-1347000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-1347000</v>
      </c>
      <c r="J70" s="65"/>
      <c r="K70" s="38"/>
      <c r="L70" s="60">
        <f t="shared" si="20"/>
        <v>0</v>
      </c>
      <c r="M70" s="38">
        <f t="shared" si="20"/>
        <v>-1347000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-1347000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-1347000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-1347000</v>
      </c>
    </row>
    <row r="73" spans="1:13" x14ac:dyDescent="0.2">
      <c r="A73" s="9">
        <v>32</v>
      </c>
      <c r="B73" s="3"/>
      <c r="C73" s="10" t="s">
        <v>70</v>
      </c>
      <c r="D73" s="60"/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2409464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2409464</v>
      </c>
      <c r="J74" s="60"/>
      <c r="K74" s="38"/>
      <c r="L74" s="60">
        <f t="shared" si="23"/>
        <v>0</v>
      </c>
      <c r="M74" s="38">
        <f t="shared" si="23"/>
        <v>2409464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-388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-388</v>
      </c>
      <c r="J76" s="60"/>
      <c r="K76" s="38"/>
      <c r="L76" s="60">
        <f t="shared" si="23"/>
        <v>0</v>
      </c>
      <c r="M76" s="38">
        <f t="shared" si="23"/>
        <v>-388</v>
      </c>
    </row>
    <row r="77" spans="1:13" x14ac:dyDescent="0.2">
      <c r="A77" s="9">
        <v>36</v>
      </c>
      <c r="B77" s="3"/>
      <c r="C77" s="10" t="s">
        <v>74</v>
      </c>
      <c r="D77" s="60"/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6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1592701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1592701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1592701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29124134</v>
      </c>
      <c r="E11" s="170">
        <v>93298632</v>
      </c>
      <c r="F11" s="60">
        <f>H11-D11</f>
        <v>0</v>
      </c>
      <c r="G11" s="37">
        <f>I11-E11</f>
        <v>0</v>
      </c>
      <c r="H11" s="65">
        <f>D11</f>
        <v>29124134</v>
      </c>
      <c r="I11" s="66">
        <f>E11</f>
        <v>93298632</v>
      </c>
      <c r="J11" s="60"/>
      <c r="K11" s="38"/>
      <c r="L11" s="60">
        <f t="shared" ref="L11:M15" si="0">H11+J11</f>
        <v>29124134</v>
      </c>
      <c r="M11" s="38">
        <f t="shared" si="0"/>
        <v>93298632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0">
        <v>2467938</v>
      </c>
      <c r="E13" s="170">
        <v>7302508</v>
      </c>
      <c r="F13" s="60">
        <f t="shared" si="1"/>
        <v>0</v>
      </c>
      <c r="G13" s="37">
        <f t="shared" si="1"/>
        <v>0</v>
      </c>
      <c r="H13" s="65">
        <f t="shared" si="2"/>
        <v>2467938</v>
      </c>
      <c r="I13" s="66">
        <f t="shared" si="2"/>
        <v>7302508</v>
      </c>
      <c r="J13" s="60"/>
      <c r="K13" s="38"/>
      <c r="L13" s="60">
        <f t="shared" si="0"/>
        <v>2467938</v>
      </c>
      <c r="M13" s="38">
        <f t="shared" si="0"/>
        <v>7302508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1">
        <v>31592072</v>
      </c>
      <c r="E16" s="191">
        <v>100601140</v>
      </c>
      <c r="F16" s="61">
        <f t="shared" ref="F16:M16" si="3">SUM(F11:F15)</f>
        <v>0</v>
      </c>
      <c r="G16" s="39">
        <f t="shared" si="3"/>
        <v>0</v>
      </c>
      <c r="H16" s="61">
        <f>SUM(H11:H15)</f>
        <v>31592072</v>
      </c>
      <c r="I16" s="39">
        <f>SUM(I11:I15)</f>
        <v>100601140</v>
      </c>
      <c r="J16" s="61">
        <f t="shared" si="3"/>
        <v>0</v>
      </c>
      <c r="K16" s="39">
        <f t="shared" si="3"/>
        <v>0</v>
      </c>
      <c r="L16" s="61">
        <f t="shared" si="3"/>
        <v>31592072</v>
      </c>
      <c r="M16" s="39">
        <f t="shared" si="3"/>
        <v>100601140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-27025350</v>
      </c>
      <c r="E19" s="170">
        <v>-87314096</v>
      </c>
      <c r="F19" s="60">
        <f>H19-D19</f>
        <v>0</v>
      </c>
      <c r="G19" s="37">
        <f>I19-E19</f>
        <v>0</v>
      </c>
      <c r="H19" s="65">
        <f t="shared" si="4"/>
        <v>-27025350</v>
      </c>
      <c r="I19" s="66">
        <f t="shared" si="4"/>
        <v>-87314096</v>
      </c>
      <c r="J19" s="60"/>
      <c r="K19" s="38"/>
      <c r="L19" s="60">
        <f t="shared" ref="L19:M23" si="5">H19+J19</f>
        <v>-27025350</v>
      </c>
      <c r="M19" s="38">
        <f t="shared" si="5"/>
        <v>-87314096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-4606171</v>
      </c>
      <c r="E21" s="170">
        <v>-14726977</v>
      </c>
      <c r="F21" s="60">
        <f t="shared" si="6"/>
        <v>0</v>
      </c>
      <c r="G21" s="37">
        <f t="shared" si="6"/>
        <v>0</v>
      </c>
      <c r="H21" s="65">
        <f t="shared" si="4"/>
        <v>-4606171</v>
      </c>
      <c r="I21" s="66">
        <f t="shared" si="4"/>
        <v>-14726977</v>
      </c>
      <c r="J21" s="60"/>
      <c r="K21" s="38"/>
      <c r="L21" s="60">
        <f t="shared" si="5"/>
        <v>-4606171</v>
      </c>
      <c r="M21" s="38">
        <f t="shared" si="5"/>
        <v>-14726977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1">
        <v>-31631521</v>
      </c>
      <c r="E24" s="191">
        <v>-102041073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-31631521</v>
      </c>
      <c r="I24" s="39">
        <f>SUM(I19:I23)</f>
        <v>-102041073</v>
      </c>
      <c r="J24" s="61">
        <f t="shared" si="7"/>
        <v>0</v>
      </c>
      <c r="K24" s="39">
        <f t="shared" si="7"/>
        <v>0</v>
      </c>
      <c r="L24" s="61">
        <f t="shared" si="7"/>
        <v>-31631521</v>
      </c>
      <c r="M24" s="39">
        <f t="shared" si="7"/>
        <v>-102041073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39449</v>
      </c>
      <c r="E49" s="170">
        <v>92310.66</v>
      </c>
      <c r="F49" s="60">
        <f>H49-D49</f>
        <v>0</v>
      </c>
      <c r="G49" s="37">
        <f>I49-E49</f>
        <v>0</v>
      </c>
      <c r="H49" s="65">
        <f>D49</f>
        <v>39449</v>
      </c>
      <c r="I49" s="66">
        <f>E49</f>
        <v>92310.66</v>
      </c>
      <c r="J49" s="60"/>
      <c r="K49" s="38"/>
      <c r="L49" s="60">
        <f>H49+J49</f>
        <v>39449</v>
      </c>
      <c r="M49" s="38">
        <f>I49+K49</f>
        <v>92310.66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-3231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-3231</v>
      </c>
      <c r="J55" s="60"/>
      <c r="K55" s="38"/>
      <c r="L55" s="60">
        <f>H55+J55</f>
        <v>0</v>
      </c>
      <c r="M55" s="38">
        <f>I55+K55</f>
        <v>-3231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-3231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-3231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-3231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695659.52289829031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695659.52289829031</v>
      </c>
      <c r="J70" s="65"/>
      <c r="K70" s="38"/>
      <c r="L70" s="60">
        <f t="shared" si="20"/>
        <v>0</v>
      </c>
      <c r="M70" s="38">
        <f t="shared" si="20"/>
        <v>695659.52289829031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837625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837625</v>
      </c>
      <c r="J71" s="65"/>
      <c r="K71" s="38"/>
      <c r="L71" s="60">
        <f t="shared" si="20"/>
        <v>0</v>
      </c>
      <c r="M71" s="38">
        <f t="shared" si="20"/>
        <v>837625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1533284.5228982903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1533284.5228982903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1533284.5228982903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-125217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-125217</v>
      </c>
      <c r="J74" s="60"/>
      <c r="K74" s="38"/>
      <c r="L74" s="60">
        <f t="shared" si="23"/>
        <v>0</v>
      </c>
      <c r="M74" s="38">
        <f t="shared" si="23"/>
        <v>-125217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-77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-77</v>
      </c>
      <c r="J76" s="60"/>
      <c r="K76" s="38"/>
      <c r="L76" s="60">
        <f t="shared" si="23"/>
        <v>0</v>
      </c>
      <c r="M76" s="38">
        <f t="shared" si="23"/>
        <v>-77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0">
        <v>0</v>
      </c>
      <c r="E81" s="170">
        <v>19990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19990</v>
      </c>
      <c r="J81" s="60"/>
      <c r="K81" s="38"/>
      <c r="L81" s="60">
        <f t="shared" si="23"/>
        <v>0</v>
      </c>
      <c r="M81" s="38">
        <f t="shared" si="23"/>
        <v>19990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77127.182898286585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77127.182898286585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77127.182898286585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68"/>
      <c r="C86" s="10" t="s">
        <v>166</v>
      </c>
      <c r="D86" s="172">
        <v>0</v>
      </c>
      <c r="E86" s="172">
        <v>686492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686492</v>
      </c>
      <c r="J86" s="172"/>
      <c r="K86" s="172"/>
      <c r="L86" s="172">
        <f t="shared" ref="L86:M88" si="27">H86+J86</f>
        <v>0</v>
      </c>
      <c r="M86" s="172">
        <f t="shared" si="27"/>
        <v>686492</v>
      </c>
    </row>
    <row r="87" spans="1:13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">
      <c r="A89" s="168"/>
      <c r="B89" s="4"/>
      <c r="C89" s="178" t="s">
        <v>169</v>
      </c>
      <c r="D89" s="179">
        <f>SUM(D86:D88)</f>
        <v>0</v>
      </c>
      <c r="E89" s="179">
        <f t="shared" ref="E89:M89" si="28">SUM(E86:E88)</f>
        <v>686492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686492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686492</v>
      </c>
    </row>
    <row r="90" spans="1:13" x14ac:dyDescent="0.2">
      <c r="A90" s="4"/>
      <c r="B90" s="3"/>
    </row>
    <row r="91" spans="1:13" s="2" customFormat="1" ht="20.25" customHeight="1" x14ac:dyDescent="0.2">
      <c r="A91" s="168"/>
      <c r="B91" s="4"/>
      <c r="C91" s="178" t="s">
        <v>167</v>
      </c>
      <c r="D91" s="179">
        <f>+D82+D89</f>
        <v>0</v>
      </c>
      <c r="E91" s="179">
        <f t="shared" ref="E91:M91" si="29">+E82+E89</f>
        <v>763619.18289828661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763619.18289828661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763619.18289828661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6"/>
  <sheetViews>
    <sheetView tabSelected="1" topLeftCell="A3" zoomScale="75" workbookViewId="0">
      <pane xSplit="1" ySplit="8" topLeftCell="B11" activePane="bottomRight" state="frozen"/>
      <selection activeCell="I428" sqref="I428"/>
      <selection pane="topRight" activeCell="I428" sqref="I428"/>
      <selection pane="bottomLeft" activeCell="I428" sqref="I428"/>
      <selection pane="bottomRight" activeCell="C85" sqref="C85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200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193</v>
      </c>
      <c r="C10" s="194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0">
        <f>'CE-FLSH'!$M$82</f>
        <v>445517.54399999976</v>
      </c>
      <c r="C11" s="65">
        <f t="shared" ref="C11:C25" si="0">+D11-B11</f>
        <v>482.45600000023842</v>
      </c>
      <c r="D11" s="140">
        <f>+'[2]ST Warroom 99'!$B$15</f>
        <v>446000</v>
      </c>
      <c r="E11" s="140">
        <f>+F11-D11</f>
        <v>-622098</v>
      </c>
      <c r="F11" s="140">
        <f>+'[2]ST Warroom 99'!$B$49</f>
        <v>-176098</v>
      </c>
      <c r="G11" s="195">
        <f>CE_GL!$E$82</f>
        <v>-3213142.9650000404</v>
      </c>
      <c r="H11" s="107">
        <f t="shared" ref="H11:H26" si="1">G11-F11</f>
        <v>-3037044.9650000404</v>
      </c>
      <c r="I11" s="31"/>
      <c r="J11" s="31"/>
    </row>
    <row r="12" spans="1:10" x14ac:dyDescent="0.2">
      <c r="A12" s="101" t="s">
        <v>198</v>
      </c>
      <c r="B12" s="140">
        <f>'SITHE-FLSH'!$M$82</f>
        <v>9014.9095916074803</v>
      </c>
      <c r="C12" s="65">
        <f>+D12-B12</f>
        <v>9985.0904083925197</v>
      </c>
      <c r="D12" s="140">
        <f>+'[2]ST Warroom 99'!$N$15</f>
        <v>19000</v>
      </c>
      <c r="E12" s="140">
        <f>+F12-D12</f>
        <v>4880</v>
      </c>
      <c r="F12" s="140">
        <f>+'[2]ST Warroom 99'!$N$49</f>
        <v>23880</v>
      </c>
      <c r="G12" s="195">
        <f>SITHE_GL!$E$82</f>
        <v>-239607.29199999737</v>
      </c>
      <c r="H12" s="107">
        <f>G12-F12</f>
        <v>-263487.29199999734</v>
      </c>
      <c r="I12" s="31"/>
      <c r="J12" s="31"/>
    </row>
    <row r="13" spans="1:10" x14ac:dyDescent="0.2">
      <c r="A13" s="101" t="s">
        <v>189</v>
      </c>
      <c r="B13" s="140">
        <f>'ARUBA-FLSH'!$M$82</f>
        <v>904860.70693735685</v>
      </c>
      <c r="C13" s="65">
        <f>+D13-B13</f>
        <v>139.29306264314801</v>
      </c>
      <c r="D13" s="140">
        <f>+'[2]ST Warroom 99'!$Q$15</f>
        <v>905000</v>
      </c>
      <c r="E13" s="140">
        <f>+F13-D13</f>
        <v>-1919720</v>
      </c>
      <c r="F13" s="140">
        <f>+'[2]ST Warroom 99'!$Q$49</f>
        <v>-1014720</v>
      </c>
      <c r="G13" s="195">
        <f>ARUBA_GL!$E$82</f>
        <v>-1014719.6600000048</v>
      </c>
      <c r="H13" s="107">
        <f>G13-F13</f>
        <v>0.33999999519437551</v>
      </c>
      <c r="I13" s="31"/>
      <c r="J13" s="31"/>
    </row>
    <row r="14" spans="1:10" x14ac:dyDescent="0.2">
      <c r="A14" s="101" t="s">
        <v>14</v>
      </c>
      <c r="B14" s="140">
        <v>0</v>
      </c>
      <c r="C14" s="65">
        <f t="shared" si="0"/>
        <v>0</v>
      </c>
      <c r="D14" s="140">
        <v>0</v>
      </c>
      <c r="E14" s="140">
        <f t="shared" ref="E14:E26" si="2">+F14-D14</f>
        <v>0</v>
      </c>
      <c r="F14" s="140">
        <v>0</v>
      </c>
      <c r="G14" s="195">
        <v>0</v>
      </c>
      <c r="H14" s="107">
        <f t="shared" si="1"/>
        <v>0</v>
      </c>
      <c r="I14" s="31"/>
      <c r="J14" s="31"/>
    </row>
    <row r="15" spans="1:10" x14ac:dyDescent="0.2">
      <c r="A15" s="101" t="s">
        <v>156</v>
      </c>
      <c r="B15" s="139">
        <f>'BGC-EGM-FLSH'!$M$82+'EAST-EGM-FLSH'!M82</f>
        <v>-316732.33869291097</v>
      </c>
      <c r="C15" s="65">
        <f t="shared" si="0"/>
        <v>15732.338692910969</v>
      </c>
      <c r="D15" s="139">
        <f>+'[2]ST Warroom 99'!$C$15</f>
        <v>-301000</v>
      </c>
      <c r="E15" s="140">
        <f t="shared" si="2"/>
        <v>200219</v>
      </c>
      <c r="F15" s="139">
        <f>+'[2]ST Warroom 99'!$C$49</f>
        <v>-100781</v>
      </c>
      <c r="G15" s="195">
        <f>'BGC-EGM-GL'!$E$82+'EAST-EGM-GL'!E82</f>
        <v>-5283326.9500001399</v>
      </c>
      <c r="H15" s="107">
        <f t="shared" si="1"/>
        <v>-5182545.9500001399</v>
      </c>
      <c r="I15" s="31"/>
      <c r="J15" s="31"/>
    </row>
    <row r="16" spans="1:10" x14ac:dyDescent="0.2">
      <c r="A16" s="101" t="s">
        <v>157</v>
      </c>
      <c r="B16" s="139">
        <f>'EAST-LRC-FLSH'!$M$82</f>
        <v>503215.61999295466</v>
      </c>
      <c r="C16" s="65">
        <f t="shared" si="0"/>
        <v>-215.61999295465648</v>
      </c>
      <c r="D16" s="139">
        <f>+'[2]ST Warroom 99'!$D$15</f>
        <v>503000</v>
      </c>
      <c r="E16" s="140">
        <f t="shared" si="2"/>
        <v>0</v>
      </c>
      <c r="F16" s="139">
        <f>+'[2]ST Warroom 99'!$D$49</f>
        <v>503000</v>
      </c>
      <c r="G16" s="195">
        <f>'EAST-LRC-GL'!$E$82</f>
        <v>5458490.4999999991</v>
      </c>
      <c r="H16" s="107">
        <f t="shared" si="1"/>
        <v>4955490.4999999991</v>
      </c>
      <c r="I16" s="31"/>
      <c r="J16" s="31"/>
    </row>
    <row r="17" spans="1:10" x14ac:dyDescent="0.2">
      <c r="A17" s="101" t="s">
        <v>164</v>
      </c>
      <c r="B17" s="139">
        <f>+'EAST-EGM-FLSH'!M89</f>
        <v>580000</v>
      </c>
      <c r="C17" s="65">
        <f t="shared" si="0"/>
        <v>0</v>
      </c>
      <c r="D17" s="139">
        <f>+'[2]ST Warroom 99'!$E$15</f>
        <v>580000</v>
      </c>
      <c r="E17" s="140">
        <f t="shared" si="2"/>
        <v>0</v>
      </c>
      <c r="F17" s="139">
        <f>+'[2]ST Warroom 99'!$E$49</f>
        <v>580000</v>
      </c>
      <c r="G17" s="195">
        <f>+'EAST-EGM-GL'!E89</f>
        <v>580328</v>
      </c>
      <c r="H17" s="107">
        <f t="shared" si="1"/>
        <v>328</v>
      </c>
      <c r="I17" s="31"/>
      <c r="J17" s="31"/>
    </row>
    <row r="18" spans="1:10" x14ac:dyDescent="0.2">
      <c r="A18" s="101" t="s">
        <v>16</v>
      </c>
      <c r="B18" s="139">
        <f>'TX-EGM-FLSH'!$M$82</f>
        <v>-2201434.2672805004</v>
      </c>
      <c r="C18" s="65">
        <f t="shared" si="0"/>
        <v>-565.73271949961782</v>
      </c>
      <c r="D18" s="139">
        <f>+'[2]ST Warroom 99'!$H$15</f>
        <v>-2202000</v>
      </c>
      <c r="E18" s="140">
        <f t="shared" si="2"/>
        <v>-664680</v>
      </c>
      <c r="F18" s="139">
        <f>+'[2]ST Warroom 99'!$H$49</f>
        <v>-2866680</v>
      </c>
      <c r="G18" s="195">
        <f>'TX-EGM-GL'!$E$91</f>
        <v>8147905.1420000028</v>
      </c>
      <c r="H18" s="107">
        <f t="shared" si="1"/>
        <v>11014585.142000003</v>
      </c>
      <c r="I18" s="31"/>
      <c r="J18" s="31"/>
    </row>
    <row r="19" spans="1:10" x14ac:dyDescent="0.2">
      <c r="A19" s="101" t="s">
        <v>182</v>
      </c>
      <c r="B19" s="139">
        <f>'TX-HPLR-FLSH'!$M$82</f>
        <v>5480852.7589822393</v>
      </c>
      <c r="C19" s="65">
        <f t="shared" si="0"/>
        <v>147.24101776070893</v>
      </c>
      <c r="D19" s="139">
        <f>+'[2]ST Warroom 99'!$I$15</f>
        <v>5481000</v>
      </c>
      <c r="E19" s="140">
        <f t="shared" si="2"/>
        <v>0</v>
      </c>
      <c r="F19" s="139">
        <f>+'[2]ST Warroom 99'!$I$49</f>
        <v>5481000</v>
      </c>
      <c r="G19" s="195">
        <f>'TX-HPLR-GL '!$E$82</f>
        <v>11433.669999999987</v>
      </c>
      <c r="H19" s="107">
        <f t="shared" si="1"/>
        <v>-5469566.3300000001</v>
      </c>
      <c r="I19" s="31"/>
      <c r="J19" s="31"/>
    </row>
    <row r="20" spans="1:10" x14ac:dyDescent="0.2">
      <c r="A20" s="101" t="s">
        <v>183</v>
      </c>
      <c r="B20" s="139">
        <f>'TX-HPLC-FLSH'!$M$82</f>
        <v>-835920.80119085312</v>
      </c>
      <c r="C20" s="65">
        <f t="shared" si="0"/>
        <v>-79.198809146881104</v>
      </c>
      <c r="D20" s="139">
        <f>+'[2]ST Warroom 99'!$J$15</f>
        <v>-836000</v>
      </c>
      <c r="E20" s="140">
        <f t="shared" si="2"/>
        <v>0</v>
      </c>
      <c r="F20" s="139">
        <f>+'[2]ST Warroom 99'!$J$49</f>
        <v>-836000</v>
      </c>
      <c r="G20" s="195">
        <f>'TX-HPLC-GL'!$E$82</f>
        <v>-7080957.8600000022</v>
      </c>
      <c r="H20" s="107">
        <f t="shared" si="1"/>
        <v>-6244957.8600000022</v>
      </c>
      <c r="I20" s="31"/>
      <c r="J20" s="31"/>
    </row>
    <row r="21" spans="1:10" x14ac:dyDescent="0.2">
      <c r="A21" s="101" t="s">
        <v>176</v>
      </c>
      <c r="B21" s="139">
        <f>'TX-EGM-FLSH'!$M$89</f>
        <v>-152498</v>
      </c>
      <c r="C21" s="65">
        <f t="shared" si="0"/>
        <v>498</v>
      </c>
      <c r="D21" s="60">
        <f>+'[2]ST Warroom 99'!$K$15</f>
        <v>-152000</v>
      </c>
      <c r="E21" s="140">
        <f t="shared" si="2"/>
        <v>0</v>
      </c>
      <c r="F21" s="60">
        <f>+'[2]ST Warroom 99'!$K$49</f>
        <v>-152000</v>
      </c>
      <c r="G21" s="195">
        <f>'TX-HPLC-GL'!$E$89</f>
        <v>-147793</v>
      </c>
      <c r="H21" s="107">
        <f t="shared" si="1"/>
        <v>4207</v>
      </c>
      <c r="I21" s="31"/>
      <c r="J21" s="31"/>
    </row>
    <row r="22" spans="1:10" x14ac:dyDescent="0.2">
      <c r="A22" s="101" t="s">
        <v>17</v>
      </c>
      <c r="B22" s="139">
        <f>'WE-FLSH'!$M$82</f>
        <v>1008835.9777674391</v>
      </c>
      <c r="C22" s="65">
        <f t="shared" si="0"/>
        <v>164.02223256090656</v>
      </c>
      <c r="D22" s="139">
        <f>+'[2]ST Warroom 99'!$L$15</f>
        <v>1009000</v>
      </c>
      <c r="E22" s="140">
        <f t="shared" si="2"/>
        <v>-33964</v>
      </c>
      <c r="F22" s="139">
        <f>+'[2]ST Warroom 99'!$L$49</f>
        <v>975036</v>
      </c>
      <c r="G22" s="195">
        <f>'WE-GL '!$E$82</f>
        <v>974841.98400002765</v>
      </c>
      <c r="H22" s="107">
        <f t="shared" si="1"/>
        <v>-194.01599997235462</v>
      </c>
      <c r="I22" s="31"/>
      <c r="J22" s="31"/>
    </row>
    <row r="23" spans="1:10" x14ac:dyDescent="0.2">
      <c r="A23" s="101" t="s">
        <v>18</v>
      </c>
      <c r="B23" s="139">
        <f>STG_FLSH!$M$82</f>
        <v>1592701</v>
      </c>
      <c r="C23" s="65">
        <f t="shared" si="0"/>
        <v>299</v>
      </c>
      <c r="D23" s="139">
        <f>+'[2]ST Warroom 99'!$M$15</f>
        <v>1593000</v>
      </c>
      <c r="E23" s="140">
        <f t="shared" si="2"/>
        <v>478059</v>
      </c>
      <c r="F23" s="139">
        <f>+'[2]ST Warroom 99'!$M$49</f>
        <v>2071059</v>
      </c>
      <c r="G23" s="195">
        <f>STG_GL!$E$82</f>
        <v>2071037</v>
      </c>
      <c r="H23" s="107">
        <f t="shared" si="1"/>
        <v>-22</v>
      </c>
      <c r="I23" s="31"/>
      <c r="J23" s="31"/>
    </row>
    <row r="24" spans="1:10" x14ac:dyDescent="0.2">
      <c r="A24" s="101" t="s">
        <v>158</v>
      </c>
      <c r="B24" s="139">
        <f>ONT_FLSH!$M$82</f>
        <v>77127.182898286585</v>
      </c>
      <c r="C24" s="65">
        <f t="shared" si="0"/>
        <v>-127.18289828658453</v>
      </c>
      <c r="D24" s="139">
        <f>+'[2]ST Warroom 99'!$O$15</f>
        <v>77000</v>
      </c>
      <c r="E24" s="140">
        <f t="shared" si="2"/>
        <v>454960</v>
      </c>
      <c r="F24" s="139">
        <f>+'[2]ST Warroom 99'!$O$49</f>
        <v>531960</v>
      </c>
      <c r="G24" s="195">
        <f>'ONT_GL '!$E$82</f>
        <v>401738.78999999596</v>
      </c>
      <c r="H24" s="107">
        <f t="shared" si="1"/>
        <v>-130221.21000000404</v>
      </c>
      <c r="I24" s="31"/>
      <c r="J24" s="31"/>
    </row>
    <row r="25" spans="1:10" x14ac:dyDescent="0.2">
      <c r="A25" s="101" t="s">
        <v>163</v>
      </c>
      <c r="B25" s="139">
        <f>ONT_FLSH!$M$89</f>
        <v>686492</v>
      </c>
      <c r="C25" s="65">
        <f t="shared" si="0"/>
        <v>-492</v>
      </c>
      <c r="D25" s="195">
        <f>+'[2]ST Warroom 99'!$P$15</f>
        <v>686000</v>
      </c>
      <c r="E25" s="140">
        <f t="shared" si="2"/>
        <v>0</v>
      </c>
      <c r="F25" s="195">
        <f>+'[2]ST Warroom 99'!$P$49</f>
        <v>686000</v>
      </c>
      <c r="G25" s="195">
        <f>+'ONT_GL '!E89</f>
        <v>686492</v>
      </c>
      <c r="H25" s="107">
        <f t="shared" si="1"/>
        <v>492</v>
      </c>
      <c r="I25" s="31"/>
      <c r="J25" s="31"/>
    </row>
    <row r="26" spans="1:10" x14ac:dyDescent="0.2">
      <c r="A26" s="157" t="s">
        <v>113</v>
      </c>
      <c r="B26" s="139">
        <f>+BUG_FLSH!M82</f>
        <v>76758.304081540555</v>
      </c>
      <c r="C26" s="65">
        <f>+D26-B26</f>
        <v>241.69591845944524</v>
      </c>
      <c r="D26" s="139">
        <f>+'[2]ST Warroom 99'!$G$15</f>
        <v>77000</v>
      </c>
      <c r="E26" s="140">
        <f t="shared" si="2"/>
        <v>-1250172</v>
      </c>
      <c r="F26" s="139">
        <f>+'[2]ST Warroom 99'!$G$49</f>
        <v>-1173172</v>
      </c>
      <c r="G26" s="195">
        <f>+BUG_GL!E82</f>
        <v>-1173172.3400000064</v>
      </c>
      <c r="H26" s="107">
        <f t="shared" si="1"/>
        <v>-0.34000000637024641</v>
      </c>
      <c r="I26" s="31"/>
      <c r="J26" s="31"/>
    </row>
    <row r="27" spans="1:10" ht="21.75" customHeight="1" thickBot="1" x14ac:dyDescent="0.25">
      <c r="A27" s="101" t="s">
        <v>10</v>
      </c>
      <c r="B27" s="61">
        <f t="shared" ref="B27:H27" si="3">SUM(B11:B26)</f>
        <v>7858790.5970871598</v>
      </c>
      <c r="C27" s="61">
        <f t="shared" si="3"/>
        <v>26209.402912840196</v>
      </c>
      <c r="D27" s="61">
        <f t="shared" si="3"/>
        <v>7885000</v>
      </c>
      <c r="E27" s="61">
        <f t="shared" si="3"/>
        <v>-3352516</v>
      </c>
      <c r="F27" s="61">
        <f t="shared" si="3"/>
        <v>4532484</v>
      </c>
      <c r="G27" s="61">
        <f t="shared" si="3"/>
        <v>179547.01899983548</v>
      </c>
      <c r="H27" s="108">
        <f t="shared" si="3"/>
        <v>-4352936.9810001645</v>
      </c>
      <c r="I27" s="31"/>
      <c r="J27" s="31"/>
    </row>
    <row r="28" spans="1:10" ht="21" customHeight="1" thickBot="1" x14ac:dyDescent="0.25">
      <c r="A28" s="102" t="s">
        <v>19</v>
      </c>
      <c r="B28" s="103">
        <f>TOTAL!$E$91</f>
        <v>7858790.597087197</v>
      </c>
      <c r="C28" s="103">
        <f>+C27</f>
        <v>26209.402912840196</v>
      </c>
      <c r="D28" s="103">
        <f>+'[2]ST Warroom 99'!$T$15</f>
        <v>7885000</v>
      </c>
      <c r="E28" s="103">
        <f>+'[2]ST Warroom 99'!$T$32</f>
        <v>-3352516</v>
      </c>
      <c r="F28" s="103">
        <f>+'[2]ST Warroom 99'!$T$49</f>
        <v>4532484</v>
      </c>
      <c r="G28" s="103">
        <f>TOTAL!$G$91</f>
        <v>179547.01900028577</v>
      </c>
      <c r="H28" s="207">
        <f>+[1]OAvsACT!$G$54</f>
        <v>-4352927.8099999996</v>
      </c>
      <c r="I28" s="31"/>
      <c r="J28" s="31"/>
    </row>
    <row r="29" spans="1:10" x14ac:dyDescent="0.2">
      <c r="B29" s="45"/>
      <c r="C29" s="45"/>
      <c r="D29" s="45"/>
      <c r="E29" s="45"/>
      <c r="F29" s="45"/>
      <c r="G29" s="45"/>
      <c r="H29" s="45">
        <f>+H28-H27</f>
        <v>9.1710001649335027</v>
      </c>
      <c r="I29" s="45"/>
      <c r="J29" s="45"/>
    </row>
    <row r="30" spans="1:10" x14ac:dyDescent="0.2">
      <c r="B30" s="45">
        <f t="shared" ref="B30:G30" si="4">+B27-B28</f>
        <v>-3.7252902984619141E-8</v>
      </c>
      <c r="C30" s="45">
        <f t="shared" si="4"/>
        <v>0</v>
      </c>
      <c r="D30" s="45">
        <f t="shared" si="4"/>
        <v>0</v>
      </c>
      <c r="E30" s="45">
        <f t="shared" si="4"/>
        <v>0</v>
      </c>
      <c r="F30" s="45">
        <f t="shared" si="4"/>
        <v>0</v>
      </c>
      <c r="G30" s="45">
        <f t="shared" si="4"/>
        <v>-4.5029446482658386E-7</v>
      </c>
      <c r="H30" s="45">
        <v>0</v>
      </c>
      <c r="I30" s="45"/>
      <c r="J30" s="45"/>
    </row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/>
    <row r="59" spans="3:7" hidden="1" x14ac:dyDescent="0.2">
      <c r="C59" s="2"/>
      <c r="D59" s="2"/>
      <c r="E59" s="2"/>
      <c r="F59" s="2"/>
      <c r="G59" s="2"/>
    </row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hidden="1" x14ac:dyDescent="0.2"/>
    <row r="83" spans="7:7" x14ac:dyDescent="0.2">
      <c r="G83">
        <v>3956539</v>
      </c>
    </row>
    <row r="84" spans="7:7" x14ac:dyDescent="0.2">
      <c r="G84" s="45">
        <f>+G28-G83</f>
        <v>-3776991.9809997142</v>
      </c>
    </row>
    <row r="86" spans="7:7" x14ac:dyDescent="0.2">
      <c r="G86" s="45">
        <f>+G84+G85</f>
        <v>-3776991.9809997142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12853457</v>
      </c>
      <c r="E11" s="65">
        <v>36518397</v>
      </c>
      <c r="F11" s="60">
        <f>H11-D11</f>
        <v>0</v>
      </c>
      <c r="G11" s="37">
        <f>I11-E11</f>
        <v>0</v>
      </c>
      <c r="H11" s="65">
        <f>D11</f>
        <v>12853457</v>
      </c>
      <c r="I11" s="66">
        <f>E11</f>
        <v>36518397</v>
      </c>
      <c r="J11" s="60"/>
      <c r="K11" s="38"/>
      <c r="L11" s="60">
        <f t="shared" ref="L11:M15" si="0">H11+J11</f>
        <v>12853457</v>
      </c>
      <c r="M11" s="38">
        <f t="shared" si="0"/>
        <v>36518397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28397164</v>
      </c>
      <c r="E13" s="65">
        <v>76589544</v>
      </c>
      <c r="F13" s="60">
        <f t="shared" si="1"/>
        <v>0</v>
      </c>
      <c r="G13" s="37">
        <f t="shared" si="1"/>
        <v>0</v>
      </c>
      <c r="H13" s="65">
        <f t="shared" si="2"/>
        <v>28397164</v>
      </c>
      <c r="I13" s="66">
        <f t="shared" si="2"/>
        <v>76589544</v>
      </c>
      <c r="J13" s="60"/>
      <c r="K13" s="38"/>
      <c r="L13" s="60">
        <f t="shared" si="0"/>
        <v>28397164</v>
      </c>
      <c r="M13" s="38">
        <f t="shared" si="0"/>
        <v>76589544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16</v>
      </c>
      <c r="E15" s="65">
        <v>10435321</v>
      </c>
      <c r="F15" s="60">
        <f t="shared" si="1"/>
        <v>0</v>
      </c>
      <c r="G15" s="37">
        <f t="shared" si="1"/>
        <v>0</v>
      </c>
      <c r="H15" s="65">
        <f t="shared" si="2"/>
        <v>16</v>
      </c>
      <c r="I15" s="66">
        <f t="shared" si="2"/>
        <v>10435321</v>
      </c>
      <c r="J15" s="60"/>
      <c r="K15" s="38"/>
      <c r="L15" s="60">
        <f t="shared" si="0"/>
        <v>16</v>
      </c>
      <c r="M15" s="38">
        <f t="shared" si="0"/>
        <v>10435321</v>
      </c>
    </row>
    <row r="16" spans="1:26" x14ac:dyDescent="0.2">
      <c r="A16" s="9"/>
      <c r="B16" s="7" t="s">
        <v>30</v>
      </c>
      <c r="C16" s="6"/>
      <c r="D16" s="61">
        <v>41250637</v>
      </c>
      <c r="E16" s="39">
        <v>123543262</v>
      </c>
      <c r="F16" s="61">
        <f t="shared" ref="F16:M16" si="3">SUM(F11:F15)</f>
        <v>0</v>
      </c>
      <c r="G16" s="39">
        <f t="shared" si="3"/>
        <v>0</v>
      </c>
      <c r="H16" s="61">
        <f>SUM(H11:H15)</f>
        <v>41250637</v>
      </c>
      <c r="I16" s="39">
        <f>SUM(I11:I15)</f>
        <v>123543262</v>
      </c>
      <c r="J16" s="61">
        <f t="shared" si="3"/>
        <v>0</v>
      </c>
      <c r="K16" s="39">
        <f t="shared" si="3"/>
        <v>0</v>
      </c>
      <c r="L16" s="61">
        <f t="shared" si="3"/>
        <v>41250637</v>
      </c>
      <c r="M16" s="39">
        <f t="shared" si="3"/>
        <v>123543262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-6931794</v>
      </c>
      <c r="E19" s="65">
        <v>-19336794</v>
      </c>
      <c r="F19" s="60">
        <f>H19-D19</f>
        <v>0</v>
      </c>
      <c r="G19" s="37">
        <f>I19-E19</f>
        <v>0</v>
      </c>
      <c r="H19" s="65">
        <f t="shared" si="4"/>
        <v>-6931794</v>
      </c>
      <c r="I19" s="66">
        <f t="shared" si="4"/>
        <v>-19336794</v>
      </c>
      <c r="J19" s="60"/>
      <c r="K19" s="38"/>
      <c r="L19" s="60">
        <f t="shared" ref="L19:M23" si="5">H19+J19</f>
        <v>-6931794</v>
      </c>
      <c r="M19" s="38">
        <f t="shared" si="5"/>
        <v>-19336794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-33209597</v>
      </c>
      <c r="E21" s="65">
        <v>-88728638</v>
      </c>
      <c r="F21" s="60">
        <f t="shared" si="6"/>
        <v>0</v>
      </c>
      <c r="G21" s="37">
        <f t="shared" si="6"/>
        <v>0</v>
      </c>
      <c r="H21" s="65">
        <f t="shared" si="4"/>
        <v>-33209597</v>
      </c>
      <c r="I21" s="66">
        <f t="shared" si="4"/>
        <v>-88728638</v>
      </c>
      <c r="J21" s="60"/>
      <c r="K21" s="38"/>
      <c r="L21" s="60">
        <f t="shared" si="5"/>
        <v>-33209597</v>
      </c>
      <c r="M21" s="38">
        <f t="shared" si="5"/>
        <v>-88728638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547431</v>
      </c>
      <c r="E23" s="65">
        <v>1279975</v>
      </c>
      <c r="F23" s="60">
        <f t="shared" si="6"/>
        <v>0</v>
      </c>
      <c r="G23" s="37">
        <f t="shared" si="6"/>
        <v>0</v>
      </c>
      <c r="H23" s="65">
        <f t="shared" si="4"/>
        <v>547431</v>
      </c>
      <c r="I23" s="66">
        <f t="shared" si="4"/>
        <v>1279975</v>
      </c>
      <c r="J23" s="60"/>
      <c r="K23" s="38"/>
      <c r="L23" s="60">
        <f t="shared" si="5"/>
        <v>547431</v>
      </c>
      <c r="M23" s="38">
        <f t="shared" si="5"/>
        <v>1279975</v>
      </c>
    </row>
    <row r="24" spans="1:13" x14ac:dyDescent="0.2">
      <c r="A24" s="9"/>
      <c r="B24" s="7" t="s">
        <v>33</v>
      </c>
      <c r="C24" s="6"/>
      <c r="D24" s="61">
        <v>-39593960</v>
      </c>
      <c r="E24" s="39">
        <v>-106785457</v>
      </c>
      <c r="F24" s="61">
        <f t="shared" ref="F24:M24" si="7">SUM(F19:F23)</f>
        <v>0</v>
      </c>
      <c r="G24" s="39">
        <f t="shared" si="7"/>
        <v>0</v>
      </c>
      <c r="H24" s="61">
        <f>SUM(H19:H23)</f>
        <v>-39593960</v>
      </c>
      <c r="I24" s="39">
        <f>SUM(I19:I23)</f>
        <v>-106785457</v>
      </c>
      <c r="J24" s="61">
        <f t="shared" si="7"/>
        <v>0</v>
      </c>
      <c r="K24" s="39">
        <f t="shared" si="7"/>
        <v>0</v>
      </c>
      <c r="L24" s="61">
        <f t="shared" si="7"/>
        <v>-39593960</v>
      </c>
      <c r="M24" s="39">
        <f t="shared" si="7"/>
        <v>-106785457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2784</v>
      </c>
      <c r="E32" s="65">
        <v>15796</v>
      </c>
      <c r="F32" s="60">
        <f>H32-D32</f>
        <v>0</v>
      </c>
      <c r="G32" s="37">
        <f>I32-E32</f>
        <v>0</v>
      </c>
      <c r="H32" s="65">
        <f t="shared" ref="H32:I35" si="9">D32</f>
        <v>2784</v>
      </c>
      <c r="I32" s="66">
        <f t="shared" si="9"/>
        <v>15796</v>
      </c>
      <c r="J32" s="60"/>
      <c r="K32" s="38"/>
      <c r="L32" s="60">
        <f t="shared" ref="L32:M35" si="10">H32+J32</f>
        <v>2784</v>
      </c>
      <c r="M32" s="38">
        <f t="shared" si="10"/>
        <v>15796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-29369</v>
      </c>
      <c r="E35" s="65">
        <v>-29</v>
      </c>
      <c r="F35" s="60">
        <f t="shared" si="11"/>
        <v>0</v>
      </c>
      <c r="G35" s="37">
        <f t="shared" si="11"/>
        <v>0</v>
      </c>
      <c r="H35" s="65">
        <f t="shared" si="9"/>
        <v>-29369</v>
      </c>
      <c r="I35" s="66">
        <f t="shared" si="9"/>
        <v>-29</v>
      </c>
      <c r="J35" s="60"/>
      <c r="K35" s="38"/>
      <c r="L35" s="60">
        <f t="shared" si="10"/>
        <v>-29369</v>
      </c>
      <c r="M35" s="38">
        <f t="shared" si="10"/>
        <v>-29</v>
      </c>
    </row>
    <row r="36" spans="1:13" x14ac:dyDescent="0.2">
      <c r="A36" s="9"/>
      <c r="B36" s="7" t="s">
        <v>43</v>
      </c>
      <c r="C36" s="6"/>
      <c r="D36" s="61">
        <v>-26585</v>
      </c>
      <c r="E36" s="39">
        <v>15767</v>
      </c>
      <c r="F36" s="61">
        <f>SUM(F32:F35)</f>
        <v>0</v>
      </c>
      <c r="G36" s="39">
        <f>SUM(G32:G35)</f>
        <v>0</v>
      </c>
      <c r="H36" s="61">
        <f>SUM(H32:H35)</f>
        <v>-26585</v>
      </c>
      <c r="I36" s="39">
        <f>SUM(I32:I35)</f>
        <v>15767</v>
      </c>
      <c r="J36" s="61">
        <f>SUM(J32:J34)</f>
        <v>0</v>
      </c>
      <c r="K36" s="39">
        <f>SUM(K32:K34)</f>
        <v>0</v>
      </c>
      <c r="L36" s="61">
        <f>SUM(L32:L35)</f>
        <v>-26585</v>
      </c>
      <c r="M36" s="39">
        <f>SUM(M32:M35)</f>
        <v>15767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989473</v>
      </c>
      <c r="E39" s="65">
        <v>3349168</v>
      </c>
      <c r="F39" s="60">
        <f t="shared" ref="F39:G41" si="13">H39-D39</f>
        <v>0</v>
      </c>
      <c r="G39" s="37">
        <f t="shared" si="13"/>
        <v>0</v>
      </c>
      <c r="H39" s="65">
        <f t="shared" si="12"/>
        <v>989473</v>
      </c>
      <c r="I39" s="66">
        <f t="shared" si="12"/>
        <v>3349168</v>
      </c>
      <c r="J39" s="60"/>
      <c r="K39" s="38"/>
      <c r="L39" s="60">
        <f t="shared" ref="L39:M41" si="14">H39+J39</f>
        <v>989473</v>
      </c>
      <c r="M39" s="38">
        <f t="shared" si="14"/>
        <v>3349168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-2889962</v>
      </c>
      <c r="E40" s="65">
        <v>-6064413</v>
      </c>
      <c r="F40" s="60">
        <f t="shared" si="13"/>
        <v>0</v>
      </c>
      <c r="G40" s="37">
        <f t="shared" si="13"/>
        <v>0</v>
      </c>
      <c r="H40" s="65">
        <f t="shared" si="12"/>
        <v>-2889962</v>
      </c>
      <c r="I40" s="66">
        <f t="shared" si="12"/>
        <v>-6064413</v>
      </c>
      <c r="J40" s="65"/>
      <c r="K40" s="38"/>
      <c r="L40" s="60">
        <f t="shared" si="14"/>
        <v>-2889962</v>
      </c>
      <c r="M40" s="38">
        <f t="shared" si="14"/>
        <v>-6064413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-2889962</v>
      </c>
      <c r="E42" s="39">
        <v>-6064413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-2889962</v>
      </c>
      <c r="I42" s="39">
        <f>SUM(I40:I41)</f>
        <v>-6064413</v>
      </c>
      <c r="J42" s="69">
        <f t="shared" si="15"/>
        <v>0</v>
      </c>
      <c r="K42" s="39">
        <f t="shared" si="15"/>
        <v>0</v>
      </c>
      <c r="L42" s="69">
        <f t="shared" si="15"/>
        <v>-2889962</v>
      </c>
      <c r="M42" s="39">
        <f t="shared" si="15"/>
        <v>-6064413</v>
      </c>
    </row>
    <row r="43" spans="1:13" ht="21" customHeight="1" x14ac:dyDescent="0.2">
      <c r="A43" s="9"/>
      <c r="B43" s="7" t="s">
        <v>49</v>
      </c>
      <c r="C43" s="6"/>
      <c r="D43" s="61">
        <v>-1900489</v>
      </c>
      <c r="E43" s="39">
        <v>-2715245</v>
      </c>
      <c r="F43" s="61">
        <f t="shared" ref="F43:M43" si="16">F42+F39</f>
        <v>0</v>
      </c>
      <c r="G43" s="39">
        <f t="shared" si="16"/>
        <v>0</v>
      </c>
      <c r="H43" s="61">
        <f>H42+H39</f>
        <v>-1900489</v>
      </c>
      <c r="I43" s="39">
        <f>I42+I39</f>
        <v>-2715245</v>
      </c>
      <c r="J43" s="61">
        <f t="shared" si="16"/>
        <v>0</v>
      </c>
      <c r="K43" s="39">
        <f t="shared" si="16"/>
        <v>0</v>
      </c>
      <c r="L43" s="61">
        <f t="shared" si="16"/>
        <v>-1900489</v>
      </c>
      <c r="M43" s="39">
        <f t="shared" si="16"/>
        <v>-2715245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270413</v>
      </c>
      <c r="E49" s="65">
        <v>834224.10499999998</v>
      </c>
      <c r="F49" s="60">
        <f>H49-D49</f>
        <v>0</v>
      </c>
      <c r="G49" s="37">
        <f>I49-E49</f>
        <v>0</v>
      </c>
      <c r="H49" s="65">
        <f>D49</f>
        <v>270413</v>
      </c>
      <c r="I49" s="66">
        <f>E49</f>
        <v>834224.10499999998</v>
      </c>
      <c r="J49" s="60"/>
      <c r="K49" s="38"/>
      <c r="L49" s="60">
        <f>H49+J49</f>
        <v>270413</v>
      </c>
      <c r="M49" s="38">
        <f>I49+K49</f>
        <v>834224.10499999998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-547431</v>
      </c>
      <c r="E51" s="65">
        <v>-1279975</v>
      </c>
      <c r="F51" s="60">
        <f>H51-D51</f>
        <v>0</v>
      </c>
      <c r="G51" s="37">
        <f>I51-E51</f>
        <v>0</v>
      </c>
      <c r="H51" s="65">
        <f>D51</f>
        <v>-547431</v>
      </c>
      <c r="I51" s="66">
        <f>E51</f>
        <v>-1279975</v>
      </c>
      <c r="J51" s="60"/>
      <c r="K51" s="38"/>
      <c r="L51" s="60">
        <f>H51+J51</f>
        <v>-547431</v>
      </c>
      <c r="M51" s="38">
        <f>I51+K51</f>
        <v>-1279975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-736929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-736929</v>
      </c>
      <c r="J54" s="60"/>
      <c r="K54" s="38"/>
      <c r="L54" s="60">
        <f>H54+J54</f>
        <v>0</v>
      </c>
      <c r="M54" s="38">
        <f>I54+K54</f>
        <v>-736929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-10256821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-10256821</v>
      </c>
      <c r="J55" s="60"/>
      <c r="K55" s="38"/>
      <c r="L55" s="60">
        <f>H55+J55</f>
        <v>0</v>
      </c>
      <c r="M55" s="38">
        <f>I55+K55</f>
        <v>-10256821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-10993750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-10993750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-10993750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6830063.1358007938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6830063.1358007938</v>
      </c>
      <c r="J70" s="65"/>
      <c r="K70" s="38"/>
      <c r="L70" s="60">
        <f t="shared" si="20"/>
        <v>0</v>
      </c>
      <c r="M70" s="38">
        <f t="shared" si="20"/>
        <v>6830063.1358007938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-8066079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-8066079</v>
      </c>
      <c r="J71" s="65"/>
      <c r="K71" s="38"/>
      <c r="L71" s="60">
        <f t="shared" si="20"/>
        <v>0</v>
      </c>
      <c r="M71" s="38">
        <f t="shared" si="20"/>
        <v>-8066079</v>
      </c>
    </row>
    <row r="72" spans="1:13" x14ac:dyDescent="0.2">
      <c r="A72" s="9"/>
      <c r="B72" s="3"/>
      <c r="C72" s="55" t="s">
        <v>69</v>
      </c>
      <c r="D72" s="61">
        <v>0</v>
      </c>
      <c r="E72" s="39">
        <v>-1236015.8641992062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-1236015.8641992062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-1236015.8641992062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-1488894.9367192537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-1488894.9367192537</v>
      </c>
      <c r="J74" s="60"/>
      <c r="K74" s="38"/>
      <c r="L74" s="60">
        <f t="shared" si="23"/>
        <v>0</v>
      </c>
      <c r="M74" s="38">
        <f t="shared" si="23"/>
        <v>-1488894.9367192537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2928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2928</v>
      </c>
      <c r="J75" s="60"/>
      <c r="K75" s="38"/>
      <c r="L75" s="60">
        <f t="shared" si="23"/>
        <v>0</v>
      </c>
      <c r="M75" s="38">
        <f t="shared" si="23"/>
        <v>2928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179915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179915</v>
      </c>
      <c r="J81" s="60"/>
      <c r="K81" s="38"/>
      <c r="L81" s="60">
        <f t="shared" si="23"/>
        <v>0</v>
      </c>
      <c r="M81" s="38">
        <f t="shared" si="23"/>
        <v>179915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16</v>
      </c>
      <c r="E82" s="74">
        <f>SUM(E72:E81)+E16+E24+E29+E36+E43+E45+E47+E49+E51+E56+E61+E66</f>
        <v>76758.304081540555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76758.304081540555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76758.304081540555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J179"/>
  <sheetViews>
    <sheetView zoomScale="75" workbookViewId="0">
      <pane xSplit="3" ySplit="9" topLeftCell="W79" activePane="bottomRight" state="frozen"/>
      <selection activeCell="Q646" sqref="Q646"/>
      <selection pane="topRight" activeCell="Q646" sqref="Q646"/>
      <selection pane="bottomLeft" activeCell="Q646" sqref="Q646"/>
      <selection pane="bottomRight" activeCell="AC90" sqref="AC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47324807</v>
      </c>
      <c r="E11" s="38">
        <f>SUM(G11,I11,K11,M11,O11,Q11,S11,U11,W11,Y11,AA11,AC11,AE11)</f>
        <v>129596067.85999998</v>
      </c>
      <c r="F11" s="60">
        <f>'TIE-OUT'!F11+RECLASS!F11</f>
        <v>0</v>
      </c>
      <c r="G11" s="38">
        <f>'TIE-OUT'!G11+RECLASS!G11</f>
        <v>-885000</v>
      </c>
      <c r="H11" s="127">
        <f>+Actuals!E124</f>
        <v>47244951</v>
      </c>
      <c r="I11" s="128">
        <f>+Actuals!F124</f>
        <v>134842586.57999998</v>
      </c>
      <c r="J11" s="127">
        <f>+Actuals!G124</f>
        <v>212318</v>
      </c>
      <c r="K11" s="128">
        <f>+Actuals!H124</f>
        <v>251838.01</v>
      </c>
      <c r="L11" s="127">
        <f>+Actuals!I164</f>
        <v>-61899</v>
      </c>
      <c r="M11" s="128">
        <f>+Actuals!J164</f>
        <v>-4565397.76</v>
      </c>
      <c r="N11" s="127">
        <f>+Actuals!K164</f>
        <v>0</v>
      </c>
      <c r="O11" s="128">
        <f>+Actuals!L164</f>
        <v>0</v>
      </c>
      <c r="P11" s="127">
        <f>+Actuals!M164</f>
        <v>46499</v>
      </c>
      <c r="Q11" s="128">
        <f>+Actuals!N164</f>
        <v>142449.69</v>
      </c>
      <c r="R11" s="127">
        <f>+Actuals!O164</f>
        <v>-23499</v>
      </c>
      <c r="S11" s="128">
        <f>+Actuals!P164</f>
        <v>-71989.19</v>
      </c>
      <c r="T11" s="127">
        <f>+Actuals!Q164</f>
        <v>23520</v>
      </c>
      <c r="U11" s="128">
        <f>+Actuals!R164+100000</f>
        <v>172017.74</v>
      </c>
      <c r="V11" s="127">
        <f>+Actuals!S164</f>
        <v>0</v>
      </c>
      <c r="W11" s="128">
        <f>+Actuals!T164</f>
        <v>0</v>
      </c>
      <c r="X11" s="127">
        <f>+Actuals!U124</f>
        <v>0</v>
      </c>
      <c r="Y11" s="128">
        <f>+Actuals!V124</f>
        <v>0</v>
      </c>
      <c r="Z11" s="127">
        <v>-117083</v>
      </c>
      <c r="AA11" s="128">
        <v>-290437.21000000002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4164023.12</v>
      </c>
      <c r="F12" s="60">
        <f>'TIE-OUT'!F12+RECLASS!F12</f>
        <v>0</v>
      </c>
      <c r="G12" s="38">
        <f>'TIE-OUT'!G12+RECLASS!G12</f>
        <v>4164023.12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28">
        <f>+Actuals!H125</f>
        <v>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35737339</v>
      </c>
      <c r="E13" s="38">
        <f t="shared" si="0"/>
        <v>93600811</v>
      </c>
      <c r="F13" s="60">
        <f>'TIE-OUT'!F13+RECLASS!F13</f>
        <v>0</v>
      </c>
      <c r="G13" s="38">
        <f>'TIE-OUT'!G13+RECLASS!G13</f>
        <v>0</v>
      </c>
      <c r="H13" s="127">
        <f>+Actuals!E126</f>
        <v>35578140</v>
      </c>
      <c r="I13" s="128">
        <f>+Actuals!F126</f>
        <v>93260882</v>
      </c>
      <c r="J13" s="127">
        <f>+Actuals!G126</f>
        <v>-26421082</v>
      </c>
      <c r="K13" s="128">
        <f>+Actuals!H126</f>
        <v>-68771314</v>
      </c>
      <c r="L13" s="127">
        <f>+Actuals!I166</f>
        <v>35578140</v>
      </c>
      <c r="M13" s="128">
        <f>+Actuals!J166</f>
        <v>93260882</v>
      </c>
      <c r="N13" s="127">
        <f>+Actuals!K166</f>
        <v>0</v>
      </c>
      <c r="O13" s="128">
        <f>+Actuals!L166</f>
        <v>0</v>
      </c>
      <c r="P13" s="127">
        <f>+Actuals!M166</f>
        <v>-35578140</v>
      </c>
      <c r="Q13" s="128">
        <f>+Actuals!N166</f>
        <v>-93260882</v>
      </c>
      <c r="R13" s="127">
        <f>+Actuals!O166</f>
        <v>0</v>
      </c>
      <c r="S13" s="128">
        <f>+Actuals!P166</f>
        <v>0</v>
      </c>
      <c r="T13" s="127">
        <f>+Actuals!Q166</f>
        <v>0</v>
      </c>
      <c r="U13" s="128">
        <f>+Actuals!R166</f>
        <v>0</v>
      </c>
      <c r="V13" s="127">
        <f>+Actuals!S166</f>
        <v>26580281</v>
      </c>
      <c r="W13" s="128">
        <f>+Actuals!T166</f>
        <v>69111243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1540525.1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1606252.1</v>
      </c>
      <c r="J15" s="127">
        <f>+Actuals!G128</f>
        <v>0</v>
      </c>
      <c r="K15" s="129">
        <f>+Actuals!H128</f>
        <v>-78142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9">
        <f>+Actuals!N168</f>
        <v>12415</v>
      </c>
      <c r="R15" s="127">
        <f>+Actuals!O168</f>
        <v>0</v>
      </c>
      <c r="S15" s="129">
        <f>+Actuals!P168</f>
        <v>0</v>
      </c>
      <c r="T15" s="127">
        <f>+Actuals!Q168</f>
        <v>0</v>
      </c>
      <c r="U15" s="129">
        <f>+Actuals!R168</f>
        <v>0</v>
      </c>
      <c r="V15" s="127">
        <f>+Actuals!S168</f>
        <v>0</v>
      </c>
      <c r="W15" s="129">
        <f>+Actuals!T168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83062146</v>
      </c>
      <c r="E16" s="39">
        <f t="shared" si="1"/>
        <v>228901427.07999998</v>
      </c>
      <c r="F16" s="61">
        <f t="shared" si="1"/>
        <v>0</v>
      </c>
      <c r="G16" s="39">
        <f t="shared" si="1"/>
        <v>3279023.12</v>
      </c>
      <c r="H16" s="61">
        <f t="shared" si="1"/>
        <v>82823091</v>
      </c>
      <c r="I16" s="82">
        <f t="shared" si="1"/>
        <v>229709720.67999998</v>
      </c>
      <c r="J16" s="61">
        <f t="shared" ref="J16:AE16" si="2">SUM(J11:J15)</f>
        <v>-26208764</v>
      </c>
      <c r="K16" s="82">
        <f t="shared" si="2"/>
        <v>-68597617.989999995</v>
      </c>
      <c r="L16" s="61">
        <f t="shared" si="2"/>
        <v>35516241</v>
      </c>
      <c r="M16" s="39">
        <f t="shared" si="2"/>
        <v>88695484.239999995</v>
      </c>
      <c r="N16" s="61">
        <f t="shared" ref="N16:S16" si="3">SUM(N11:N15)</f>
        <v>0</v>
      </c>
      <c r="O16" s="39">
        <f t="shared" si="3"/>
        <v>0</v>
      </c>
      <c r="P16" s="61">
        <f t="shared" si="3"/>
        <v>-35531641</v>
      </c>
      <c r="Q16" s="82">
        <f t="shared" si="3"/>
        <v>-93106017.310000002</v>
      </c>
      <c r="R16" s="61">
        <f t="shared" si="3"/>
        <v>-23499</v>
      </c>
      <c r="S16" s="82">
        <f t="shared" si="3"/>
        <v>-71989.19</v>
      </c>
      <c r="T16" s="61">
        <f>SUM(T11:T15)</f>
        <v>23520</v>
      </c>
      <c r="U16" s="82">
        <f>SUM(U11:U15)</f>
        <v>172017.74</v>
      </c>
      <c r="V16" s="61">
        <f>SUM(V11:V15)</f>
        <v>26580281</v>
      </c>
      <c r="W16" s="82">
        <f>SUM(W11:W15)</f>
        <v>69111243</v>
      </c>
      <c r="X16" s="61">
        <f t="shared" si="2"/>
        <v>0</v>
      </c>
      <c r="Y16" s="82">
        <f t="shared" si="2"/>
        <v>0</v>
      </c>
      <c r="Z16" s="61">
        <f t="shared" si="2"/>
        <v>-117083</v>
      </c>
      <c r="AA16" s="82">
        <f t="shared" si="2"/>
        <v>-290437.21000000002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-56840196</v>
      </c>
      <c r="E19" s="38">
        <f t="shared" si="4"/>
        <v>-164253322.96000001</v>
      </c>
      <c r="F19" s="64">
        <f>'TIE-OUT'!F19+RECLASS!F19</f>
        <v>0</v>
      </c>
      <c r="G19" s="68">
        <f>'TIE-OUT'!G19+RECLASS!G19</f>
        <v>2048239</v>
      </c>
      <c r="H19" s="127">
        <f>+Actuals!E129</f>
        <v>-55906790</v>
      </c>
      <c r="I19" s="128">
        <f>+Actuals!F129</f>
        <v>-163161798.62</v>
      </c>
      <c r="J19" s="127">
        <f>+Actuals!G129</f>
        <v>-922283</v>
      </c>
      <c r="K19" s="128">
        <f>+Actuals!H129</f>
        <v>-2820287.98</v>
      </c>
      <c r="L19" s="127">
        <f>+Actuals!I169</f>
        <v>1921</v>
      </c>
      <c r="M19" s="128">
        <f>+Actuals!J169</f>
        <v>-218264.29</v>
      </c>
      <c r="N19" s="127">
        <f>+Actuals!K169</f>
        <v>-14367</v>
      </c>
      <c r="O19" s="128">
        <f>+Actuals!L169</f>
        <v>-34676.120000000003</v>
      </c>
      <c r="P19" s="127">
        <f>+Actuals!M169</f>
        <v>1323</v>
      </c>
      <c r="Q19" s="128">
        <f>+Actuals!N169</f>
        <v>-66534.52</v>
      </c>
      <c r="R19" s="127">
        <f>+Actuals!O169</f>
        <v>0</v>
      </c>
      <c r="S19" s="128">
        <f>+Actuals!P169</f>
        <v>0</v>
      </c>
      <c r="T19" s="127">
        <f>+Actuals!Q169</f>
        <v>0</v>
      </c>
      <c r="U19" s="128">
        <f>+Actuals!R169</f>
        <v>50999.67</v>
      </c>
      <c r="V19" s="127">
        <f>+Actuals!S169</f>
        <v>0</v>
      </c>
      <c r="W19" s="128">
        <f>+Actuals!T169</f>
        <v>0</v>
      </c>
      <c r="X19" s="127">
        <f>-1373342+248558</f>
        <v>-1124784</v>
      </c>
      <c r="Y19" s="128">
        <f>-3160621.7+761457</f>
        <v>-2399164.7000000002</v>
      </c>
      <c r="Z19" s="127">
        <v>1124784</v>
      </c>
      <c r="AA19" s="128">
        <v>2348164.6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-3901847.5</v>
      </c>
      <c r="F20" s="60">
        <f>'TIE-OUT'!F20+RECLASS!F20</f>
        <v>0</v>
      </c>
      <c r="G20" s="38">
        <f>'TIE-OUT'!G20+RECLASS!G20</f>
        <v>-3901847.5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v>0</v>
      </c>
      <c r="L20" s="127">
        <f>+Actuals!I170</f>
        <v>0</v>
      </c>
      <c r="M20" s="155">
        <v>0</v>
      </c>
      <c r="N20" s="127">
        <f>+Actuals!K170</f>
        <v>0</v>
      </c>
      <c r="O20" s="155">
        <v>0</v>
      </c>
      <c r="P20" s="127">
        <f>+Actuals!M170</f>
        <v>0</v>
      </c>
      <c r="Q20" s="128">
        <v>0</v>
      </c>
      <c r="R20" s="127">
        <f>+Actuals!O170</f>
        <v>0</v>
      </c>
      <c r="S20" s="128">
        <v>0</v>
      </c>
      <c r="T20" s="127">
        <f>+Actuals!Q170</f>
        <v>0</v>
      </c>
      <c r="U20" s="128">
        <v>0</v>
      </c>
      <c r="V20" s="127">
        <f>+Actuals!S170</f>
        <v>0</v>
      </c>
      <c r="W20" s="128"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-26058997</v>
      </c>
      <c r="E21" s="38">
        <f t="shared" si="4"/>
        <v>-65027695</v>
      </c>
      <c r="F21" s="60">
        <f>'TIE-OUT'!F21+RECLASS!F21</f>
        <v>0</v>
      </c>
      <c r="G21" s="38">
        <f>'TIE-OUT'!G21+RECLASS!G21</f>
        <v>0</v>
      </c>
      <c r="H21" s="127">
        <f>+Actuals!E131</f>
        <v>-25611997</v>
      </c>
      <c r="I21" s="128">
        <f>+Actuals!F131</f>
        <v>-63714632</v>
      </c>
      <c r="J21" s="127">
        <f>+Actuals!G131</f>
        <v>18162518</v>
      </c>
      <c r="K21" s="128">
        <f>+Actuals!H131</f>
        <v>42789487</v>
      </c>
      <c r="L21" s="127">
        <f>+Actuals!I171</f>
        <v>-25656960</v>
      </c>
      <c r="M21" s="128">
        <f>+Actuals!J171</f>
        <v>-63820070</v>
      </c>
      <c r="N21" s="127">
        <f>+Actuals!K171</f>
        <v>0</v>
      </c>
      <c r="O21" s="128">
        <f>+Actuals!L171</f>
        <v>0</v>
      </c>
      <c r="P21" s="127">
        <f>+Actuals!M171</f>
        <v>25611997</v>
      </c>
      <c r="Q21" s="128">
        <f>+Actuals!N171</f>
        <v>63714632</v>
      </c>
      <c r="R21" s="127">
        <f>+Actuals!O171</f>
        <v>0</v>
      </c>
      <c r="S21" s="128">
        <f>+Actuals!P171</f>
        <v>0</v>
      </c>
      <c r="T21" s="127">
        <f>+Actuals!Q171</f>
        <v>0</v>
      </c>
      <c r="U21" s="128">
        <f>+Actuals!R171</f>
        <v>0</v>
      </c>
      <c r="V21" s="127">
        <f>+Actuals!S171</f>
        <v>-18564555</v>
      </c>
      <c r="W21" s="128">
        <f>+Actuals!T171</f>
        <v>-43997112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223282</v>
      </c>
      <c r="E23" s="38">
        <f t="shared" si="4"/>
        <v>684024.84250000003</v>
      </c>
      <c r="F23" s="81">
        <f>'TIE-OUT'!F23+RECLASS!F23</f>
        <v>0</v>
      </c>
      <c r="G23" s="82">
        <f>'TIE-OUT'!G23+RECLASS!G23</f>
        <v>0</v>
      </c>
      <c r="H23" s="127">
        <f>+Actuals!E133</f>
        <v>661286</v>
      </c>
      <c r="I23" s="129">
        <f>+Actuals!F133</f>
        <v>2025849.6610000001</v>
      </c>
      <c r="J23" s="127">
        <f>+Actuals!G133</f>
        <v>45507</v>
      </c>
      <c r="K23" s="129">
        <f>+Actuals!H133</f>
        <v>139410.69450000001</v>
      </c>
      <c r="L23" s="127">
        <f>+Actuals!I173</f>
        <v>690</v>
      </c>
      <c r="M23" s="128">
        <f>+Actuals!J173</f>
        <v>2113.8150000000001</v>
      </c>
      <c r="N23" s="127">
        <f>+Actuals!K173</f>
        <v>-860</v>
      </c>
      <c r="O23" s="128">
        <f>+Actuals!L173</f>
        <v>-2634.61</v>
      </c>
      <c r="P23" s="127">
        <f>+Actuals!M173</f>
        <v>-234808</v>
      </c>
      <c r="Q23" s="129">
        <f>+Actuals!N173</f>
        <v>-719334.30550000002</v>
      </c>
      <c r="R23" s="127">
        <f>+Actuals!O173</f>
        <v>31</v>
      </c>
      <c r="S23" s="129">
        <f>+Actuals!P173</f>
        <v>94.968500000000006</v>
      </c>
      <c r="T23" s="127">
        <f>+Actuals!Q173</f>
        <v>0</v>
      </c>
      <c r="U23" s="129">
        <f>+Actuals!R173</f>
        <v>0</v>
      </c>
      <c r="V23" s="127">
        <f>+Actuals!S173</f>
        <v>-6</v>
      </c>
      <c r="W23" s="129">
        <f>+Actuals!T173</f>
        <v>-18.381</v>
      </c>
      <c r="X23" s="127">
        <v>-248558</v>
      </c>
      <c r="Y23" s="129">
        <v>-761457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-82675911</v>
      </c>
      <c r="E24" s="39">
        <f t="shared" si="5"/>
        <v>-232498840.61750001</v>
      </c>
      <c r="F24" s="61">
        <f t="shared" si="5"/>
        <v>0</v>
      </c>
      <c r="G24" s="39">
        <f t="shared" si="5"/>
        <v>-1853608.5</v>
      </c>
      <c r="H24" s="61">
        <f t="shared" si="5"/>
        <v>-80857501</v>
      </c>
      <c r="I24" s="39">
        <f t="shared" si="5"/>
        <v>-224850580.95899999</v>
      </c>
      <c r="J24" s="61">
        <f t="shared" ref="J24:AE24" si="6">SUM(J19:J23)</f>
        <v>17285742</v>
      </c>
      <c r="K24" s="39">
        <f t="shared" si="6"/>
        <v>40108609.714500003</v>
      </c>
      <c r="L24" s="61">
        <f t="shared" si="6"/>
        <v>-25654349</v>
      </c>
      <c r="M24" s="39">
        <f t="shared" si="6"/>
        <v>-64036220.475000001</v>
      </c>
      <c r="N24" s="61">
        <f t="shared" ref="N24:S24" si="7">SUM(N19:N23)</f>
        <v>-15227</v>
      </c>
      <c r="O24" s="39">
        <f t="shared" si="7"/>
        <v>-37310.730000000003</v>
      </c>
      <c r="P24" s="61">
        <f t="shared" si="7"/>
        <v>25378512</v>
      </c>
      <c r="Q24" s="39">
        <f t="shared" si="7"/>
        <v>62928763.174499996</v>
      </c>
      <c r="R24" s="61">
        <f t="shared" si="7"/>
        <v>31</v>
      </c>
      <c r="S24" s="39">
        <f t="shared" si="7"/>
        <v>94.968500000000006</v>
      </c>
      <c r="T24" s="61">
        <f>SUM(T19:T23)</f>
        <v>0</v>
      </c>
      <c r="U24" s="39">
        <f>SUM(U19:U23)</f>
        <v>50999.67</v>
      </c>
      <c r="V24" s="61">
        <f>SUM(V19:V23)</f>
        <v>-18564561</v>
      </c>
      <c r="W24" s="39">
        <f>SUM(W19:W23)</f>
        <v>-43997130.380999997</v>
      </c>
      <c r="X24" s="61">
        <f t="shared" si="6"/>
        <v>-1373342</v>
      </c>
      <c r="Y24" s="39">
        <f t="shared" si="6"/>
        <v>-3160621.7</v>
      </c>
      <c r="Z24" s="61">
        <f t="shared" si="6"/>
        <v>1124784</v>
      </c>
      <c r="AA24" s="39">
        <f t="shared" si="6"/>
        <v>2348164.6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721409</v>
      </c>
      <c r="E27" s="38">
        <f>SUM(G27,I27,K27,M27,O27,Q27,S27,U27,W27,Y27,AA27,AC27,AE27)</f>
        <v>1594345.52</v>
      </c>
      <c r="F27" s="64">
        <f>'TIE-OUT'!F27+RECLASS!F27</f>
        <v>0</v>
      </c>
      <c r="G27" s="68">
        <f>'TIE-OUT'!G27+RECLASS!G27</f>
        <v>0</v>
      </c>
      <c r="H27" s="127">
        <f>+Actuals!E134</f>
        <v>721904</v>
      </c>
      <c r="I27" s="128">
        <f>+Actuals!F134</f>
        <v>1595686.97</v>
      </c>
      <c r="J27" s="127">
        <f>+Actuals!G134</f>
        <v>-495</v>
      </c>
      <c r="K27" s="128">
        <f>+Actuals!H134</f>
        <v>-1341.45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-25000</v>
      </c>
      <c r="E28" s="38">
        <f>SUM(G28,I28,K28,M28,O28,Q28,S28,U28,W28,Y28,AA28,AC28,AE28)</f>
        <v>-63750</v>
      </c>
      <c r="F28" s="81">
        <f>'TIE-OUT'!F28+RECLASS!F28</f>
        <v>0</v>
      </c>
      <c r="G28" s="82">
        <f>'TIE-OUT'!G28+RECLASS!G28</f>
        <v>0</v>
      </c>
      <c r="H28" s="127">
        <f>+Actuals!E135</f>
        <v>-25000</v>
      </c>
      <c r="I28" s="128">
        <f>+Actuals!F135</f>
        <v>-63750</v>
      </c>
      <c r="J28" s="127">
        <f>+Actuals!G135</f>
        <v>0</v>
      </c>
      <c r="K28" s="128">
        <f>+Actuals!H135</f>
        <v>0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696409</v>
      </c>
      <c r="E29" s="39">
        <f t="shared" si="8"/>
        <v>1530595.52</v>
      </c>
      <c r="F29" s="61">
        <f t="shared" si="8"/>
        <v>0</v>
      </c>
      <c r="G29" s="39">
        <f t="shared" si="8"/>
        <v>0</v>
      </c>
      <c r="H29" s="61">
        <f t="shared" si="8"/>
        <v>696904</v>
      </c>
      <c r="I29" s="39">
        <f t="shared" si="8"/>
        <v>1531936.97</v>
      </c>
      <c r="J29" s="61">
        <f t="shared" ref="J29:AE29" si="9">SUM(J27:J28)</f>
        <v>-495</v>
      </c>
      <c r="K29" s="39">
        <f t="shared" si="9"/>
        <v>-1341.45</v>
      </c>
      <c r="L29" s="61">
        <f t="shared" si="9"/>
        <v>0</v>
      </c>
      <c r="M29" s="39">
        <f t="shared" si="9"/>
        <v>0</v>
      </c>
      <c r="N29" s="61">
        <f t="shared" ref="N29:S29" si="10">SUM(N27:N28)</f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>SUM(W27:W28)</f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542890</v>
      </c>
      <c r="E32" s="38">
        <f t="shared" si="11"/>
        <v>1663143.5189999992</v>
      </c>
      <c r="F32" s="64">
        <f>'TIE-OUT'!F32+RECLASS!F32</f>
        <v>0</v>
      </c>
      <c r="G32" s="68">
        <f>'TIE-OUT'!G32+RECLASS!G32</f>
        <v>0</v>
      </c>
      <c r="H32" s="127">
        <f>+Actuals!E136</f>
        <v>-2570633</v>
      </c>
      <c r="I32" s="128">
        <f>+Actuals!F136</f>
        <v>-7875134.1955000004</v>
      </c>
      <c r="J32" s="127">
        <f>+Actuals!G136</f>
        <v>2787258</v>
      </c>
      <c r="K32" s="128">
        <f>+Actuals!H136</f>
        <v>8538764.8829999994</v>
      </c>
      <c r="L32" s="127">
        <f>+Actuals!I176</f>
        <v>125632</v>
      </c>
      <c r="M32" s="128">
        <f>+Actuals!J176</f>
        <v>384873.63199999998</v>
      </c>
      <c r="N32" s="127">
        <f>+Actuals!K176</f>
        <v>56593</v>
      </c>
      <c r="O32" s="128">
        <f>+Actuals!L176</f>
        <v>173372.65549999999</v>
      </c>
      <c r="P32" s="127">
        <f>+Actuals!M176</f>
        <v>2407</v>
      </c>
      <c r="Q32" s="128">
        <f>+Actuals!N176</f>
        <v>7373.8445000000002</v>
      </c>
      <c r="R32" s="127">
        <f>+Actuals!O176</f>
        <v>-140068</v>
      </c>
      <c r="S32" s="128">
        <f>+Actuals!P176</f>
        <v>-429098.31800000003</v>
      </c>
      <c r="T32" s="127">
        <f>+Actuals!Q176</f>
        <v>-21</v>
      </c>
      <c r="U32" s="128">
        <f>+Actuals!R176</f>
        <v>-64.333500000000001</v>
      </c>
      <c r="V32" s="127">
        <f>+Actuals!S176</f>
        <v>60006</v>
      </c>
      <c r="W32" s="128">
        <f>+Actuals!T176</f>
        <v>183828.38099999999</v>
      </c>
      <c r="X32" s="127">
        <v>221716</v>
      </c>
      <c r="Y32" s="128">
        <v>679226.97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-19871</v>
      </c>
      <c r="E33" s="38">
        <f t="shared" si="11"/>
        <v>-46030.16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-8229</v>
      </c>
      <c r="K33" s="128">
        <f>+Actuals!H137</f>
        <v>-18897.18</v>
      </c>
      <c r="L33" s="127">
        <f>+Actuals!I177</f>
        <v>-6930</v>
      </c>
      <c r="M33" s="128">
        <f>+Actuals!J177</f>
        <v>-16655.759999999998</v>
      </c>
      <c r="N33" s="127">
        <f>+Actuals!K177</f>
        <v>0</v>
      </c>
      <c r="O33" s="128">
        <f>+Actuals!L177</f>
        <v>0</v>
      </c>
      <c r="P33" s="127">
        <f>+Actuals!M177</f>
        <v>-3973</v>
      </c>
      <c r="Q33" s="128">
        <f>+Actuals!N177</f>
        <v>-8788.4599999999991</v>
      </c>
      <c r="R33" s="127">
        <f>+Actuals!O177</f>
        <v>-739</v>
      </c>
      <c r="S33" s="128">
        <f>+Actuals!P177</f>
        <v>-1688.76</v>
      </c>
      <c r="T33" s="127">
        <f>+Actuals!Q177</f>
        <v>0</v>
      </c>
      <c r="U33" s="128">
        <f>+Actuals!R177</f>
        <v>0</v>
      </c>
      <c r="V33" s="127">
        <f>+Actuals!S177</f>
        <v>0</v>
      </c>
      <c r="W33" s="128">
        <f>+Actuals!T177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12889</v>
      </c>
      <c r="E34" s="38">
        <f t="shared" si="11"/>
        <v>31046.690000000002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4</v>
      </c>
      <c r="K34" s="128">
        <f>+Actuals!H138</f>
        <v>9.14</v>
      </c>
      <c r="L34" s="127">
        <f>+Actuals!I178</f>
        <v>12177</v>
      </c>
      <c r="M34" s="128">
        <f>+Actuals!J178</f>
        <v>29419.63</v>
      </c>
      <c r="N34" s="127">
        <f>+Actuals!K178</f>
        <v>0</v>
      </c>
      <c r="O34" s="128">
        <f>+Actuals!L178</f>
        <v>0</v>
      </c>
      <c r="P34" s="127">
        <f>+Actuals!M178</f>
        <v>708</v>
      </c>
      <c r="Q34" s="128">
        <f>+Actuals!N178</f>
        <v>1617.92</v>
      </c>
      <c r="R34" s="127">
        <f>+Actuals!O178</f>
        <v>0</v>
      </c>
      <c r="S34" s="128">
        <f>+Actuals!P178</f>
        <v>0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-738924.79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-738924.79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535908</v>
      </c>
      <c r="E36" s="39">
        <f t="shared" si="12"/>
        <v>909235.25899999915</v>
      </c>
      <c r="F36" s="61">
        <f t="shared" si="12"/>
        <v>0</v>
      </c>
      <c r="G36" s="39">
        <f t="shared" si="12"/>
        <v>0</v>
      </c>
      <c r="H36" s="61">
        <f t="shared" si="12"/>
        <v>-2570633</v>
      </c>
      <c r="I36" s="39">
        <f t="shared" si="12"/>
        <v>-7875134.1955000004</v>
      </c>
      <c r="J36" s="61">
        <f t="shared" ref="J36:AE36" si="13">SUM(J32:J35)</f>
        <v>2779033</v>
      </c>
      <c r="K36" s="39">
        <f t="shared" si="13"/>
        <v>8519876.8430000003</v>
      </c>
      <c r="L36" s="61">
        <f t="shared" si="13"/>
        <v>130879</v>
      </c>
      <c r="M36" s="39">
        <f t="shared" si="13"/>
        <v>397637.50199999998</v>
      </c>
      <c r="N36" s="61">
        <f t="shared" ref="N36:S36" si="14">SUM(N32:N35)</f>
        <v>56593</v>
      </c>
      <c r="O36" s="39">
        <f t="shared" si="14"/>
        <v>173372.65549999999</v>
      </c>
      <c r="P36" s="61">
        <f t="shared" si="14"/>
        <v>-858</v>
      </c>
      <c r="Q36" s="39">
        <f t="shared" si="14"/>
        <v>203.3045000000011</v>
      </c>
      <c r="R36" s="61">
        <f t="shared" si="14"/>
        <v>-140807</v>
      </c>
      <c r="S36" s="39">
        <f t="shared" si="14"/>
        <v>-430787.07800000004</v>
      </c>
      <c r="T36" s="61">
        <f>SUM(T32:T35)</f>
        <v>-21</v>
      </c>
      <c r="U36" s="39">
        <f>SUM(U32:U35)</f>
        <v>-64.333500000000001</v>
      </c>
      <c r="V36" s="61">
        <f>SUM(V32:V35)</f>
        <v>60006</v>
      </c>
      <c r="W36" s="39">
        <f>SUM(W32:W35)</f>
        <v>-555096.40899999999</v>
      </c>
      <c r="X36" s="61">
        <f t="shared" si="13"/>
        <v>221716</v>
      </c>
      <c r="Y36" s="39">
        <f t="shared" si="13"/>
        <v>679226.97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203591</v>
      </c>
      <c r="E39" s="38">
        <f t="shared" si="15"/>
        <v>623701.02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203591</v>
      </c>
      <c r="K39" s="128">
        <f>+Actuals!H140</f>
        <v>623701.02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-995324</v>
      </c>
      <c r="E40" s="38">
        <f t="shared" si="15"/>
        <v>-2394880.62</v>
      </c>
      <c r="F40" s="60">
        <f>'TIE-OUT'!F40+RECLASS!F40</f>
        <v>0</v>
      </c>
      <c r="G40" s="38">
        <f>'TIE-OUT'!G40+RECLASS!G40</f>
        <v>0</v>
      </c>
      <c r="H40" s="127">
        <f>+Actuals!E141</f>
        <v>0</v>
      </c>
      <c r="I40" s="128">
        <f>+Actuals!F141</f>
        <v>0</v>
      </c>
      <c r="J40" s="127">
        <f>+Actuals!G141</f>
        <v>-1245237</v>
      </c>
      <c r="K40" s="128">
        <f>+Actuals!H141</f>
        <v>-2986150.83</v>
      </c>
      <c r="L40" s="127">
        <f>+Actuals!I181</f>
        <v>249913</v>
      </c>
      <c r="M40" s="128">
        <f>+Actuals!J181</f>
        <v>589433.32999999996</v>
      </c>
      <c r="N40" s="127">
        <f>+Actuals!K181</f>
        <v>0</v>
      </c>
      <c r="O40" s="128">
        <f>+Actuals!L181</f>
        <v>1836.88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-995324</v>
      </c>
      <c r="E42" s="39">
        <f t="shared" si="16"/>
        <v>-2394880.62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ref="J42:AE42" si="17">SUM(J40:J41)</f>
        <v>-1245237</v>
      </c>
      <c r="K42" s="39">
        <f t="shared" si="17"/>
        <v>-2986150.83</v>
      </c>
      <c r="L42" s="61">
        <f t="shared" si="17"/>
        <v>249913</v>
      </c>
      <c r="M42" s="39">
        <f t="shared" si="17"/>
        <v>589433.32999999996</v>
      </c>
      <c r="N42" s="61">
        <f t="shared" ref="N42:S42" si="18">SUM(N40:N41)</f>
        <v>0</v>
      </c>
      <c r="O42" s="39">
        <f t="shared" si="18"/>
        <v>1836.88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-791733</v>
      </c>
      <c r="E43" s="39">
        <f t="shared" si="19"/>
        <v>-1771179.6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ref="J43:AE43" si="20">J42+J39</f>
        <v>-1041646</v>
      </c>
      <c r="K43" s="39">
        <f t="shared" si="20"/>
        <v>-2362449.81</v>
      </c>
      <c r="L43" s="61">
        <f t="shared" si="20"/>
        <v>249913</v>
      </c>
      <c r="M43" s="39">
        <f t="shared" si="20"/>
        <v>589433.32999999996</v>
      </c>
      <c r="N43" s="61">
        <f t="shared" ref="N43:S43" si="21">N42+N39</f>
        <v>0</v>
      </c>
      <c r="O43" s="39">
        <f t="shared" si="21"/>
        <v>1836.88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-826819</v>
      </c>
      <c r="E49" s="38">
        <f>SUM(G49,I49,K49,M49,O49,Q49,S49,U49,W49,Y49,AA49,AC49,AE49)</f>
        <v>-2532960.0040000025</v>
      </c>
      <c r="F49" s="60">
        <f>'TIE-OUT'!F49+RECLASS!F49</f>
        <v>0</v>
      </c>
      <c r="G49" s="38">
        <f>'TIE-OUT'!G49+RECLASS!G49</f>
        <v>0</v>
      </c>
      <c r="H49" s="127">
        <f>+Actuals!E145</f>
        <v>-91861</v>
      </c>
      <c r="I49" s="128">
        <f>+Actuals!F145</f>
        <v>-281416.17349999998</v>
      </c>
      <c r="J49" s="127">
        <f>+Actuals!G145</f>
        <v>7186130</v>
      </c>
      <c r="K49" s="128">
        <f>+Actuals!H145</f>
        <v>22014709.255000003</v>
      </c>
      <c r="L49" s="127">
        <f>+Actuals!I185</f>
        <v>-10242684</v>
      </c>
      <c r="M49" s="128">
        <f>+Actuals!J185</f>
        <v>-31378462.434</v>
      </c>
      <c r="N49" s="127">
        <f>+Actuals!K185</f>
        <v>-41366</v>
      </c>
      <c r="O49" s="128">
        <f>+Actuals!L185</f>
        <v>-126724.74099999999</v>
      </c>
      <c r="P49" s="127">
        <f>+Actuals!M185</f>
        <v>10153987</v>
      </c>
      <c r="Q49" s="128">
        <f>+Actuals!N185</f>
        <v>31106739.1745</v>
      </c>
      <c r="R49" s="127">
        <f>+Actuals!O185</f>
        <v>164275</v>
      </c>
      <c r="S49" s="128">
        <f>+Actuals!P185</f>
        <v>503256.46250000002</v>
      </c>
      <c r="T49" s="127">
        <f>+Actuals!Q185</f>
        <v>-23499</v>
      </c>
      <c r="U49" s="128">
        <f>+Actuals!R185</f>
        <v>-71989.186499999996</v>
      </c>
      <c r="V49" s="127">
        <f>+Actuals!S185</f>
        <v>-8075726</v>
      </c>
      <c r="W49" s="128">
        <f>+Actuals!T185</f>
        <v>-24739986.601</v>
      </c>
      <c r="X49" s="127">
        <v>1151626</v>
      </c>
      <c r="Y49" s="128">
        <v>3528006.25</v>
      </c>
      <c r="Z49" s="127">
        <v>-1007701</v>
      </c>
      <c r="AA49" s="128">
        <v>-3087092.01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-223282</v>
      </c>
      <c r="E51" s="38">
        <f>SUM(G51,I51,K51,M51,O51,Q51,S51,U51,W51,Y51,AA51,AC51,AE51)</f>
        <v>-684024.41249999998</v>
      </c>
      <c r="F51" s="60">
        <f>'TIE-OUT'!F51+RECLASS!F51</f>
        <v>0</v>
      </c>
      <c r="G51" s="38">
        <f>'TIE-OUT'!G51+RECLASS!G51</f>
        <v>0</v>
      </c>
      <c r="H51" s="127">
        <f>+Actuals!E146</f>
        <v>-661286</v>
      </c>
      <c r="I51" s="128">
        <f>+Actuals!F146</f>
        <v>-2025849.6610000001</v>
      </c>
      <c r="J51" s="127">
        <f>+Actuals!G146</f>
        <v>-45507</v>
      </c>
      <c r="K51" s="128">
        <f>+Actuals!H146</f>
        <v>-139410.69450000001</v>
      </c>
      <c r="L51" s="127">
        <f>+Actuals!I186</f>
        <v>-690</v>
      </c>
      <c r="M51" s="128">
        <f>+Actuals!J186</f>
        <v>-2113.8150000000001</v>
      </c>
      <c r="N51" s="127">
        <f>+Actuals!K186</f>
        <v>860</v>
      </c>
      <c r="O51" s="128">
        <f>+Actuals!L186</f>
        <v>2634.61</v>
      </c>
      <c r="P51" s="127">
        <f>+Actuals!M186</f>
        <v>234808</v>
      </c>
      <c r="Q51" s="128">
        <f>+Actuals!N186</f>
        <v>719334.30550000002</v>
      </c>
      <c r="R51" s="127">
        <f>+Actuals!O186</f>
        <v>-31</v>
      </c>
      <c r="S51" s="128">
        <f>+Actuals!P186</f>
        <v>-94.968500000000006</v>
      </c>
      <c r="T51" s="127">
        <f>+Actuals!Q186</f>
        <v>0</v>
      </c>
      <c r="U51" s="128">
        <f>+Actuals!R186</f>
        <v>0</v>
      </c>
      <c r="V51" s="127">
        <f>+Actuals!S186</f>
        <v>6</v>
      </c>
      <c r="W51" s="128">
        <f>+Actuals!T186</f>
        <v>18.381</v>
      </c>
      <c r="X51" s="127">
        <v>248558</v>
      </c>
      <c r="Y51" s="128">
        <v>761457.43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-33354261</v>
      </c>
      <c r="E54" s="38">
        <f>SUM(G54,I54,K54,M54,O54,Q54,S54,U54,W54,Y54,AA54,AC54,AE54)</f>
        <v>-141081.33000000002</v>
      </c>
      <c r="F54" s="64">
        <f>'TIE-OUT'!F54+RECLASS!F54</f>
        <v>0</v>
      </c>
      <c r="G54" s="68">
        <f>'TIE-OUT'!G54+RECLASS!G54</f>
        <v>0</v>
      </c>
      <c r="H54" s="127">
        <f>+Actuals!E147</f>
        <v>-31667516</v>
      </c>
      <c r="I54" s="128">
        <f>+Actuals!F147</f>
        <v>92134.83</v>
      </c>
      <c r="J54" s="127">
        <f>+Actuals!G147</f>
        <v>-2808375</v>
      </c>
      <c r="K54" s="128">
        <f>+Actuals!H147</f>
        <v>-245608.23</v>
      </c>
      <c r="L54" s="127">
        <f>+Actuals!I187</f>
        <v>-31476</v>
      </c>
      <c r="M54" s="128">
        <f>+Actuals!J187</f>
        <v>12538.45</v>
      </c>
      <c r="N54" s="127">
        <f>+Actuals!K187</f>
        <v>17847</v>
      </c>
      <c r="O54" s="128">
        <f>+Actuals!L187</f>
        <v>0.62999999999988177</v>
      </c>
      <c r="P54" s="127">
        <f>+Actuals!M187</f>
        <v>-64295</v>
      </c>
      <c r="Q54" s="128">
        <f>+Actuals!N187</f>
        <v>-125.8799999999992</v>
      </c>
      <c r="R54" s="127">
        <f>+Actuals!O187</f>
        <v>-43529</v>
      </c>
      <c r="S54" s="128">
        <f>+Actuals!P187</f>
        <v>9872.69</v>
      </c>
      <c r="T54" s="127">
        <f>+Actuals!Q187</f>
        <v>-752417</v>
      </c>
      <c r="U54" s="128">
        <f>+Actuals!R187</f>
        <v>-9878.5</v>
      </c>
      <c r="V54" s="127">
        <f>+Actuals!S187</f>
        <v>0</v>
      </c>
      <c r="W54" s="128">
        <f>+Actuals!T187</f>
        <v>0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v>1995500</v>
      </c>
      <c r="AC54" s="128">
        <v>-15.32</v>
      </c>
      <c r="AD54" s="127">
        <f>+Actuals!AA147</f>
        <v>0</v>
      </c>
      <c r="AE54" s="128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-2459171.2799999998</v>
      </c>
      <c r="F55" s="81">
        <f>'TIE-OUT'!F55+RECLASS!F55</f>
        <v>0</v>
      </c>
      <c r="G55" s="82">
        <f>'TIE-OUT'!G55+RECLASS!G55</f>
        <v>114419</v>
      </c>
      <c r="H55" s="127">
        <f>+Actuals!E148</f>
        <v>0</v>
      </c>
      <c r="I55" s="128">
        <f>+Actuals!F148</f>
        <v>-2426854.65</v>
      </c>
      <c r="J55" s="127">
        <f>+Actuals!G148</f>
        <v>0</v>
      </c>
      <c r="K55" s="128">
        <f>+Actuals!H148</f>
        <v>-365523.36</v>
      </c>
      <c r="L55" s="127">
        <f>+Actuals!I188</f>
        <v>0</v>
      </c>
      <c r="M55" s="128">
        <f>+Actuals!J188</f>
        <v>218706.9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80.83</v>
      </c>
      <c r="R55" s="127">
        <f>+Actuals!O188</f>
        <v>0</v>
      </c>
      <c r="S55" s="128">
        <f>+Actuals!P188</f>
        <v>0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-33354261</v>
      </c>
      <c r="E56" s="39">
        <f t="shared" si="22"/>
        <v>-2600252.61</v>
      </c>
      <c r="F56" s="61">
        <f t="shared" si="22"/>
        <v>0</v>
      </c>
      <c r="G56" s="39">
        <f t="shared" si="22"/>
        <v>114419</v>
      </c>
      <c r="H56" s="61">
        <f t="shared" si="22"/>
        <v>-31667516</v>
      </c>
      <c r="I56" s="39">
        <f t="shared" si="22"/>
        <v>-2334719.8199999998</v>
      </c>
      <c r="J56" s="61">
        <f t="shared" ref="J56:AE56" si="23">SUM(J54:J55)</f>
        <v>-2808375</v>
      </c>
      <c r="K56" s="39">
        <f t="shared" si="23"/>
        <v>-611131.59</v>
      </c>
      <c r="L56" s="61">
        <f t="shared" si="23"/>
        <v>-31476</v>
      </c>
      <c r="M56" s="39">
        <f t="shared" si="23"/>
        <v>231245.35</v>
      </c>
      <c r="N56" s="61">
        <f t="shared" ref="N56:S56" si="24">SUM(N54:N55)</f>
        <v>17847</v>
      </c>
      <c r="O56" s="39">
        <f t="shared" si="24"/>
        <v>0.62999999999988177</v>
      </c>
      <c r="P56" s="61">
        <f t="shared" si="24"/>
        <v>-64295</v>
      </c>
      <c r="Q56" s="39">
        <f t="shared" si="24"/>
        <v>-45.049999999999201</v>
      </c>
      <c r="R56" s="61">
        <f t="shared" si="24"/>
        <v>-43529</v>
      </c>
      <c r="S56" s="39">
        <f t="shared" si="24"/>
        <v>9872.69</v>
      </c>
      <c r="T56" s="61">
        <f>SUM(T54:T55)</f>
        <v>-752417</v>
      </c>
      <c r="U56" s="39">
        <f>SUM(U54:U55)</f>
        <v>-9878.5</v>
      </c>
      <c r="V56" s="61">
        <f>SUM(V54:V55)</f>
        <v>0</v>
      </c>
      <c r="W56" s="39">
        <f>SUM(W54:W55)</f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1995500</v>
      </c>
      <c r="AC56" s="39">
        <f t="shared" si="23"/>
        <v>-15.32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ref="N61:S61" si="27">SUM(N59:N60)</f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ref="N66:S66" si="30">SUM(N64:N65)</f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-2767229</v>
      </c>
      <c r="F70" s="64">
        <f>'TIE-OUT'!F70+RECLASS!F70</f>
        <v>0</v>
      </c>
      <c r="G70" s="68">
        <f>'TIE-OUT'!G70+RECLASS!G70</f>
        <v>-2767229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-2723828.88</v>
      </c>
      <c r="F71" s="81">
        <f>'TIE-OUT'!F71+RECLASS!F71</f>
        <v>0</v>
      </c>
      <c r="G71" s="82">
        <f>'TIE-OUT'!G71+RECLASS!G71</f>
        <v>-2723828.88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-5491057.8799999999</v>
      </c>
      <c r="F72" s="61">
        <f t="shared" si="31"/>
        <v>0</v>
      </c>
      <c r="G72" s="39">
        <f t="shared" si="31"/>
        <v>-5491057.8799999999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ref="N72:S72" si="33">SUM(N70:N71)</f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11017553</v>
      </c>
      <c r="F74" s="60">
        <f>'TIE-OUT'!F74+RECLASS!F74</f>
        <v>0</v>
      </c>
      <c r="G74" s="60">
        <f>'TIE-OUT'!G74+RECLASS!G74</f>
        <v>11017553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20200</v>
      </c>
      <c r="F75" s="60">
        <f>'TIE-OUT'!F75+RECLASS!F75</f>
        <v>0</v>
      </c>
      <c r="G75" s="60">
        <f>'TIE-OUT'!G75+RECLASS!G75</f>
        <v>20200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-13838.7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-14788.51</v>
      </c>
      <c r="J76" s="127">
        <f>+Actuals!G158</f>
        <v>0</v>
      </c>
      <c r="K76" s="128">
        <f>+Actuals!H158</f>
        <v>555.25</v>
      </c>
      <c r="L76" s="127">
        <f>+Actuals!I198</f>
        <v>0</v>
      </c>
      <c r="M76" s="128">
        <f>+Actuals!J198</f>
        <v>394.56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-3213142.9650000404</v>
      </c>
      <c r="F82" s="91">
        <f>F16+F24+F29+F36+F43+F45+F47+F49</f>
        <v>0</v>
      </c>
      <c r="G82" s="92">
        <f>SUM(G72:G81)+G16+G24+G29+G36+G43+G45+G47+G49+G51+G56+G61+G66</f>
        <v>7086528.7400000002</v>
      </c>
      <c r="H82" s="91">
        <f>H16+H24+H29+H36+H43+H45+H47+H49</f>
        <v>0</v>
      </c>
      <c r="I82" s="156">
        <f>SUM(I72:I81)+I16+I24+I29+I36+I43+I45+I47+I49+I51+I56+I61+I66</f>
        <v>-6140831.6690000053</v>
      </c>
      <c r="J82" s="91">
        <f>J16+J24+J29+J36+J43+J45+J47+J49</f>
        <v>0</v>
      </c>
      <c r="K82" s="156">
        <f>SUM(K72:K81)+K16+K24+K29+K36+K43+K45+K47+K49+K51+K56+K61+K66</f>
        <v>-1068200.4719999889</v>
      </c>
      <c r="L82" s="91">
        <f>L16+L24+L29+L36+L43+L45+L47+L49</f>
        <v>0</v>
      </c>
      <c r="M82" s="92">
        <f>SUM(M72:M81)+M16+M24+M29+M36+M43+M45+M47+M49+M51+M56+M61+M66</f>
        <v>-5502601.7420000071</v>
      </c>
      <c r="N82" s="91">
        <f>N16+N24+N29+N36+N43+N45+N47+N49</f>
        <v>0</v>
      </c>
      <c r="O82" s="92">
        <f>SUM(O72:O81)+O16+O24+O29+O36+O43+O45+O47+O49+O51+O56+O61+O66</f>
        <v>13809.304499999993</v>
      </c>
      <c r="P82" s="91">
        <f>P16+P24+P29+P36+P43+P45+P47+P49</f>
        <v>0</v>
      </c>
      <c r="Q82" s="92">
        <f>SUM(Q72:Q81)+Q16+Q24+Q29+Q36+Q43+Q45+Q47+Q49+Q51+Q56+Q61+Q66</f>
        <v>1648977.598999992</v>
      </c>
      <c r="R82" s="91">
        <f>R16+R24+R29+R36+R43+R45+R47+R49</f>
        <v>0</v>
      </c>
      <c r="S82" s="92">
        <f>SUM(S72:S81)+S16+S24+S29+S36+S43+S45+S47+S49+S51+S56+S61+S66</f>
        <v>10352.8845</v>
      </c>
      <c r="T82" s="91">
        <f>T16+T24+T29+T36+T43+T45+T47+T49</f>
        <v>0</v>
      </c>
      <c r="U82" s="92">
        <f>SUM(U72:U81)+U16+U24+U29+U36+U43+U45+U47+U49+U51+U56+U61+U66</f>
        <v>141085.38999999996</v>
      </c>
      <c r="V82" s="91">
        <f>V16+V24+V29+V36+V43+V45+V47+V49</f>
        <v>0</v>
      </c>
      <c r="W82" s="92">
        <f>SUM(W72:W81)+W16+W24+W29+W36+W43+W45+W47+W49+W51+W56+W61+W66</f>
        <v>-180952.0099999989</v>
      </c>
      <c r="X82" s="91">
        <f>X16+X24+X29+X36+X43+X45+X47+X49</f>
        <v>0</v>
      </c>
      <c r="Y82" s="92">
        <f>SUM(Y72:Y81)+Y16+Y24+Y29+Y36+Y43+Y45+Y47+Y49+Y51+Y56+Y61+Y66</f>
        <v>1808068.9499999997</v>
      </c>
      <c r="Z82" s="91">
        <f>Z16+Z24+Z29+Z36+Z43+Z45+Z47+Z49</f>
        <v>0</v>
      </c>
      <c r="AA82" s="92">
        <f>SUM(AA72:AA81)+AA16+AA24+AA29+AA36+AA43+AA45+AA47+AA49+AA51+AA56+AA61+AA66</f>
        <v>-1029364.6199999996</v>
      </c>
      <c r="AB82" s="91">
        <f>AB16+AB24+AB29+AB36+AB43+AB45+AB47+AB49</f>
        <v>0</v>
      </c>
      <c r="AC82" s="92">
        <f>SUM(AC72:AC81)+AC16+AC24+AC29+AC36+AC43+AC45+AC47+AC49+AC51+AC56+AC61+AC66</f>
        <v>-15.32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79"/>
  <sheetViews>
    <sheetView zoomScale="75" workbookViewId="0">
      <pane xSplit="3" ySplit="9" topLeftCell="U57" activePane="bottomRight" state="frozen"/>
      <selection activeCell="AB9" sqref="AB9"/>
      <selection pane="topRight" activeCell="AB9" sqref="AB9"/>
      <selection pane="bottomLeft" activeCell="AB9" sqref="AB9"/>
      <selection pane="bottomRight" activeCell="AC90" sqref="AC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5618845</v>
      </c>
      <c r="E11" s="38">
        <f>SUM(G11,I11,K11,M11,O11,Q11,S11,U11,W11,Y11,AA11,AC11,AE11)</f>
        <v>19162466.32</v>
      </c>
      <c r="F11" s="60">
        <f>'TIE-OUT'!AB11+RECLASS!AB11</f>
        <v>0</v>
      </c>
      <c r="G11" s="38">
        <f>'TIE-OUT'!AC11+RECLASS!AC11</f>
        <v>0</v>
      </c>
      <c r="H11" s="127">
        <v>4897787</v>
      </c>
      <c r="I11" s="127">
        <v>15635252</v>
      </c>
      <c r="J11" s="127">
        <v>721058</v>
      </c>
      <c r="K11" s="128">
        <v>-870047</v>
      </c>
      <c r="L11" s="127">
        <f>+Actuals!I404</f>
        <v>0</v>
      </c>
      <c r="M11" s="127">
        <f>+Actuals!J404</f>
        <v>1107787.6399999999</v>
      </c>
      <c r="N11" s="127">
        <f>+Actuals!K404</f>
        <v>0</v>
      </c>
      <c r="O11" s="127">
        <f>+Actuals!L404</f>
        <v>3266683.68</v>
      </c>
      <c r="P11" s="127">
        <f>+Actuals!M404</f>
        <v>0</v>
      </c>
      <c r="Q11" s="128">
        <f>+Actuals!N404</f>
        <v>0</v>
      </c>
      <c r="R11" s="127">
        <f>+Actuals!O404</f>
        <v>0</v>
      </c>
      <c r="S11" s="128">
        <f>+Actuals!P404</f>
        <v>0</v>
      </c>
      <c r="T11" s="127">
        <f>+Actuals!Q404</f>
        <v>0</v>
      </c>
      <c r="U11" s="128">
        <f>+Actuals!R404</f>
        <v>32790</v>
      </c>
      <c r="V11" s="127">
        <f>+Actuals!S404</f>
        <v>0</v>
      </c>
      <c r="W11" s="128">
        <f>+Actuals!T404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v>-10000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-2005538.75</v>
      </c>
      <c r="F12" s="60">
        <f>'TIE-OUT'!AB12+RECLASS!AB12</f>
        <v>0</v>
      </c>
      <c r="G12" s="38">
        <f>'TIE-OUT'!AC12+RECLASS!AC12</f>
        <v>-2005538.75</v>
      </c>
      <c r="H12" s="127">
        <v>0</v>
      </c>
      <c r="I12" s="127">
        <v>0</v>
      </c>
      <c r="J12" s="127">
        <v>0</v>
      </c>
      <c r="K12" s="128">
        <v>0</v>
      </c>
      <c r="L12" s="127">
        <f>+Actuals!I405</f>
        <v>0</v>
      </c>
      <c r="M12" s="213">
        <v>0</v>
      </c>
      <c r="N12" s="127">
        <f>+Actuals!K405</f>
        <v>0</v>
      </c>
      <c r="O12" s="213">
        <v>0</v>
      </c>
      <c r="P12" s="127">
        <f>+Actuals!M405</f>
        <v>0</v>
      </c>
      <c r="Q12" s="128">
        <v>0</v>
      </c>
      <c r="R12" s="127">
        <f>+Actuals!O405</f>
        <v>0</v>
      </c>
      <c r="S12" s="128">
        <v>0</v>
      </c>
      <c r="T12" s="127">
        <f>+Actuals!Q405</f>
        <v>0</v>
      </c>
      <c r="U12" s="128">
        <v>0</v>
      </c>
      <c r="V12" s="127">
        <f>+Actuals!S405</f>
        <v>0</v>
      </c>
      <c r="W12" s="128"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5769103</v>
      </c>
      <c r="E13" s="38">
        <f t="shared" si="0"/>
        <v>13824616</v>
      </c>
      <c r="F13" s="60">
        <f>'TIE-OUT'!AB13+RECLASS!AB13</f>
        <v>0</v>
      </c>
      <c r="G13" s="38">
        <f>'TIE-OUT'!AC13+RECLASS!AC13</f>
        <v>0</v>
      </c>
      <c r="H13" s="127">
        <v>5758103</v>
      </c>
      <c r="I13" s="127">
        <v>13797776</v>
      </c>
      <c r="J13" s="127">
        <v>-5702052</v>
      </c>
      <c r="K13" s="128">
        <v>-13679106</v>
      </c>
      <c r="L13" s="127">
        <f>+Actuals!I406</f>
        <v>5758103</v>
      </c>
      <c r="M13" s="127">
        <f>+Actuals!J406</f>
        <v>13797776</v>
      </c>
      <c r="N13" s="127">
        <f>+Actuals!K406</f>
        <v>0</v>
      </c>
      <c r="O13" s="127">
        <f>+Actuals!L406</f>
        <v>0</v>
      </c>
      <c r="P13" s="127">
        <f>+Actuals!M406</f>
        <v>-5758103</v>
      </c>
      <c r="Q13" s="128">
        <f>+Actuals!N406</f>
        <v>-13797776</v>
      </c>
      <c r="R13" s="127">
        <f>+Actuals!O406</f>
        <v>0</v>
      </c>
      <c r="S13" s="128">
        <f>+Actuals!P406</f>
        <v>0</v>
      </c>
      <c r="T13" s="127">
        <f>+Actuals!Q406</f>
        <v>0</v>
      </c>
      <c r="U13" s="128">
        <f>+Actuals!R406</f>
        <v>0</v>
      </c>
      <c r="V13" s="127">
        <f>+Actuals!S406</f>
        <v>5713052</v>
      </c>
      <c r="W13" s="128">
        <f>+Actuals!T406</f>
        <v>13705946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'TIE-OUT'!AB14+RECLASS!AB14</f>
        <v>0</v>
      </c>
      <c r="G14" s="38">
        <f>'TIE-OUT'!AC14+RECLASS!AC14</f>
        <v>0</v>
      </c>
      <c r="H14" s="127">
        <v>0</v>
      </c>
      <c r="I14" s="127">
        <v>0</v>
      </c>
      <c r="J14" s="127">
        <v>0</v>
      </c>
      <c r="K14" s="128">
        <v>0</v>
      </c>
      <c r="L14" s="127">
        <f>+Actuals!I407</f>
        <v>0</v>
      </c>
      <c r="M14" s="127">
        <f>+Actuals!J407</f>
        <v>0</v>
      </c>
      <c r="N14" s="127">
        <f>+Actuals!K407</f>
        <v>0</v>
      </c>
      <c r="O14" s="127">
        <f>+Actuals!L407</f>
        <v>0</v>
      </c>
      <c r="P14" s="127">
        <f>+Actuals!M407</f>
        <v>0</v>
      </c>
      <c r="Q14" s="128">
        <f>+Actuals!N407</f>
        <v>0</v>
      </c>
      <c r="R14" s="127">
        <f>+Actuals!O407</f>
        <v>0</v>
      </c>
      <c r="S14" s="128">
        <f>+Actuals!P407</f>
        <v>0</v>
      </c>
      <c r="T14" s="127">
        <f>+Actuals!Q407</f>
        <v>0</v>
      </c>
      <c r="U14" s="128">
        <f>+Actuals!R407</f>
        <v>0</v>
      </c>
      <c r="V14" s="127">
        <f>+Actuals!S407</f>
        <v>0</v>
      </c>
      <c r="W14" s="128">
        <f>+Actuals!T407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'TIE-OUT'!AB15+RECLASS!AB15</f>
        <v>0</v>
      </c>
      <c r="G15" s="82">
        <f>'TIE-OUT'!AC15+RECLASS!AC15</f>
        <v>0</v>
      </c>
      <c r="H15" s="127">
        <v>0</v>
      </c>
      <c r="I15" s="127">
        <v>0</v>
      </c>
      <c r="J15" s="127">
        <v>0</v>
      </c>
      <c r="K15" s="129">
        <v>0</v>
      </c>
      <c r="L15" s="127">
        <f>+Actuals!I408</f>
        <v>0</v>
      </c>
      <c r="M15" s="127">
        <f>+Actuals!J408</f>
        <v>0</v>
      </c>
      <c r="N15" s="127">
        <f>+Actuals!K408</f>
        <v>0</v>
      </c>
      <c r="O15" s="127">
        <f>+Actuals!L408</f>
        <v>0</v>
      </c>
      <c r="P15" s="127">
        <f>+Actuals!M408</f>
        <v>0</v>
      </c>
      <c r="Q15" s="129">
        <f>+Actuals!N408</f>
        <v>0</v>
      </c>
      <c r="R15" s="127">
        <f>+Actuals!O408</f>
        <v>0</v>
      </c>
      <c r="S15" s="129">
        <f>+Actuals!P408</f>
        <v>0</v>
      </c>
      <c r="T15" s="127">
        <f>+Actuals!Q408</f>
        <v>0</v>
      </c>
      <c r="U15" s="129">
        <f>+Actuals!R408</f>
        <v>0</v>
      </c>
      <c r="V15" s="127">
        <f>+Actuals!S408</f>
        <v>0</v>
      </c>
      <c r="W15" s="129">
        <f>+Actuals!T408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11387948</v>
      </c>
      <c r="E16" s="39">
        <f t="shared" si="1"/>
        <v>30981543.57</v>
      </c>
      <c r="F16" s="61">
        <f t="shared" si="1"/>
        <v>0</v>
      </c>
      <c r="G16" s="39">
        <f t="shared" si="1"/>
        <v>-2005538.75</v>
      </c>
      <c r="H16" s="61">
        <f t="shared" si="1"/>
        <v>10655890</v>
      </c>
      <c r="I16" s="61">
        <f t="shared" si="1"/>
        <v>29433028</v>
      </c>
      <c r="J16" s="61">
        <f t="shared" ref="J16:O16" si="2">SUM(J11:J15)</f>
        <v>-4980994</v>
      </c>
      <c r="K16" s="82">
        <f t="shared" si="2"/>
        <v>-14549153</v>
      </c>
      <c r="L16" s="61">
        <f t="shared" si="2"/>
        <v>5758103</v>
      </c>
      <c r="M16" s="61">
        <f t="shared" si="2"/>
        <v>14905563.640000001</v>
      </c>
      <c r="N16" s="61">
        <f t="shared" si="2"/>
        <v>0</v>
      </c>
      <c r="O16" s="61">
        <f t="shared" si="2"/>
        <v>3266683.68</v>
      </c>
      <c r="P16" s="61">
        <f t="shared" ref="P16:U16" si="3">SUM(P11:P15)</f>
        <v>-5758103</v>
      </c>
      <c r="Q16" s="82">
        <f t="shared" si="3"/>
        <v>-13797776</v>
      </c>
      <c r="R16" s="61">
        <f t="shared" si="3"/>
        <v>0</v>
      </c>
      <c r="S16" s="82">
        <f t="shared" si="3"/>
        <v>0</v>
      </c>
      <c r="T16" s="61">
        <f t="shared" si="3"/>
        <v>0</v>
      </c>
      <c r="U16" s="82">
        <f t="shared" si="3"/>
        <v>32790</v>
      </c>
      <c r="V16" s="61">
        <f t="shared" ref="V16:AE16" si="4">SUM(V11:V15)</f>
        <v>5713052</v>
      </c>
      <c r="W16" s="82">
        <f t="shared" si="4"/>
        <v>13705946</v>
      </c>
      <c r="X16" s="61">
        <f t="shared" si="4"/>
        <v>0</v>
      </c>
      <c r="Y16" s="82">
        <f t="shared" si="4"/>
        <v>0</v>
      </c>
      <c r="Z16" s="61">
        <f t="shared" si="4"/>
        <v>0</v>
      </c>
      <c r="AA16" s="82">
        <f t="shared" si="4"/>
        <v>0</v>
      </c>
      <c r="AB16" s="61">
        <f t="shared" si="4"/>
        <v>0</v>
      </c>
      <c r="AC16" s="82">
        <f t="shared" si="4"/>
        <v>-10000</v>
      </c>
      <c r="AD16" s="61">
        <f t="shared" si="4"/>
        <v>0</v>
      </c>
      <c r="AE16" s="82">
        <f t="shared" si="4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38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38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5">SUM(F19,H19,J19,L19,N19,P19,R19,T19,V19,X19,Z19,AB19,AD19)</f>
        <v>-852000</v>
      </c>
      <c r="E19" s="38">
        <f t="shared" si="5"/>
        <v>-3043367.01</v>
      </c>
      <c r="F19" s="64">
        <f>'TIE-OUT'!AB19+RECLASS!AB19</f>
        <v>0</v>
      </c>
      <c r="G19" s="68">
        <f>'TIE-OUT'!AC19+RECLASS!AC19</f>
        <v>0</v>
      </c>
      <c r="H19" s="127">
        <v>0</v>
      </c>
      <c r="I19" s="127">
        <v>0</v>
      </c>
      <c r="J19" s="127">
        <v>-852000</v>
      </c>
      <c r="K19" s="128">
        <v>-2430245</v>
      </c>
      <c r="L19" s="127">
        <f>+Actuals!I409</f>
        <v>0</v>
      </c>
      <c r="M19" s="127">
        <f>+Actuals!J409</f>
        <v>-613122.01</v>
      </c>
      <c r="N19" s="127">
        <f>+Actuals!K409</f>
        <v>0</v>
      </c>
      <c r="O19" s="127">
        <f>+Actuals!L409</f>
        <v>0</v>
      </c>
      <c r="P19" s="127">
        <f>+Actuals!M409</f>
        <v>0</v>
      </c>
      <c r="Q19" s="128">
        <f>+Actuals!N409</f>
        <v>0</v>
      </c>
      <c r="R19" s="127">
        <f>+Actuals!O409</f>
        <v>0</v>
      </c>
      <c r="S19" s="128">
        <f>+Actuals!P409</f>
        <v>0</v>
      </c>
      <c r="T19" s="127">
        <f>+Actuals!Q409</f>
        <v>0</v>
      </c>
      <c r="U19" s="128">
        <f>+Actuals!R409</f>
        <v>0</v>
      </c>
      <c r="V19" s="127">
        <f>+Actuals!S409</f>
        <v>0</v>
      </c>
      <c r="W19" s="128">
        <f>+Actuals!T409</f>
        <v>0</v>
      </c>
      <c r="X19" s="127">
        <v>0</v>
      </c>
      <c r="Y19" s="128"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5"/>
        <v>0</v>
      </c>
      <c r="E20" s="38">
        <f t="shared" si="5"/>
        <v>0</v>
      </c>
      <c r="F20" s="60">
        <f>'TIE-OUT'!AB20+RECLASS!AB20</f>
        <v>0</v>
      </c>
      <c r="G20" s="38">
        <f>'TIE-OUT'!AC20+RECLASS!AC20</f>
        <v>0</v>
      </c>
      <c r="H20" s="127">
        <v>0</v>
      </c>
      <c r="I20" s="127">
        <v>0</v>
      </c>
      <c r="J20" s="127">
        <v>0</v>
      </c>
      <c r="K20" s="155">
        <v>0</v>
      </c>
      <c r="L20" s="127">
        <f>+Actuals!I410</f>
        <v>0</v>
      </c>
      <c r="M20" s="127">
        <f>+Actuals!J410</f>
        <v>0</v>
      </c>
      <c r="N20" s="127">
        <f>+Actuals!K410</f>
        <v>0</v>
      </c>
      <c r="O20" s="127">
        <f>+Actuals!L410</f>
        <v>0</v>
      </c>
      <c r="P20" s="127">
        <f>+Actuals!M410</f>
        <v>0</v>
      </c>
      <c r="Q20" s="128">
        <f>+Actuals!N410</f>
        <v>0</v>
      </c>
      <c r="R20" s="127">
        <f>+Actuals!O410</f>
        <v>0</v>
      </c>
      <c r="S20" s="128">
        <f>+Actuals!P410</f>
        <v>0</v>
      </c>
      <c r="T20" s="127">
        <f>+Actuals!Q410</f>
        <v>0</v>
      </c>
      <c r="U20" s="128">
        <f>+Actuals!R410</f>
        <v>0</v>
      </c>
      <c r="V20" s="127">
        <f>+Actuals!S410</f>
        <v>0</v>
      </c>
      <c r="W20" s="128">
        <f>+Actuals!T410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5"/>
        <v>-10589624</v>
      </c>
      <c r="E21" s="38">
        <f t="shared" si="5"/>
        <v>-28326960</v>
      </c>
      <c r="F21" s="60">
        <f>'TIE-OUT'!AB21+RECLASS!AB21</f>
        <v>0</v>
      </c>
      <c r="G21" s="38">
        <f>'TIE-OUT'!AC21+RECLASS!AC21</f>
        <v>0</v>
      </c>
      <c r="H21" s="127">
        <v>-10589624</v>
      </c>
      <c r="I21" s="127">
        <v>-28326960</v>
      </c>
      <c r="J21" s="127">
        <v>8006816</v>
      </c>
      <c r="K21" s="128">
        <v>21357879</v>
      </c>
      <c r="L21" s="127">
        <f>+Actuals!I411</f>
        <v>-10589624</v>
      </c>
      <c r="M21" s="127">
        <f>+Actuals!J411</f>
        <v>-28326960</v>
      </c>
      <c r="N21" s="127">
        <f>+Actuals!K411</f>
        <v>0</v>
      </c>
      <c r="O21" s="127">
        <f>+Actuals!L411</f>
        <v>0</v>
      </c>
      <c r="P21" s="127">
        <f>+Actuals!M411</f>
        <v>10589624</v>
      </c>
      <c r="Q21" s="128">
        <f>+Actuals!N411</f>
        <v>28326960</v>
      </c>
      <c r="R21" s="127">
        <f>+Actuals!O411</f>
        <v>0</v>
      </c>
      <c r="S21" s="128">
        <f>+Actuals!P411</f>
        <v>0</v>
      </c>
      <c r="T21" s="127">
        <f>+Actuals!Q411</f>
        <v>0</v>
      </c>
      <c r="U21" s="128">
        <f>+Actuals!R411</f>
        <v>0</v>
      </c>
      <c r="V21" s="127">
        <f>+Actuals!S411</f>
        <v>-8006816</v>
      </c>
      <c r="W21" s="128">
        <f>+Actuals!T411</f>
        <v>-21357879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5"/>
        <v>0</v>
      </c>
      <c r="E22" s="38">
        <f t="shared" si="5"/>
        <v>0</v>
      </c>
      <c r="F22" s="60">
        <f>'TIE-OUT'!AB22+RECLASS!AB22</f>
        <v>0</v>
      </c>
      <c r="G22" s="38">
        <f>'TIE-OUT'!AC22+RECLASS!AC22</f>
        <v>0</v>
      </c>
      <c r="H22" s="127">
        <v>0</v>
      </c>
      <c r="I22" s="127">
        <v>0</v>
      </c>
      <c r="J22" s="127">
        <v>0</v>
      </c>
      <c r="K22" s="128">
        <v>0</v>
      </c>
      <c r="L22" s="127">
        <f>+Actuals!I412</f>
        <v>0</v>
      </c>
      <c r="M22" s="127">
        <f>+Actuals!J412</f>
        <v>0</v>
      </c>
      <c r="N22" s="127">
        <f>+Actuals!K412</f>
        <v>0</v>
      </c>
      <c r="O22" s="127">
        <f>+Actuals!L412</f>
        <v>0</v>
      </c>
      <c r="P22" s="127">
        <f>+Actuals!M412</f>
        <v>0</v>
      </c>
      <c r="Q22" s="128">
        <f>+Actuals!N412</f>
        <v>0</v>
      </c>
      <c r="R22" s="127">
        <f>+Actuals!O412</f>
        <v>0</v>
      </c>
      <c r="S22" s="128">
        <f>+Actuals!P412</f>
        <v>0</v>
      </c>
      <c r="T22" s="127">
        <f>+Actuals!Q412</f>
        <v>0</v>
      </c>
      <c r="U22" s="128">
        <f>+Actuals!R412</f>
        <v>0</v>
      </c>
      <c r="V22" s="127">
        <f>+Actuals!S412</f>
        <v>0</v>
      </c>
      <c r="W22" s="128">
        <f>+Actuals!T412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5"/>
        <v>7667</v>
      </c>
      <c r="E23" s="38">
        <f t="shared" si="5"/>
        <v>17772</v>
      </c>
      <c r="F23" s="81">
        <f>'TIE-OUT'!AB23+RECLASS!AB23</f>
        <v>0</v>
      </c>
      <c r="G23" s="82">
        <f>'TIE-OUT'!AC23+RECLASS!AC23</f>
        <v>0</v>
      </c>
      <c r="H23" s="127">
        <v>0</v>
      </c>
      <c r="I23" s="127">
        <v>0</v>
      </c>
      <c r="J23" s="127">
        <v>0</v>
      </c>
      <c r="K23" s="129">
        <v>0</v>
      </c>
      <c r="L23" s="127">
        <f>+Actuals!I413</f>
        <v>0</v>
      </c>
      <c r="M23" s="127">
        <f>+Actuals!J413</f>
        <v>0</v>
      </c>
      <c r="N23" s="127">
        <f>+Actuals!K413</f>
        <v>0</v>
      </c>
      <c r="O23" s="127">
        <f>+Actuals!L413</f>
        <v>0</v>
      </c>
      <c r="P23" s="127">
        <f>+Actuals!M413</f>
        <v>0</v>
      </c>
      <c r="Q23" s="129">
        <f>+Actuals!N413</f>
        <v>0</v>
      </c>
      <c r="R23" s="127">
        <f>+Actuals!O413</f>
        <v>0</v>
      </c>
      <c r="S23" s="129">
        <f>+Actuals!P413</f>
        <v>0</v>
      </c>
      <c r="T23" s="127">
        <f>+Actuals!Q413</f>
        <v>0</v>
      </c>
      <c r="U23" s="129">
        <f>+Actuals!R413</f>
        <v>0</v>
      </c>
      <c r="V23" s="127">
        <f>+Actuals!S413</f>
        <v>0</v>
      </c>
      <c r="W23" s="129">
        <f>+Actuals!T413</f>
        <v>0</v>
      </c>
      <c r="X23" s="127">
        <v>7667</v>
      </c>
      <c r="Y23" s="129">
        <v>17772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6">SUM(D19:D23)</f>
        <v>-11433957</v>
      </c>
      <c r="E24" s="39">
        <f t="shared" si="6"/>
        <v>-31352555.009999998</v>
      </c>
      <c r="F24" s="61">
        <f t="shared" si="6"/>
        <v>0</v>
      </c>
      <c r="G24" s="39">
        <f t="shared" si="6"/>
        <v>0</v>
      </c>
      <c r="H24" s="61">
        <f t="shared" si="6"/>
        <v>-10589624</v>
      </c>
      <c r="I24" s="61">
        <f t="shared" si="6"/>
        <v>-28326960</v>
      </c>
      <c r="J24" s="61">
        <f t="shared" ref="J24:O24" si="7">SUM(J19:J23)</f>
        <v>7154816</v>
      </c>
      <c r="K24" s="39">
        <f t="shared" si="7"/>
        <v>18927634</v>
      </c>
      <c r="L24" s="61">
        <f t="shared" si="7"/>
        <v>-10589624</v>
      </c>
      <c r="M24" s="61">
        <f t="shared" si="7"/>
        <v>-28940082.010000002</v>
      </c>
      <c r="N24" s="61">
        <f t="shared" si="7"/>
        <v>0</v>
      </c>
      <c r="O24" s="61">
        <f t="shared" si="7"/>
        <v>0</v>
      </c>
      <c r="P24" s="61">
        <f t="shared" ref="P24:U24" si="8">SUM(P19:P23)</f>
        <v>10589624</v>
      </c>
      <c r="Q24" s="39">
        <f t="shared" si="8"/>
        <v>28326960</v>
      </c>
      <c r="R24" s="61">
        <f t="shared" si="8"/>
        <v>0</v>
      </c>
      <c r="S24" s="39">
        <f t="shared" si="8"/>
        <v>0</v>
      </c>
      <c r="T24" s="61">
        <f t="shared" si="8"/>
        <v>0</v>
      </c>
      <c r="U24" s="39">
        <f t="shared" si="8"/>
        <v>0</v>
      </c>
      <c r="V24" s="61">
        <f t="shared" ref="V24:AE24" si="9">SUM(V19:V23)</f>
        <v>-8006816</v>
      </c>
      <c r="W24" s="39">
        <f t="shared" si="9"/>
        <v>-21357879</v>
      </c>
      <c r="X24" s="61">
        <f t="shared" si="9"/>
        <v>7667</v>
      </c>
      <c r="Y24" s="39">
        <f t="shared" si="9"/>
        <v>17772</v>
      </c>
      <c r="Z24" s="61">
        <f t="shared" si="9"/>
        <v>0</v>
      </c>
      <c r="AA24" s="39">
        <f t="shared" si="9"/>
        <v>0</v>
      </c>
      <c r="AB24" s="61">
        <f t="shared" si="9"/>
        <v>0</v>
      </c>
      <c r="AC24" s="39">
        <f t="shared" si="9"/>
        <v>0</v>
      </c>
      <c r="AD24" s="61">
        <f t="shared" si="9"/>
        <v>0</v>
      </c>
      <c r="AE24" s="39">
        <f t="shared" si="9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38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38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'TIE-OUT'!AB27+RECLASS!AB27</f>
        <v>0</v>
      </c>
      <c r="G27" s="68">
        <f>'TIE-OUT'!AC27+RECLASS!AC27</f>
        <v>0</v>
      </c>
      <c r="H27" s="127">
        <v>0</v>
      </c>
      <c r="I27" s="127">
        <v>0</v>
      </c>
      <c r="J27" s="127">
        <v>0</v>
      </c>
      <c r="K27" s="128">
        <v>0</v>
      </c>
      <c r="L27" s="127">
        <f>+Actuals!I414</f>
        <v>0</v>
      </c>
      <c r="M27" s="127">
        <f>+Actuals!J414</f>
        <v>0</v>
      </c>
      <c r="N27" s="127">
        <f>+Actuals!K414</f>
        <v>0</v>
      </c>
      <c r="O27" s="127">
        <f>+Actuals!L414</f>
        <v>0</v>
      </c>
      <c r="P27" s="127">
        <f>+Actuals!M414</f>
        <v>0</v>
      </c>
      <c r="Q27" s="128">
        <f>+Actuals!N414</f>
        <v>0</v>
      </c>
      <c r="R27" s="127">
        <f>+Actuals!O414</f>
        <v>0</v>
      </c>
      <c r="S27" s="128">
        <f>+Actuals!P414</f>
        <v>0</v>
      </c>
      <c r="T27" s="127">
        <f>+Actuals!Q414</f>
        <v>0</v>
      </c>
      <c r="U27" s="128">
        <f>+Actuals!R414</f>
        <v>0</v>
      </c>
      <c r="V27" s="127">
        <f>+Actuals!S414</f>
        <v>0</v>
      </c>
      <c r="W27" s="128">
        <f>+Actuals!T414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'TIE-OUT'!AB28+RECLASS!AB28</f>
        <v>0</v>
      </c>
      <c r="G28" s="82">
        <f>'TIE-OUT'!AC28+RECLASS!AC28</f>
        <v>0</v>
      </c>
      <c r="H28" s="127">
        <v>0</v>
      </c>
      <c r="I28" s="127">
        <v>0</v>
      </c>
      <c r="J28" s="127">
        <v>0</v>
      </c>
      <c r="K28" s="128">
        <v>0</v>
      </c>
      <c r="L28" s="127">
        <f>+Actuals!I415</f>
        <v>0</v>
      </c>
      <c r="M28" s="127">
        <f>+Actuals!J415</f>
        <v>0</v>
      </c>
      <c r="N28" s="127">
        <f>+Actuals!K415</f>
        <v>0</v>
      </c>
      <c r="O28" s="127">
        <f>+Actuals!L415</f>
        <v>0</v>
      </c>
      <c r="P28" s="127">
        <f>+Actuals!M415</f>
        <v>0</v>
      </c>
      <c r="Q28" s="128">
        <f>+Actuals!N415</f>
        <v>0</v>
      </c>
      <c r="R28" s="127">
        <f>+Actuals!O415</f>
        <v>0</v>
      </c>
      <c r="S28" s="128">
        <f>+Actuals!P415</f>
        <v>0</v>
      </c>
      <c r="T28" s="127">
        <f>+Actuals!Q415</f>
        <v>0</v>
      </c>
      <c r="U28" s="128">
        <f>+Actuals!R415</f>
        <v>0</v>
      </c>
      <c r="V28" s="127">
        <f>+Actuals!S415</f>
        <v>0</v>
      </c>
      <c r="W28" s="128">
        <f>+Actuals!T415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10">SUM(D27:D28)</f>
        <v>0</v>
      </c>
      <c r="E29" s="39">
        <f t="shared" si="10"/>
        <v>0</v>
      </c>
      <c r="F29" s="61">
        <f t="shared" si="10"/>
        <v>0</v>
      </c>
      <c r="G29" s="39">
        <f t="shared" si="10"/>
        <v>0</v>
      </c>
      <c r="H29" s="61">
        <f t="shared" si="10"/>
        <v>0</v>
      </c>
      <c r="I29" s="61">
        <f t="shared" si="10"/>
        <v>0</v>
      </c>
      <c r="J29" s="61">
        <f t="shared" ref="J29:O29" si="11">SUM(J27:J28)</f>
        <v>0</v>
      </c>
      <c r="K29" s="39">
        <f t="shared" si="11"/>
        <v>0</v>
      </c>
      <c r="L29" s="61">
        <f t="shared" si="11"/>
        <v>0</v>
      </c>
      <c r="M29" s="61">
        <f t="shared" si="11"/>
        <v>0</v>
      </c>
      <c r="N29" s="61">
        <f t="shared" si="11"/>
        <v>0</v>
      </c>
      <c r="O29" s="61">
        <f t="shared" si="11"/>
        <v>0</v>
      </c>
      <c r="P29" s="61">
        <f t="shared" ref="P29:U29" si="12">SUM(P27:P28)</f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si="12"/>
        <v>0</v>
      </c>
      <c r="V29" s="61">
        <f t="shared" ref="V29:AE29" si="13">SUM(V27:V28)</f>
        <v>0</v>
      </c>
      <c r="W29" s="39">
        <f t="shared" si="13"/>
        <v>0</v>
      </c>
      <c r="X29" s="61">
        <f t="shared" si="13"/>
        <v>0</v>
      </c>
      <c r="Y29" s="39">
        <f t="shared" si="13"/>
        <v>0</v>
      </c>
      <c r="Z29" s="61">
        <f t="shared" si="13"/>
        <v>0</v>
      </c>
      <c r="AA29" s="39">
        <f t="shared" si="13"/>
        <v>0</v>
      </c>
      <c r="AB29" s="61">
        <f t="shared" si="13"/>
        <v>0</v>
      </c>
      <c r="AC29" s="39">
        <f t="shared" si="13"/>
        <v>0</v>
      </c>
      <c r="AD29" s="61">
        <f t="shared" si="13"/>
        <v>0</v>
      </c>
      <c r="AE29" s="39">
        <f t="shared" si="13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38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38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4">SUM(F32,H32,J32,L32,N32,P32,R32,T32,V32,X32,Z32,AB32,AD32)</f>
        <v>0</v>
      </c>
      <c r="E32" s="38">
        <f t="shared" si="14"/>
        <v>0</v>
      </c>
      <c r="F32" s="64">
        <f>'TIE-OUT'!AB32+RECLASS!AB32</f>
        <v>0</v>
      </c>
      <c r="G32" s="68">
        <f>'TIE-OUT'!AC32+RECLASS!AC32</f>
        <v>0</v>
      </c>
      <c r="H32" s="127">
        <v>-66266</v>
      </c>
      <c r="I32" s="127">
        <v>-199262</v>
      </c>
      <c r="J32" s="127">
        <v>66266</v>
      </c>
      <c r="K32" s="128">
        <v>199262</v>
      </c>
      <c r="L32" s="127">
        <f>+Actuals!I416</f>
        <v>0</v>
      </c>
      <c r="M32" s="127">
        <f>+Actuals!J416</f>
        <v>0</v>
      </c>
      <c r="N32" s="127">
        <f>+Actuals!K416</f>
        <v>0</v>
      </c>
      <c r="O32" s="127">
        <f>+Actuals!L416</f>
        <v>0</v>
      </c>
      <c r="P32" s="127">
        <f>+Actuals!M416</f>
        <v>0</v>
      </c>
      <c r="Q32" s="128">
        <f>+Actuals!N416</f>
        <v>0</v>
      </c>
      <c r="R32" s="127">
        <f>+Actuals!O416</f>
        <v>0</v>
      </c>
      <c r="S32" s="128">
        <f>+Actuals!P416</f>
        <v>0</v>
      </c>
      <c r="T32" s="127">
        <f>+Actuals!Q416</f>
        <v>0</v>
      </c>
      <c r="U32" s="128">
        <f>+Actuals!R416</f>
        <v>0</v>
      </c>
      <c r="V32" s="127">
        <f>+Actuals!S416</f>
        <v>0</v>
      </c>
      <c r="W32" s="128">
        <f>+Actuals!T416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4"/>
        <v>0</v>
      </c>
      <c r="E33" s="38">
        <f t="shared" si="14"/>
        <v>0</v>
      </c>
      <c r="F33" s="60">
        <f>'TIE-OUT'!AB33+RECLASS!AB33</f>
        <v>0</v>
      </c>
      <c r="G33" s="38">
        <f>'TIE-OUT'!AC33+RECLASS!AC33</f>
        <v>0</v>
      </c>
      <c r="H33" s="127">
        <v>0</v>
      </c>
      <c r="I33" s="127">
        <v>0</v>
      </c>
      <c r="J33" s="127">
        <v>0</v>
      </c>
      <c r="K33" s="128">
        <v>0</v>
      </c>
      <c r="L33" s="127">
        <f>+Actuals!I417</f>
        <v>0</v>
      </c>
      <c r="M33" s="127">
        <f>+Actuals!J417</f>
        <v>0</v>
      </c>
      <c r="N33" s="127">
        <f>+Actuals!K417</f>
        <v>0</v>
      </c>
      <c r="O33" s="127">
        <f>+Actuals!L417</f>
        <v>0</v>
      </c>
      <c r="P33" s="127">
        <f>+Actuals!M417</f>
        <v>0</v>
      </c>
      <c r="Q33" s="128">
        <f>+Actuals!N417</f>
        <v>0</v>
      </c>
      <c r="R33" s="127">
        <f>+Actuals!O417</f>
        <v>0</v>
      </c>
      <c r="S33" s="128">
        <f>+Actuals!P417</f>
        <v>0</v>
      </c>
      <c r="T33" s="127">
        <f>+Actuals!Q417</f>
        <v>0</v>
      </c>
      <c r="U33" s="128">
        <f>+Actuals!R417</f>
        <v>0</v>
      </c>
      <c r="V33" s="127">
        <f>+Actuals!S417</f>
        <v>0</v>
      </c>
      <c r="W33" s="128">
        <f>+Actuals!T417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4"/>
        <v>0</v>
      </c>
      <c r="E34" s="38">
        <f t="shared" si="14"/>
        <v>0</v>
      </c>
      <c r="F34" s="60">
        <f>'TIE-OUT'!AB34+RECLASS!AB34</f>
        <v>0</v>
      </c>
      <c r="G34" s="38">
        <f>'TIE-OUT'!AC34+RECLASS!AC34</f>
        <v>0</v>
      </c>
      <c r="H34" s="127">
        <v>0</v>
      </c>
      <c r="I34" s="127">
        <v>0</v>
      </c>
      <c r="J34" s="127">
        <v>0</v>
      </c>
      <c r="K34" s="128">
        <v>0</v>
      </c>
      <c r="L34" s="127">
        <f>+Actuals!I418</f>
        <v>0</v>
      </c>
      <c r="M34" s="127">
        <f>+Actuals!J418</f>
        <v>0</v>
      </c>
      <c r="N34" s="127">
        <f>+Actuals!K418</f>
        <v>0</v>
      </c>
      <c r="O34" s="127">
        <f>+Actuals!L418</f>
        <v>0</v>
      </c>
      <c r="P34" s="127">
        <f>+Actuals!M418</f>
        <v>0</v>
      </c>
      <c r="Q34" s="128">
        <f>+Actuals!N418</f>
        <v>0</v>
      </c>
      <c r="R34" s="127">
        <f>+Actuals!O418</f>
        <v>0</v>
      </c>
      <c r="S34" s="128">
        <f>+Actuals!P418</f>
        <v>0</v>
      </c>
      <c r="T34" s="127">
        <f>+Actuals!Q418</f>
        <v>0</v>
      </c>
      <c r="U34" s="128">
        <f>+Actuals!R418</f>
        <v>0</v>
      </c>
      <c r="V34" s="127">
        <f>+Actuals!S418</f>
        <v>0</v>
      </c>
      <c r="W34" s="128">
        <f>+Actuals!T418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4"/>
        <v>0</v>
      </c>
      <c r="E35" s="38">
        <f t="shared" si="14"/>
        <v>0</v>
      </c>
      <c r="F35" s="81">
        <f>'TIE-OUT'!AB35+RECLASS!AB35</f>
        <v>0</v>
      </c>
      <c r="G35" s="82">
        <f>'TIE-OUT'!AC35+RECLASS!AC35</f>
        <v>0</v>
      </c>
      <c r="H35" s="127">
        <v>0</v>
      </c>
      <c r="I35" s="127">
        <v>0</v>
      </c>
      <c r="J35" s="127">
        <v>0</v>
      </c>
      <c r="K35" s="128">
        <v>0</v>
      </c>
      <c r="L35" s="127">
        <f>+Actuals!I419</f>
        <v>0</v>
      </c>
      <c r="M35" s="127">
        <f>+Actuals!J419</f>
        <v>0</v>
      </c>
      <c r="N35" s="127">
        <f>+Actuals!K419</f>
        <v>0</v>
      </c>
      <c r="O35" s="127">
        <f>+Actuals!L419</f>
        <v>0</v>
      </c>
      <c r="P35" s="127">
        <f>+Actuals!M419</f>
        <v>0</v>
      </c>
      <c r="Q35" s="128">
        <f>+Actuals!N419</f>
        <v>0</v>
      </c>
      <c r="R35" s="127">
        <f>+Actuals!O419</f>
        <v>0</v>
      </c>
      <c r="S35" s="128">
        <f>+Actuals!P419</f>
        <v>0</v>
      </c>
      <c r="T35" s="127">
        <f>+Actuals!Q419</f>
        <v>0</v>
      </c>
      <c r="U35" s="128">
        <f>+Actuals!R419</f>
        <v>0</v>
      </c>
      <c r="V35" s="127">
        <f>+Actuals!S419</f>
        <v>0</v>
      </c>
      <c r="W35" s="128">
        <f>+Actuals!T419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5">SUM(D32:D35)</f>
        <v>0</v>
      </c>
      <c r="E36" s="39">
        <f t="shared" si="15"/>
        <v>0</v>
      </c>
      <c r="F36" s="61">
        <f t="shared" si="15"/>
        <v>0</v>
      </c>
      <c r="G36" s="39">
        <f t="shared" si="15"/>
        <v>0</v>
      </c>
      <c r="H36" s="61">
        <f t="shared" si="15"/>
        <v>-66266</v>
      </c>
      <c r="I36" s="61">
        <f t="shared" si="15"/>
        <v>-199262</v>
      </c>
      <c r="J36" s="61">
        <f t="shared" ref="J36:O36" si="16">SUM(J32:J35)</f>
        <v>66266</v>
      </c>
      <c r="K36" s="39">
        <f t="shared" si="16"/>
        <v>199262</v>
      </c>
      <c r="L36" s="61">
        <f t="shared" si="16"/>
        <v>0</v>
      </c>
      <c r="M36" s="61">
        <f t="shared" si="16"/>
        <v>0</v>
      </c>
      <c r="N36" s="61">
        <f t="shared" si="16"/>
        <v>0</v>
      </c>
      <c r="O36" s="61">
        <f t="shared" si="16"/>
        <v>0</v>
      </c>
      <c r="P36" s="61">
        <f t="shared" ref="P36:U36" si="17">SUM(P32:P35)</f>
        <v>0</v>
      </c>
      <c r="Q36" s="39">
        <f t="shared" si="17"/>
        <v>0</v>
      </c>
      <c r="R36" s="61">
        <f t="shared" si="17"/>
        <v>0</v>
      </c>
      <c r="S36" s="39">
        <f t="shared" si="17"/>
        <v>0</v>
      </c>
      <c r="T36" s="61">
        <f t="shared" si="17"/>
        <v>0</v>
      </c>
      <c r="U36" s="39">
        <f t="shared" si="17"/>
        <v>0</v>
      </c>
      <c r="V36" s="61">
        <f t="shared" ref="V36:AE36" si="18">SUM(V32:V35)</f>
        <v>0</v>
      </c>
      <c r="W36" s="39">
        <f t="shared" si="18"/>
        <v>0</v>
      </c>
      <c r="X36" s="61">
        <f t="shared" si="18"/>
        <v>0</v>
      </c>
      <c r="Y36" s="39">
        <f t="shared" si="18"/>
        <v>0</v>
      </c>
      <c r="Z36" s="61">
        <f t="shared" si="18"/>
        <v>0</v>
      </c>
      <c r="AA36" s="39">
        <f t="shared" si="18"/>
        <v>0</v>
      </c>
      <c r="AB36" s="61">
        <f t="shared" si="18"/>
        <v>0</v>
      </c>
      <c r="AC36" s="39">
        <f t="shared" si="18"/>
        <v>0</v>
      </c>
      <c r="AD36" s="61">
        <f t="shared" si="18"/>
        <v>0</v>
      </c>
      <c r="AE36" s="39">
        <f t="shared" si="18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38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38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9">SUM(F39,H39,J39,L39,N39,P39,R39,T39,V39,X39,Z39,AB39,AD39)</f>
        <v>0</v>
      </c>
      <c r="E39" s="38">
        <f t="shared" si="19"/>
        <v>0</v>
      </c>
      <c r="F39" s="64">
        <f>'TIE-OUT'!AB39+RECLASS!AB39</f>
        <v>0</v>
      </c>
      <c r="G39" s="68">
        <f>'TIE-OUT'!AC39+RECLASS!AC39</f>
        <v>0</v>
      </c>
      <c r="H39" s="127">
        <v>0</v>
      </c>
      <c r="I39" s="127">
        <v>0</v>
      </c>
      <c r="J39" s="127">
        <v>0</v>
      </c>
      <c r="K39" s="128">
        <v>0</v>
      </c>
      <c r="L39" s="127">
        <f>+Actuals!I420</f>
        <v>0</v>
      </c>
      <c r="M39" s="127">
        <f>+Actuals!J420</f>
        <v>0</v>
      </c>
      <c r="N39" s="127">
        <f>+Actuals!K420</f>
        <v>0</v>
      </c>
      <c r="O39" s="127">
        <f>+Actuals!L420</f>
        <v>0</v>
      </c>
      <c r="P39" s="127">
        <f>+Actuals!M420</f>
        <v>0</v>
      </c>
      <c r="Q39" s="128">
        <f>+Actuals!N420</f>
        <v>0</v>
      </c>
      <c r="R39" s="127">
        <f>+Actuals!O420</f>
        <v>0</v>
      </c>
      <c r="S39" s="128">
        <f>+Actuals!P420</f>
        <v>0</v>
      </c>
      <c r="T39" s="127">
        <f>+Actuals!Q420</f>
        <v>0</v>
      </c>
      <c r="U39" s="128">
        <f>+Actuals!R420</f>
        <v>0</v>
      </c>
      <c r="V39" s="127">
        <f>+Actuals!S420</f>
        <v>0</v>
      </c>
      <c r="W39" s="128">
        <f>+Actuals!T420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9"/>
        <v>-3381</v>
      </c>
      <c r="E40" s="38">
        <f t="shared" si="19"/>
        <v>-7395.91</v>
      </c>
      <c r="F40" s="60">
        <f>'TIE-OUT'!AB40+RECLASS!AB40</f>
        <v>0</v>
      </c>
      <c r="G40" s="38">
        <f>'TIE-OUT'!AC40+RECLASS!AC40</f>
        <v>0</v>
      </c>
      <c r="H40" s="127">
        <v>0</v>
      </c>
      <c r="I40" s="127">
        <v>0</v>
      </c>
      <c r="J40" s="127">
        <v>0</v>
      </c>
      <c r="K40" s="128">
        <v>0</v>
      </c>
      <c r="L40" s="127">
        <f>+Actuals!I421</f>
        <v>0</v>
      </c>
      <c r="M40" s="127">
        <f>+Actuals!J421</f>
        <v>0</v>
      </c>
      <c r="N40" s="127">
        <f>+Actuals!K421</f>
        <v>0</v>
      </c>
      <c r="O40" s="127">
        <f>+Actuals!L421</f>
        <v>0</v>
      </c>
      <c r="P40" s="127">
        <f>+Actuals!M421</f>
        <v>0</v>
      </c>
      <c r="Q40" s="128">
        <f>+Actuals!N421</f>
        <v>0</v>
      </c>
      <c r="R40" s="127">
        <f>+Actuals!O421</f>
        <v>0</v>
      </c>
      <c r="S40" s="128">
        <f>+Actuals!P421</f>
        <v>0</v>
      </c>
      <c r="T40" s="127">
        <f>+Actuals!Q421</f>
        <v>0</v>
      </c>
      <c r="U40" s="128">
        <f>+Actuals!R421</f>
        <v>0</v>
      </c>
      <c r="V40" s="127">
        <f>+Actuals!S421</f>
        <v>0</v>
      </c>
      <c r="W40" s="128">
        <f>+Actuals!T421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v>-3381</v>
      </c>
      <c r="AC40" s="128">
        <v>-7395.91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9"/>
        <v>0</v>
      </c>
      <c r="E41" s="38">
        <f t="shared" si="19"/>
        <v>0</v>
      </c>
      <c r="F41" s="81">
        <f>'TIE-OUT'!AB41+RECLASS!AB41</f>
        <v>0</v>
      </c>
      <c r="G41" s="82">
        <f>'TIE-OUT'!AC41+RECLASS!AC41</f>
        <v>0</v>
      </c>
      <c r="H41" s="127">
        <v>0</v>
      </c>
      <c r="I41" s="127">
        <v>0</v>
      </c>
      <c r="J41" s="127">
        <v>0</v>
      </c>
      <c r="K41" s="128">
        <v>0</v>
      </c>
      <c r="L41" s="127">
        <f>+Actuals!I422</f>
        <v>0</v>
      </c>
      <c r="M41" s="127">
        <f>+Actuals!J422</f>
        <v>0</v>
      </c>
      <c r="N41" s="127">
        <f>+Actuals!K422</f>
        <v>0</v>
      </c>
      <c r="O41" s="127">
        <f>+Actuals!L422</f>
        <v>0</v>
      </c>
      <c r="P41" s="127">
        <f>+Actuals!M422</f>
        <v>0</v>
      </c>
      <c r="Q41" s="128">
        <f>+Actuals!N422</f>
        <v>0</v>
      </c>
      <c r="R41" s="127">
        <f>+Actuals!O422</f>
        <v>0</v>
      </c>
      <c r="S41" s="128">
        <f>+Actuals!P422</f>
        <v>0</v>
      </c>
      <c r="T41" s="127">
        <f>+Actuals!Q422</f>
        <v>0</v>
      </c>
      <c r="U41" s="128">
        <f>+Actuals!R422</f>
        <v>0</v>
      </c>
      <c r="V41" s="127">
        <f>+Actuals!S422</f>
        <v>0</v>
      </c>
      <c r="W41" s="128">
        <f>+Actuals!T422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20">SUM(D40:D41)</f>
        <v>-3381</v>
      </c>
      <c r="E42" s="39">
        <f t="shared" si="20"/>
        <v>-7395.91</v>
      </c>
      <c r="F42" s="61">
        <f t="shared" si="20"/>
        <v>0</v>
      </c>
      <c r="G42" s="39">
        <f t="shared" si="20"/>
        <v>0</v>
      </c>
      <c r="H42" s="61">
        <f t="shared" si="20"/>
        <v>0</v>
      </c>
      <c r="I42" s="61">
        <f t="shared" si="20"/>
        <v>0</v>
      </c>
      <c r="J42" s="61">
        <f t="shared" ref="J42:O42" si="21">SUM(J40:J41)</f>
        <v>0</v>
      </c>
      <c r="K42" s="39">
        <f t="shared" si="21"/>
        <v>0</v>
      </c>
      <c r="L42" s="61">
        <f t="shared" si="21"/>
        <v>0</v>
      </c>
      <c r="M42" s="61">
        <f t="shared" si="21"/>
        <v>0</v>
      </c>
      <c r="N42" s="61">
        <f t="shared" si="21"/>
        <v>0</v>
      </c>
      <c r="O42" s="61">
        <f t="shared" si="21"/>
        <v>0</v>
      </c>
      <c r="P42" s="61">
        <f t="shared" ref="P42:U42" si="22">SUM(P40:P41)</f>
        <v>0</v>
      </c>
      <c r="Q42" s="39">
        <f t="shared" si="22"/>
        <v>0</v>
      </c>
      <c r="R42" s="61">
        <f t="shared" si="22"/>
        <v>0</v>
      </c>
      <c r="S42" s="39">
        <f t="shared" si="22"/>
        <v>0</v>
      </c>
      <c r="T42" s="61">
        <f t="shared" si="22"/>
        <v>0</v>
      </c>
      <c r="U42" s="39">
        <f t="shared" si="22"/>
        <v>0</v>
      </c>
      <c r="V42" s="61">
        <f t="shared" ref="V42:AE42" si="23">SUM(V40:V41)</f>
        <v>0</v>
      </c>
      <c r="W42" s="39">
        <f t="shared" si="23"/>
        <v>0</v>
      </c>
      <c r="X42" s="61">
        <f t="shared" si="23"/>
        <v>0</v>
      </c>
      <c r="Y42" s="39">
        <f t="shared" si="23"/>
        <v>0</v>
      </c>
      <c r="Z42" s="61">
        <f t="shared" si="23"/>
        <v>0</v>
      </c>
      <c r="AA42" s="39">
        <f t="shared" si="23"/>
        <v>0</v>
      </c>
      <c r="AB42" s="61">
        <f t="shared" si="23"/>
        <v>-3381</v>
      </c>
      <c r="AC42" s="39">
        <f t="shared" si="23"/>
        <v>-7395.91</v>
      </c>
      <c r="AD42" s="61">
        <f t="shared" si="23"/>
        <v>0</v>
      </c>
      <c r="AE42" s="39">
        <f t="shared" si="23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-3381</v>
      </c>
      <c r="E43" s="39">
        <f>E42+E39</f>
        <v>-7395.91</v>
      </c>
      <c r="F43" s="61">
        <f>AB42+AB39</f>
        <v>-3381</v>
      </c>
      <c r="G43" s="39">
        <f>AC42+AC39</f>
        <v>-7395.91</v>
      </c>
      <c r="H43" s="61">
        <f>H42+H39</f>
        <v>0</v>
      </c>
      <c r="I43" s="61">
        <f>I42+I39</f>
        <v>0</v>
      </c>
      <c r="J43" s="61">
        <f t="shared" ref="J43:O43" si="24">J42+J39</f>
        <v>0</v>
      </c>
      <c r="K43" s="39">
        <f t="shared" si="24"/>
        <v>0</v>
      </c>
      <c r="L43" s="61">
        <f t="shared" si="24"/>
        <v>0</v>
      </c>
      <c r="M43" s="61">
        <f t="shared" si="24"/>
        <v>0</v>
      </c>
      <c r="N43" s="61">
        <f t="shared" si="24"/>
        <v>0</v>
      </c>
      <c r="O43" s="61">
        <f t="shared" si="24"/>
        <v>0</v>
      </c>
      <c r="P43" s="61">
        <f t="shared" ref="P43:U43" si="25">P42+P39</f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ref="V43:AE43" si="26">V42+V39</f>
        <v>0</v>
      </c>
      <c r="W43" s="39">
        <f t="shared" si="26"/>
        <v>0</v>
      </c>
      <c r="X43" s="61">
        <f t="shared" si="26"/>
        <v>0</v>
      </c>
      <c r="Y43" s="39">
        <f t="shared" si="26"/>
        <v>0</v>
      </c>
      <c r="Z43" s="61">
        <f t="shared" si="26"/>
        <v>0</v>
      </c>
      <c r="AA43" s="39">
        <f t="shared" si="26"/>
        <v>0</v>
      </c>
      <c r="AB43" s="61">
        <f t="shared" si="26"/>
        <v>-3381</v>
      </c>
      <c r="AC43" s="39">
        <f t="shared" si="26"/>
        <v>-7395.91</v>
      </c>
      <c r="AD43" s="61">
        <f t="shared" si="26"/>
        <v>0</v>
      </c>
      <c r="AE43" s="39">
        <f t="shared" si="26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38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'TIE-OUT'!AB45+RECLASS!AB45</f>
        <v>0</v>
      </c>
      <c r="G45" s="68">
        <f>'TIE-OUT'!AC45+RECLASS!AC45</f>
        <v>0</v>
      </c>
      <c r="H45" s="127">
        <v>0</v>
      </c>
      <c r="I45" s="127">
        <v>0</v>
      </c>
      <c r="J45" s="127">
        <v>0</v>
      </c>
      <c r="K45" s="128">
        <v>0</v>
      </c>
      <c r="L45" s="127">
        <f>+Actuals!I423</f>
        <v>0</v>
      </c>
      <c r="M45" s="127">
        <f>+Actuals!J423</f>
        <v>0</v>
      </c>
      <c r="N45" s="127">
        <f>+Actuals!K423</f>
        <v>0</v>
      </c>
      <c r="O45" s="127">
        <f>+Actuals!L423</f>
        <v>0</v>
      </c>
      <c r="P45" s="127">
        <f>+Actuals!M423</f>
        <v>0</v>
      </c>
      <c r="Q45" s="128">
        <f>+Actuals!N423</f>
        <v>0</v>
      </c>
      <c r="R45" s="127">
        <f>+Actuals!O423</f>
        <v>0</v>
      </c>
      <c r="S45" s="128">
        <f>+Actuals!P423</f>
        <v>0</v>
      </c>
      <c r="T45" s="127">
        <f>+Actuals!Q423</f>
        <v>0</v>
      </c>
      <c r="U45" s="128">
        <f>+Actuals!R423</f>
        <v>0</v>
      </c>
      <c r="V45" s="127">
        <f>+Actuals!S423</f>
        <v>0</v>
      </c>
      <c r="W45" s="128">
        <f>+Actuals!T423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38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'TIE-OUT'!AB47+RECLASS!AB47</f>
        <v>0</v>
      </c>
      <c r="G47" s="38">
        <f>'TIE-OUT'!AC47+RECLASS!AC47</f>
        <v>0</v>
      </c>
      <c r="H47" s="127">
        <v>0</v>
      </c>
      <c r="I47" s="127">
        <v>0</v>
      </c>
      <c r="J47" s="127">
        <v>0</v>
      </c>
      <c r="K47" s="128">
        <v>0</v>
      </c>
      <c r="L47" s="127">
        <f>+Actuals!I424</f>
        <v>0</v>
      </c>
      <c r="M47" s="127">
        <f>+Actuals!J424</f>
        <v>0</v>
      </c>
      <c r="N47" s="127">
        <f>+Actuals!K424</f>
        <v>0</v>
      </c>
      <c r="O47" s="127">
        <f>+Actuals!L424</f>
        <v>0</v>
      </c>
      <c r="P47" s="127">
        <f>+Actuals!M424</f>
        <v>0</v>
      </c>
      <c r="Q47" s="128">
        <f>+Actuals!N424</f>
        <v>0</v>
      </c>
      <c r="R47" s="127">
        <f>+Actuals!O424</f>
        <v>0</v>
      </c>
      <c r="S47" s="128">
        <f>+Actuals!P424</f>
        <v>0</v>
      </c>
      <c r="T47" s="127">
        <f>+Actuals!Q424</f>
        <v>0</v>
      </c>
      <c r="U47" s="128">
        <f>+Actuals!R424</f>
        <v>0</v>
      </c>
      <c r="V47" s="127">
        <f>+Actuals!S424</f>
        <v>0</v>
      </c>
      <c r="W47" s="128">
        <f>+Actuals!T424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38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49390</v>
      </c>
      <c r="E49" s="38">
        <f>SUM(G49,I49,K49,M49,O49,Q49,S49,U49,W49,Y49,AA49,AC49,AE49)</f>
        <v>148273.18800000023</v>
      </c>
      <c r="F49" s="60">
        <f>'TIE-OUT'!AB49+RECLASS!AB49</f>
        <v>0</v>
      </c>
      <c r="G49" s="38">
        <f>'TIE-OUT'!AC49+RECLASS!AC49</f>
        <v>0</v>
      </c>
      <c r="H49" s="127">
        <v>0</v>
      </c>
      <c r="I49" s="127">
        <v>0</v>
      </c>
      <c r="J49" s="127">
        <v>-2240088</v>
      </c>
      <c r="K49" s="128">
        <v>-6735945</v>
      </c>
      <c r="L49" s="127">
        <f>+Actuals!I425</f>
        <v>4831521</v>
      </c>
      <c r="M49" s="127">
        <f>+Actuals!J425</f>
        <v>14528383.647</v>
      </c>
      <c r="N49" s="127">
        <f>+Actuals!K425</f>
        <v>0</v>
      </c>
      <c r="O49" s="127">
        <f>+Actuals!L425</f>
        <v>0</v>
      </c>
      <c r="P49" s="127">
        <f>+Actuals!M425</f>
        <v>-4831521</v>
      </c>
      <c r="Q49" s="128">
        <f>+Actuals!N425</f>
        <v>-14528383.647</v>
      </c>
      <c r="R49" s="127">
        <f>+Actuals!O425</f>
        <v>0</v>
      </c>
      <c r="S49" s="128">
        <f>+Actuals!P425</f>
        <v>0</v>
      </c>
      <c r="T49" s="127">
        <f>+Actuals!Q425</f>
        <v>0</v>
      </c>
      <c r="U49" s="128">
        <f>+Actuals!R425</f>
        <v>0</v>
      </c>
      <c r="V49" s="127">
        <f>+Actuals!S425</f>
        <v>2293764</v>
      </c>
      <c r="W49" s="128">
        <f>+Actuals!T425</f>
        <v>6897348.3480000002</v>
      </c>
      <c r="X49" s="127">
        <v>-7667</v>
      </c>
      <c r="Y49" s="128">
        <v>-23487.85</v>
      </c>
      <c r="Z49" s="127">
        <f>+Actuals!W145</f>
        <v>0</v>
      </c>
      <c r="AA49" s="128">
        <f>+Actuals!X145</f>
        <v>0</v>
      </c>
      <c r="AB49" s="127">
        <v>3381</v>
      </c>
      <c r="AC49" s="128">
        <v>10357.69</v>
      </c>
      <c r="AD49" s="127">
        <f>+Actuals!AA145</f>
        <v>0</v>
      </c>
      <c r="AE49" s="128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38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-7667</v>
      </c>
      <c r="E51" s="38">
        <f>SUM(G51,I51,K51,M51,O51,Q51,S51,U51,W51,Y51,AA51,AC51,AE51)</f>
        <v>-17772.11</v>
      </c>
      <c r="F51" s="60">
        <f>'TIE-OUT'!AB51+RECLASS!AB51</f>
        <v>0</v>
      </c>
      <c r="G51" s="38">
        <f>'TIE-OUT'!AC51+RECLASS!AC51</f>
        <v>0</v>
      </c>
      <c r="H51" s="127">
        <v>0</v>
      </c>
      <c r="I51" s="127">
        <v>0</v>
      </c>
      <c r="J51" s="127">
        <v>0</v>
      </c>
      <c r="K51" s="128">
        <v>0</v>
      </c>
      <c r="L51" s="127">
        <f>+Actuals!I426</f>
        <v>0</v>
      </c>
      <c r="M51" s="127">
        <f>+Actuals!J426</f>
        <v>0</v>
      </c>
      <c r="N51" s="127">
        <f>+Actuals!K426</f>
        <v>0</v>
      </c>
      <c r="O51" s="127">
        <f>+Actuals!L426</f>
        <v>0</v>
      </c>
      <c r="P51" s="127">
        <f>+Actuals!M426</f>
        <v>0</v>
      </c>
      <c r="Q51" s="128">
        <f>+Actuals!N426</f>
        <v>0</v>
      </c>
      <c r="R51" s="127">
        <f>+Actuals!O426</f>
        <v>0</v>
      </c>
      <c r="S51" s="128">
        <f>+Actuals!P426</f>
        <v>0</v>
      </c>
      <c r="T51" s="127">
        <f>+Actuals!Q426</f>
        <v>0</v>
      </c>
      <c r="U51" s="128">
        <f>+Actuals!R426</f>
        <v>0</v>
      </c>
      <c r="V51" s="127">
        <f>+Actuals!S426</f>
        <v>0</v>
      </c>
      <c r="W51" s="128">
        <f>+Actuals!T426</f>
        <v>0</v>
      </c>
      <c r="X51" s="127">
        <v>-7667</v>
      </c>
      <c r="Y51" s="128">
        <v>-17772.11</v>
      </c>
      <c r="Z51" s="127">
        <f>+Actuals!W146</f>
        <v>0</v>
      </c>
      <c r="AA51" s="128">
        <f>+Actuals!X146</f>
        <v>0</v>
      </c>
      <c r="AB51" s="127">
        <v>0</v>
      </c>
      <c r="AC51" s="128">
        <v>0</v>
      </c>
      <c r="AD51" s="127">
        <f>+Actuals!AA146</f>
        <v>0</v>
      </c>
      <c r="AE51" s="128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38"/>
      <c r="L52" s="60"/>
      <c r="M52" s="60"/>
      <c r="N52" s="60"/>
      <c r="O52" s="60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38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-29428.77</v>
      </c>
      <c r="E54" s="38">
        <f>SUM(G54,I54,K54,M54,O54,Q54,S54,U54,W54,Y54,AA54,AC54,AE54)</f>
        <v>-9136.02</v>
      </c>
      <c r="F54" s="64">
        <f>'TIE-OUT'!AB54+RECLASS!AB54</f>
        <v>0</v>
      </c>
      <c r="G54" s="68">
        <f>'TIE-OUT'!AC54+RECLASS!AC54</f>
        <v>0</v>
      </c>
      <c r="H54" s="127">
        <v>0</v>
      </c>
      <c r="I54" s="127">
        <v>0</v>
      </c>
      <c r="J54" s="127">
        <v>0</v>
      </c>
      <c r="K54" s="128">
        <v>0</v>
      </c>
      <c r="L54" s="127">
        <f>+Actuals!I427</f>
        <v>0</v>
      </c>
      <c r="M54" s="127">
        <f>+Actuals!J427</f>
        <v>0</v>
      </c>
      <c r="N54" s="127">
        <f>+Actuals!K427</f>
        <v>0</v>
      </c>
      <c r="O54" s="127">
        <f>+Actuals!L427</f>
        <v>0</v>
      </c>
      <c r="P54" s="127">
        <f>+Actuals!M427</f>
        <v>0</v>
      </c>
      <c r="Q54" s="128">
        <f>+Actuals!N427</f>
        <v>0</v>
      </c>
      <c r="R54" s="127">
        <f>+Actuals!O427</f>
        <v>0</v>
      </c>
      <c r="S54" s="128">
        <f>+Actuals!P427</f>
        <v>0</v>
      </c>
      <c r="T54" s="127">
        <f>+Actuals!Q427</f>
        <v>0</v>
      </c>
      <c r="U54" s="128">
        <f>+Actuals!R427</f>
        <v>0</v>
      </c>
      <c r="V54" s="127">
        <f>+Actuals!S427</f>
        <v>0</v>
      </c>
      <c r="W54" s="128">
        <f>+Actuals!T427</f>
        <v>0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v>-29428.77</v>
      </c>
      <c r="AC54" s="128">
        <v>-9136.02</v>
      </c>
      <c r="AD54" s="127">
        <f>+Actuals!AA147</f>
        <v>0</v>
      </c>
      <c r="AE54" s="128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'TIE-OUT'!AB55+RECLASS!AB55</f>
        <v>0</v>
      </c>
      <c r="G55" s="82">
        <f>'TIE-OUT'!AC55+RECLASS!AC55</f>
        <v>0</v>
      </c>
      <c r="H55" s="127">
        <v>0</v>
      </c>
      <c r="I55" s="127">
        <v>0</v>
      </c>
      <c r="J55" s="127">
        <v>0</v>
      </c>
      <c r="K55" s="128">
        <v>0</v>
      </c>
      <c r="L55" s="127">
        <f>+Actuals!I428</f>
        <v>0</v>
      </c>
      <c r="M55" s="127">
        <f>+Actuals!J428</f>
        <v>0</v>
      </c>
      <c r="N55" s="127">
        <f>+Actuals!K428</f>
        <v>0</v>
      </c>
      <c r="O55" s="127">
        <f>+Actuals!L428</f>
        <v>0</v>
      </c>
      <c r="P55" s="127">
        <f>+Actuals!M428</f>
        <v>0</v>
      </c>
      <c r="Q55" s="128">
        <f>+Actuals!N428</f>
        <v>0</v>
      </c>
      <c r="R55" s="127">
        <f>+Actuals!O428</f>
        <v>0</v>
      </c>
      <c r="S55" s="128">
        <f>+Actuals!P428</f>
        <v>0</v>
      </c>
      <c r="T55" s="127">
        <f>+Actuals!Q428</f>
        <v>0</v>
      </c>
      <c r="U55" s="128">
        <f>+Actuals!R428</f>
        <v>0</v>
      </c>
      <c r="V55" s="127">
        <f>+Actuals!S428</f>
        <v>0</v>
      </c>
      <c r="W55" s="128">
        <f>+Actuals!T428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v>0</v>
      </c>
      <c r="AD55" s="127">
        <f>+Actuals!AA148</f>
        <v>0</v>
      </c>
      <c r="AE55" s="128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7">SUM(D54:D55)</f>
        <v>-29428.77</v>
      </c>
      <c r="E56" s="39">
        <f t="shared" si="27"/>
        <v>-9136.02</v>
      </c>
      <c r="F56" s="61">
        <f t="shared" si="27"/>
        <v>0</v>
      </c>
      <c r="G56" s="39">
        <f t="shared" si="27"/>
        <v>0</v>
      </c>
      <c r="H56" s="61">
        <f t="shared" si="27"/>
        <v>0</v>
      </c>
      <c r="I56" s="61">
        <f t="shared" si="27"/>
        <v>0</v>
      </c>
      <c r="J56" s="61">
        <f t="shared" ref="J56:O56" si="28">SUM(J54:J55)</f>
        <v>0</v>
      </c>
      <c r="K56" s="39">
        <f t="shared" si="28"/>
        <v>0</v>
      </c>
      <c r="L56" s="61">
        <f t="shared" si="28"/>
        <v>0</v>
      </c>
      <c r="M56" s="61">
        <f t="shared" si="28"/>
        <v>0</v>
      </c>
      <c r="N56" s="61">
        <f t="shared" si="28"/>
        <v>0</v>
      </c>
      <c r="O56" s="61">
        <f t="shared" si="28"/>
        <v>0</v>
      </c>
      <c r="P56" s="61">
        <f t="shared" ref="P56:U56" si="29">SUM(P54:P55)</f>
        <v>0</v>
      </c>
      <c r="Q56" s="39">
        <f t="shared" si="29"/>
        <v>0</v>
      </c>
      <c r="R56" s="61">
        <f t="shared" si="29"/>
        <v>0</v>
      </c>
      <c r="S56" s="39">
        <f t="shared" si="29"/>
        <v>0</v>
      </c>
      <c r="T56" s="61">
        <f t="shared" si="29"/>
        <v>0</v>
      </c>
      <c r="U56" s="39">
        <f t="shared" si="29"/>
        <v>0</v>
      </c>
      <c r="V56" s="61">
        <f t="shared" ref="V56:AE56" si="30">SUM(V54:V55)</f>
        <v>0</v>
      </c>
      <c r="W56" s="39">
        <f t="shared" si="30"/>
        <v>0</v>
      </c>
      <c r="X56" s="61">
        <f t="shared" si="30"/>
        <v>0</v>
      </c>
      <c r="Y56" s="39">
        <f t="shared" si="30"/>
        <v>0</v>
      </c>
      <c r="Z56" s="61">
        <f t="shared" si="30"/>
        <v>0</v>
      </c>
      <c r="AA56" s="39">
        <f t="shared" si="30"/>
        <v>0</v>
      </c>
      <c r="AB56" s="61">
        <f t="shared" si="30"/>
        <v>-29428.77</v>
      </c>
      <c r="AC56" s="39">
        <f t="shared" si="30"/>
        <v>-9136.02</v>
      </c>
      <c r="AD56" s="61">
        <f t="shared" si="30"/>
        <v>0</v>
      </c>
      <c r="AE56" s="39">
        <f t="shared" si="30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38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60"/>
      <c r="J58" s="60"/>
      <c r="K58" s="38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'TIE-OUT'!AB59+RECLASS!AB59</f>
        <v>0</v>
      </c>
      <c r="G59" s="68">
        <f>'TIE-OUT'!AC59+RECLASS!AC59</f>
        <v>0</v>
      </c>
      <c r="H59" s="127">
        <v>0</v>
      </c>
      <c r="I59" s="127">
        <v>0</v>
      </c>
      <c r="J59" s="127">
        <v>0</v>
      </c>
      <c r="K59" s="128">
        <v>0</v>
      </c>
      <c r="L59" s="127">
        <f>+Actuals!I429</f>
        <v>0</v>
      </c>
      <c r="M59" s="127">
        <f>+Actuals!J429</f>
        <v>0</v>
      </c>
      <c r="N59" s="127">
        <f>+Actuals!K429</f>
        <v>0</v>
      </c>
      <c r="O59" s="127">
        <f>+Actuals!L429</f>
        <v>0</v>
      </c>
      <c r="P59" s="127">
        <f>+Actuals!M429</f>
        <v>0</v>
      </c>
      <c r="Q59" s="128">
        <f>+Actuals!N429</f>
        <v>0</v>
      </c>
      <c r="R59" s="127">
        <f>+Actuals!O429</f>
        <v>0</v>
      </c>
      <c r="S59" s="128">
        <f>+Actuals!P429</f>
        <v>0</v>
      </c>
      <c r="T59" s="127">
        <f>+Actuals!Q429</f>
        <v>0</v>
      </c>
      <c r="U59" s="128">
        <f>+Actuals!R429</f>
        <v>0</v>
      </c>
      <c r="V59" s="127">
        <f>+Actuals!S429</f>
        <v>0</v>
      </c>
      <c r="W59" s="128">
        <f>+Actuals!T429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'TIE-OUT'!AB60+RECLASS!AB60</f>
        <v>0</v>
      </c>
      <c r="G60" s="82">
        <f>'TIE-OUT'!AC60+RECLASS!AC60</f>
        <v>0</v>
      </c>
      <c r="H60" s="127">
        <v>0</v>
      </c>
      <c r="I60" s="127">
        <v>0</v>
      </c>
      <c r="J60" s="127">
        <v>0</v>
      </c>
      <c r="K60" s="128">
        <v>0</v>
      </c>
      <c r="L60" s="127">
        <f>+Actuals!I430</f>
        <v>0</v>
      </c>
      <c r="M60" s="127">
        <f>+Actuals!J430</f>
        <v>0</v>
      </c>
      <c r="N60" s="127">
        <f>+Actuals!K430</f>
        <v>0</v>
      </c>
      <c r="O60" s="127">
        <f>+Actuals!L430</f>
        <v>0</v>
      </c>
      <c r="P60" s="127">
        <f>+Actuals!M430</f>
        <v>0</v>
      </c>
      <c r="Q60" s="128">
        <f>+Actuals!N430</f>
        <v>0</v>
      </c>
      <c r="R60" s="127">
        <f>+Actuals!O430</f>
        <v>0</v>
      </c>
      <c r="S60" s="128">
        <f>+Actuals!P430</f>
        <v>0</v>
      </c>
      <c r="T60" s="127">
        <f>+Actuals!Q430</f>
        <v>0</v>
      </c>
      <c r="U60" s="128">
        <f>+Actuals!R430</f>
        <v>0</v>
      </c>
      <c r="V60" s="127">
        <f>+Actuals!S430</f>
        <v>0</v>
      </c>
      <c r="W60" s="128">
        <f>+Actuals!T430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31">SUM(D59:D60)</f>
        <v>0</v>
      </c>
      <c r="E61" s="39">
        <f t="shared" si="31"/>
        <v>0</v>
      </c>
      <c r="F61" s="61">
        <f t="shared" si="31"/>
        <v>0</v>
      </c>
      <c r="G61" s="39">
        <f t="shared" si="31"/>
        <v>0</v>
      </c>
      <c r="H61" s="61">
        <f t="shared" si="31"/>
        <v>0</v>
      </c>
      <c r="I61" s="61">
        <f t="shared" si="31"/>
        <v>0</v>
      </c>
      <c r="J61" s="61">
        <f t="shared" ref="J61:O61" si="32">SUM(J59:J60)</f>
        <v>0</v>
      </c>
      <c r="K61" s="39">
        <f t="shared" si="32"/>
        <v>0</v>
      </c>
      <c r="L61" s="61">
        <f t="shared" si="32"/>
        <v>0</v>
      </c>
      <c r="M61" s="61">
        <f t="shared" si="32"/>
        <v>0</v>
      </c>
      <c r="N61" s="61">
        <f t="shared" si="32"/>
        <v>0</v>
      </c>
      <c r="O61" s="61">
        <f t="shared" si="32"/>
        <v>0</v>
      </c>
      <c r="P61" s="61">
        <f t="shared" ref="P61:U61" si="33">SUM(P59:P60)</f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ref="V61:AE61" si="34">SUM(V59:V60)</f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si="34"/>
        <v>0</v>
      </c>
      <c r="AC61" s="39">
        <f t="shared" si="34"/>
        <v>0</v>
      </c>
      <c r="AD61" s="61">
        <f t="shared" si="34"/>
        <v>0</v>
      </c>
      <c r="AE61" s="39">
        <f t="shared" si="34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38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38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'TIE-OUT'!AB64+RECLASS!AB64</f>
        <v>0</v>
      </c>
      <c r="G64" s="68">
        <f>'TIE-OUT'!AC64+RECLASS!AC64</f>
        <v>0</v>
      </c>
      <c r="H64" s="127">
        <v>0</v>
      </c>
      <c r="I64" s="127">
        <v>0</v>
      </c>
      <c r="J64" s="127">
        <v>0</v>
      </c>
      <c r="K64" s="128">
        <v>0</v>
      </c>
      <c r="L64" s="127">
        <f>+Actuals!I431</f>
        <v>0</v>
      </c>
      <c r="M64" s="127">
        <f>+Actuals!J431</f>
        <v>0</v>
      </c>
      <c r="N64" s="127">
        <f>+Actuals!K431</f>
        <v>0</v>
      </c>
      <c r="O64" s="127">
        <f>+Actuals!L431</f>
        <v>0</v>
      </c>
      <c r="P64" s="127">
        <f>+Actuals!M431</f>
        <v>0</v>
      </c>
      <c r="Q64" s="128">
        <f>+Actuals!N431</f>
        <v>0</v>
      </c>
      <c r="R64" s="127">
        <f>+Actuals!O431</f>
        <v>0</v>
      </c>
      <c r="S64" s="128">
        <f>+Actuals!P431</f>
        <v>0</v>
      </c>
      <c r="T64" s="127">
        <f>+Actuals!Q431</f>
        <v>0</v>
      </c>
      <c r="U64" s="128">
        <f>+Actuals!R431</f>
        <v>0</v>
      </c>
      <c r="V64" s="127">
        <f>+Actuals!S431</f>
        <v>0</v>
      </c>
      <c r="W64" s="128">
        <f>+Actuals!T431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'TIE-OUT'!AB65+RECLASS!AB65</f>
        <v>0</v>
      </c>
      <c r="G65" s="82">
        <f>'TIE-OUT'!AC65+RECLASS!AC65</f>
        <v>0</v>
      </c>
      <c r="H65" s="127">
        <v>0</v>
      </c>
      <c r="I65" s="127">
        <v>0</v>
      </c>
      <c r="J65" s="127">
        <v>0</v>
      </c>
      <c r="K65" s="128">
        <v>0</v>
      </c>
      <c r="L65" s="127">
        <f>+Actuals!I432</f>
        <v>0</v>
      </c>
      <c r="M65" s="127">
        <f>+Actuals!J432</f>
        <v>0</v>
      </c>
      <c r="N65" s="127">
        <f>+Actuals!K432</f>
        <v>0</v>
      </c>
      <c r="O65" s="127">
        <f>+Actuals!L432</f>
        <v>0</v>
      </c>
      <c r="P65" s="127">
        <f>+Actuals!M432</f>
        <v>0</v>
      </c>
      <c r="Q65" s="128">
        <f>+Actuals!N432</f>
        <v>0</v>
      </c>
      <c r="R65" s="127">
        <f>+Actuals!O432</f>
        <v>0</v>
      </c>
      <c r="S65" s="128">
        <f>+Actuals!P432</f>
        <v>0</v>
      </c>
      <c r="T65" s="127">
        <f>+Actuals!Q432</f>
        <v>0</v>
      </c>
      <c r="U65" s="128">
        <f>+Actuals!R432</f>
        <v>0</v>
      </c>
      <c r="V65" s="127">
        <f>+Actuals!S432</f>
        <v>0</v>
      </c>
      <c r="W65" s="128">
        <f>+Actuals!T432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35">SUM(D64:D65)</f>
        <v>0</v>
      </c>
      <c r="E66" s="39">
        <f t="shared" si="35"/>
        <v>0</v>
      </c>
      <c r="F66" s="61">
        <f t="shared" si="35"/>
        <v>0</v>
      </c>
      <c r="G66" s="39">
        <f t="shared" si="35"/>
        <v>0</v>
      </c>
      <c r="H66" s="61">
        <f t="shared" si="35"/>
        <v>0</v>
      </c>
      <c r="I66" s="61">
        <f t="shared" si="35"/>
        <v>0</v>
      </c>
      <c r="J66" s="61">
        <f t="shared" ref="J66:O66" si="36">SUM(J64:J65)</f>
        <v>0</v>
      </c>
      <c r="K66" s="39">
        <f t="shared" si="36"/>
        <v>0</v>
      </c>
      <c r="L66" s="61">
        <f t="shared" si="36"/>
        <v>0</v>
      </c>
      <c r="M66" s="61">
        <f t="shared" si="36"/>
        <v>0</v>
      </c>
      <c r="N66" s="61">
        <f t="shared" si="36"/>
        <v>0</v>
      </c>
      <c r="O66" s="61">
        <f t="shared" si="36"/>
        <v>0</v>
      </c>
      <c r="P66" s="61">
        <f t="shared" ref="P66:U66" si="37">SUM(P64:P65)</f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ref="V66:AE66" si="38">SUM(V64:V65)</f>
        <v>0</v>
      </c>
      <c r="W66" s="39">
        <f t="shared" si="38"/>
        <v>0</v>
      </c>
      <c r="X66" s="61">
        <f t="shared" si="38"/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si="38"/>
        <v>0</v>
      </c>
      <c r="AC66" s="39">
        <f t="shared" si="38"/>
        <v>0</v>
      </c>
      <c r="AD66" s="61">
        <f t="shared" si="38"/>
        <v>0</v>
      </c>
      <c r="AE66" s="39">
        <f t="shared" si="38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38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38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38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17435</v>
      </c>
      <c r="F70" s="64">
        <f>'TIE-OUT'!AB70+RECLASS!AB70</f>
        <v>0</v>
      </c>
      <c r="G70" s="68">
        <f>'TIE-OUT'!AC70+RECLASS!AC70</f>
        <v>17435</v>
      </c>
      <c r="H70" s="127">
        <v>0</v>
      </c>
      <c r="I70" s="127">
        <v>0</v>
      </c>
      <c r="J70" s="127">
        <v>0</v>
      </c>
      <c r="K70" s="128">
        <v>0</v>
      </c>
      <c r="L70" s="127">
        <f>+Actuals!I433</f>
        <v>0</v>
      </c>
      <c r="M70" s="127">
        <f>+Actuals!J433</f>
        <v>0</v>
      </c>
      <c r="N70" s="127">
        <f>+Actuals!K433</f>
        <v>0</v>
      </c>
      <c r="O70" s="127">
        <f>+Actuals!L433</f>
        <v>0</v>
      </c>
      <c r="P70" s="127">
        <f>+Actuals!M433</f>
        <v>0</v>
      </c>
      <c r="Q70" s="128">
        <f>+Actuals!N433</f>
        <v>0</v>
      </c>
      <c r="R70" s="127">
        <f>+Actuals!O433</f>
        <v>0</v>
      </c>
      <c r="S70" s="128">
        <f>+Actuals!P433</f>
        <v>0</v>
      </c>
      <c r="T70" s="127">
        <f>+Actuals!Q433</f>
        <v>0</v>
      </c>
      <c r="U70" s="128">
        <f>+Actuals!R433</f>
        <v>0</v>
      </c>
      <c r="V70" s="127">
        <f>+Actuals!S433</f>
        <v>0</v>
      </c>
      <c r="W70" s="128">
        <f>+Actuals!T433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'TIE-OUT'!AB71+RECLASS!AB71</f>
        <v>0</v>
      </c>
      <c r="G71" s="82">
        <f>'TIE-OUT'!AC71+RECLASS!AC71</f>
        <v>0</v>
      </c>
      <c r="H71" s="127">
        <v>0</v>
      </c>
      <c r="I71" s="127">
        <v>0</v>
      </c>
      <c r="J71" s="127">
        <v>0</v>
      </c>
      <c r="K71" s="128">
        <v>0</v>
      </c>
      <c r="L71" s="127">
        <f>+Actuals!I434</f>
        <v>0</v>
      </c>
      <c r="M71" s="127">
        <f>+Actuals!J434</f>
        <v>0</v>
      </c>
      <c r="N71" s="127">
        <f>+Actuals!K434</f>
        <v>0</v>
      </c>
      <c r="O71" s="127">
        <f>+Actuals!L434</f>
        <v>0</v>
      </c>
      <c r="P71" s="127">
        <f>+Actuals!M434</f>
        <v>0</v>
      </c>
      <c r="Q71" s="128">
        <f>+Actuals!N434</f>
        <v>0</v>
      </c>
      <c r="R71" s="127">
        <f>+Actuals!O434</f>
        <v>0</v>
      </c>
      <c r="S71" s="128">
        <f>+Actuals!P434</f>
        <v>0</v>
      </c>
      <c r="T71" s="127">
        <f>+Actuals!Q434</f>
        <v>0</v>
      </c>
      <c r="U71" s="128">
        <f>+Actuals!R434</f>
        <v>0</v>
      </c>
      <c r="V71" s="127">
        <f>+Actuals!S434</f>
        <v>0</v>
      </c>
      <c r="W71" s="128">
        <f>+Actuals!T434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9">SUM(D70:D71)</f>
        <v>0</v>
      </c>
      <c r="E72" s="39">
        <f t="shared" si="39"/>
        <v>17435</v>
      </c>
      <c r="F72" s="61">
        <f t="shared" si="39"/>
        <v>0</v>
      </c>
      <c r="G72" s="39">
        <f t="shared" si="39"/>
        <v>17435</v>
      </c>
      <c r="H72" s="61">
        <f t="shared" si="39"/>
        <v>0</v>
      </c>
      <c r="I72" s="61">
        <f t="shared" si="39"/>
        <v>0</v>
      </c>
      <c r="J72" s="61">
        <f t="shared" ref="J72:O72" si="40">SUM(J70:J71)</f>
        <v>0</v>
      </c>
      <c r="K72" s="39">
        <f t="shared" si="40"/>
        <v>0</v>
      </c>
      <c r="L72" s="61">
        <f t="shared" si="40"/>
        <v>0</v>
      </c>
      <c r="M72" s="61">
        <f t="shared" si="40"/>
        <v>0</v>
      </c>
      <c r="N72" s="61">
        <f t="shared" si="40"/>
        <v>0</v>
      </c>
      <c r="O72" s="61">
        <f t="shared" si="40"/>
        <v>0</v>
      </c>
      <c r="P72" s="61">
        <f t="shared" ref="P72:U72" si="41">SUM(P70:P71)</f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ref="V72:AE72" si="42">SUM(V70:V71)</f>
        <v>0</v>
      </c>
      <c r="W72" s="39">
        <f t="shared" si="42"/>
        <v>0</v>
      </c>
      <c r="X72" s="61">
        <f t="shared" si="42"/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si="42"/>
        <v>0</v>
      </c>
      <c r="AC72" s="39">
        <f t="shared" si="42"/>
        <v>0</v>
      </c>
      <c r="AD72" s="61">
        <f t="shared" si="42"/>
        <v>0</v>
      </c>
      <c r="AE72" s="39">
        <f t="shared" si="4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43">SUM(F73,H73,J73,L73,N73,P73,R73,T73,V73,X73,Z73,AB73,AD73)</f>
        <v>0</v>
      </c>
      <c r="E73" s="38">
        <f t="shared" si="43"/>
        <v>0</v>
      </c>
      <c r="F73" s="60">
        <f>'TIE-OUT'!AB73+RECLASS!AB73</f>
        <v>0</v>
      </c>
      <c r="G73" s="60">
        <f>'TIE-OUT'!AC73+RECLASS!AC73</f>
        <v>0</v>
      </c>
      <c r="H73" s="127">
        <v>0</v>
      </c>
      <c r="I73" s="127">
        <v>0</v>
      </c>
      <c r="J73" s="127">
        <v>0</v>
      </c>
      <c r="K73" s="128">
        <v>0</v>
      </c>
      <c r="L73" s="127">
        <f>+Actuals!I435</f>
        <v>0</v>
      </c>
      <c r="M73" s="127">
        <f>+Actuals!J435</f>
        <v>0</v>
      </c>
      <c r="N73" s="127">
        <f>+Actuals!K435</f>
        <v>0</v>
      </c>
      <c r="O73" s="127">
        <f>+Actuals!L435</f>
        <v>0</v>
      </c>
      <c r="P73" s="127">
        <f>+Actuals!M435</f>
        <v>0</v>
      </c>
      <c r="Q73" s="128">
        <f>+Actuals!N435</f>
        <v>0</v>
      </c>
      <c r="R73" s="127">
        <f>+Actuals!O435</f>
        <v>0</v>
      </c>
      <c r="S73" s="128">
        <f>+Actuals!P435</f>
        <v>0</v>
      </c>
      <c r="T73" s="127">
        <f>+Actuals!Q435</f>
        <v>0</v>
      </c>
      <c r="U73" s="128">
        <f>+Actuals!R435</f>
        <v>0</v>
      </c>
      <c r="V73" s="127">
        <f>+Actuals!S435</f>
        <v>0</v>
      </c>
      <c r="W73" s="128">
        <f>+Actuals!T435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43"/>
        <v>0</v>
      </c>
      <c r="E74" s="38">
        <f t="shared" si="43"/>
        <v>0</v>
      </c>
      <c r="F74" s="60">
        <f>'TIE-OUT'!AB74+RECLASS!AB74</f>
        <v>0</v>
      </c>
      <c r="G74" s="60">
        <f>'TIE-OUT'!AC74+RECLASS!AC74</f>
        <v>0</v>
      </c>
      <c r="H74" s="127">
        <v>0</v>
      </c>
      <c r="I74" s="127">
        <v>0</v>
      </c>
      <c r="J74" s="127">
        <v>0</v>
      </c>
      <c r="K74" s="158">
        <v>0</v>
      </c>
      <c r="L74" s="127">
        <f>+Actuals!I436</f>
        <v>0</v>
      </c>
      <c r="M74" s="127">
        <f>+Actuals!J436</f>
        <v>0</v>
      </c>
      <c r="N74" s="127">
        <f>+Actuals!K436</f>
        <v>0</v>
      </c>
      <c r="O74" s="127">
        <f>+Actuals!L436</f>
        <v>0</v>
      </c>
      <c r="P74" s="127">
        <f>+Actuals!M436</f>
        <v>0</v>
      </c>
      <c r="Q74" s="128">
        <f>+Actuals!N436</f>
        <v>0</v>
      </c>
      <c r="R74" s="127">
        <f>+Actuals!O436</f>
        <v>0</v>
      </c>
      <c r="S74" s="128">
        <f>+Actuals!P436</f>
        <v>0</v>
      </c>
      <c r="T74" s="127">
        <f>+Actuals!Q436</f>
        <v>0</v>
      </c>
      <c r="U74" s="128">
        <f>+Actuals!R436</f>
        <v>0</v>
      </c>
      <c r="V74" s="127">
        <f>+Actuals!S436</f>
        <v>0</v>
      </c>
      <c r="W74" s="128">
        <f>+Actuals!T436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43"/>
        <v>0</v>
      </c>
      <c r="E75" s="38">
        <f t="shared" si="43"/>
        <v>0</v>
      </c>
      <c r="F75" s="60">
        <f>'TIE-OUT'!AB75+RECLASS!AB75</f>
        <v>0</v>
      </c>
      <c r="G75" s="60">
        <f>'TIE-OUT'!AC75+RECLASS!AC75</f>
        <v>0</v>
      </c>
      <c r="H75" s="127">
        <v>0</v>
      </c>
      <c r="I75" s="127">
        <v>0</v>
      </c>
      <c r="J75" s="127">
        <v>0</v>
      </c>
      <c r="K75" s="128">
        <v>0</v>
      </c>
      <c r="L75" s="127">
        <f>+Actuals!I437</f>
        <v>0</v>
      </c>
      <c r="M75" s="127">
        <f>+Actuals!J437</f>
        <v>0</v>
      </c>
      <c r="N75" s="127">
        <f>+Actuals!K437</f>
        <v>0</v>
      </c>
      <c r="O75" s="127">
        <f>+Actuals!L437</f>
        <v>0</v>
      </c>
      <c r="P75" s="127">
        <f>+Actuals!M437</f>
        <v>0</v>
      </c>
      <c r="Q75" s="128">
        <f>+Actuals!N437</f>
        <v>0</v>
      </c>
      <c r="R75" s="127">
        <f>+Actuals!O437</f>
        <v>0</v>
      </c>
      <c r="S75" s="128">
        <f>+Actuals!P437</f>
        <v>0</v>
      </c>
      <c r="T75" s="127">
        <f>+Actuals!Q437</f>
        <v>0</v>
      </c>
      <c r="U75" s="128">
        <f>+Actuals!R437</f>
        <v>0</v>
      </c>
      <c r="V75" s="127">
        <f>+Actuals!S437</f>
        <v>0</v>
      </c>
      <c r="W75" s="128">
        <f>+Actuals!T437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43"/>
        <v>0</v>
      </c>
      <c r="E76" s="38">
        <f t="shared" si="43"/>
        <v>0</v>
      </c>
      <c r="F76" s="60">
        <f>'TIE-OUT'!AB76+RECLASS!AB76</f>
        <v>0</v>
      </c>
      <c r="G76" s="60">
        <f>'TIE-OUT'!AC76+RECLASS!AC76</f>
        <v>0</v>
      </c>
      <c r="H76" s="127">
        <v>0</v>
      </c>
      <c r="I76" s="127">
        <v>0</v>
      </c>
      <c r="J76" s="127">
        <v>0</v>
      </c>
      <c r="K76" s="128">
        <v>0</v>
      </c>
      <c r="L76" s="127">
        <f>+Actuals!I438</f>
        <v>0</v>
      </c>
      <c r="M76" s="127">
        <f>+Actuals!J438</f>
        <v>0</v>
      </c>
      <c r="N76" s="127">
        <f>+Actuals!K438</f>
        <v>0</v>
      </c>
      <c r="O76" s="127">
        <f>+Actuals!L438</f>
        <v>0</v>
      </c>
      <c r="P76" s="127">
        <f>+Actuals!M438</f>
        <v>0</v>
      </c>
      <c r="Q76" s="128">
        <f>+Actuals!N438</f>
        <v>0</v>
      </c>
      <c r="R76" s="127">
        <f>+Actuals!O438</f>
        <v>0</v>
      </c>
      <c r="S76" s="128">
        <f>+Actuals!P438</f>
        <v>0</v>
      </c>
      <c r="T76" s="127">
        <f>+Actuals!Q438</f>
        <v>0</v>
      </c>
      <c r="U76" s="128">
        <f>+Actuals!R438</f>
        <v>0</v>
      </c>
      <c r="V76" s="127">
        <f>+Actuals!S438</f>
        <v>0</v>
      </c>
      <c r="W76" s="128">
        <f>+Actuals!T438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43"/>
        <v>0</v>
      </c>
      <c r="E77" s="38">
        <f t="shared" si="43"/>
        <v>0</v>
      </c>
      <c r="F77" s="60">
        <f>'TIE-OUT'!AB77+RECLASS!AB77</f>
        <v>0</v>
      </c>
      <c r="G77" s="60">
        <f>'TIE-OUT'!AC77+RECLASS!AC77</f>
        <v>0</v>
      </c>
      <c r="H77" s="127">
        <v>0</v>
      </c>
      <c r="I77" s="127">
        <v>0</v>
      </c>
      <c r="J77" s="127">
        <v>0</v>
      </c>
      <c r="K77" s="128">
        <v>0</v>
      </c>
      <c r="L77" s="127">
        <f>+Actuals!I439</f>
        <v>0</v>
      </c>
      <c r="M77" s="127">
        <f>+Actuals!J439</f>
        <v>0</v>
      </c>
      <c r="N77" s="127">
        <f>+Actuals!K439</f>
        <v>0</v>
      </c>
      <c r="O77" s="127">
        <f>+Actuals!L439</f>
        <v>0</v>
      </c>
      <c r="P77" s="127">
        <f>+Actuals!M439</f>
        <v>0</v>
      </c>
      <c r="Q77" s="128">
        <f>+Actuals!N439</f>
        <v>0</v>
      </c>
      <c r="R77" s="127">
        <f>+Actuals!O439</f>
        <v>0</v>
      </c>
      <c r="S77" s="128">
        <f>+Actuals!P439</f>
        <v>0</v>
      </c>
      <c r="T77" s="127">
        <f>+Actuals!Q439</f>
        <v>0</v>
      </c>
      <c r="U77" s="128">
        <f>+Actuals!R439</f>
        <v>0</v>
      </c>
      <c r="V77" s="127">
        <f>+Actuals!S439</f>
        <v>0</v>
      </c>
      <c r="W77" s="128">
        <f>+Actuals!T439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43"/>
        <v>0</v>
      </c>
      <c r="E78" s="38">
        <f t="shared" si="43"/>
        <v>0</v>
      </c>
      <c r="F78" s="60">
        <f>'TIE-OUT'!AB78+RECLASS!AB78</f>
        <v>0</v>
      </c>
      <c r="G78" s="60">
        <f>'TIE-OUT'!AC78+RECLASS!AC78</f>
        <v>0</v>
      </c>
      <c r="H78" s="127">
        <v>0</v>
      </c>
      <c r="I78" s="127">
        <v>0</v>
      </c>
      <c r="J78" s="127">
        <v>0</v>
      </c>
      <c r="K78" s="128">
        <v>0</v>
      </c>
      <c r="L78" s="127">
        <f>+Actuals!I440</f>
        <v>0</v>
      </c>
      <c r="M78" s="127">
        <f>+Actuals!J440</f>
        <v>0</v>
      </c>
      <c r="N78" s="127">
        <f>+Actuals!K440</f>
        <v>0</v>
      </c>
      <c r="O78" s="127">
        <f>+Actuals!L440</f>
        <v>0</v>
      </c>
      <c r="P78" s="127">
        <f>+Actuals!M440</f>
        <v>0</v>
      </c>
      <c r="Q78" s="128">
        <f>+Actuals!N440</f>
        <v>0</v>
      </c>
      <c r="R78" s="127">
        <f>+Actuals!O440</f>
        <v>0</v>
      </c>
      <c r="S78" s="128">
        <f>+Actuals!P440</f>
        <v>0</v>
      </c>
      <c r="T78" s="127">
        <f>+Actuals!Q440</f>
        <v>0</v>
      </c>
      <c r="U78" s="128">
        <f>+Actuals!R440</f>
        <v>0</v>
      </c>
      <c r="V78" s="127">
        <f>+Actuals!S440</f>
        <v>0</v>
      </c>
      <c r="W78" s="128">
        <f>+Actuals!T440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43"/>
        <v>0</v>
      </c>
      <c r="E79" s="38">
        <f t="shared" si="43"/>
        <v>0</v>
      </c>
      <c r="F79" s="60">
        <f>'TIE-OUT'!AB79+RECLASS!AB79</f>
        <v>0</v>
      </c>
      <c r="G79" s="60">
        <f>'TIE-OUT'!AC79+RECLASS!AC79</f>
        <v>0</v>
      </c>
      <c r="H79" s="127">
        <v>0</v>
      </c>
      <c r="I79" s="127">
        <v>0</v>
      </c>
      <c r="J79" s="127">
        <v>0</v>
      </c>
      <c r="K79" s="128">
        <v>0</v>
      </c>
      <c r="L79" s="127">
        <f>+Actuals!I441</f>
        <v>0</v>
      </c>
      <c r="M79" s="127">
        <f>+Actuals!J441</f>
        <v>0</v>
      </c>
      <c r="N79" s="127">
        <f>+Actuals!K441</f>
        <v>0</v>
      </c>
      <c r="O79" s="127">
        <f>+Actuals!L441</f>
        <v>0</v>
      </c>
      <c r="P79" s="127">
        <f>+Actuals!M441</f>
        <v>0</v>
      </c>
      <c r="Q79" s="128">
        <f>+Actuals!N441</f>
        <v>0</v>
      </c>
      <c r="R79" s="127">
        <f>+Actuals!O441</f>
        <v>0</v>
      </c>
      <c r="S79" s="128">
        <f>+Actuals!P441</f>
        <v>0</v>
      </c>
      <c r="T79" s="127">
        <f>+Actuals!Q441</f>
        <v>0</v>
      </c>
      <c r="U79" s="128">
        <f>+Actuals!R441</f>
        <v>0</v>
      </c>
      <c r="V79" s="127">
        <f>+Actuals!S441</f>
        <v>0</v>
      </c>
      <c r="W79" s="128">
        <f>+Actuals!T441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43"/>
        <v>0</v>
      </c>
      <c r="E80" s="38">
        <f t="shared" si="43"/>
        <v>0</v>
      </c>
      <c r="F80" s="60">
        <f>'TIE-OUT'!AB80+RECLASS!AB80</f>
        <v>0</v>
      </c>
      <c r="G80" s="60">
        <f>'TIE-OUT'!AC80+RECLASS!AC80</f>
        <v>0</v>
      </c>
      <c r="H80" s="127">
        <v>0</v>
      </c>
      <c r="I80" s="127">
        <v>0</v>
      </c>
      <c r="J80" s="127">
        <v>0</v>
      </c>
      <c r="K80" s="128">
        <v>0</v>
      </c>
      <c r="L80" s="127">
        <f>+Actuals!I442</f>
        <v>0</v>
      </c>
      <c r="M80" s="127">
        <f>+Actuals!J442</f>
        <v>0</v>
      </c>
      <c r="N80" s="127">
        <f>+Actuals!K442</f>
        <v>0</v>
      </c>
      <c r="O80" s="127">
        <f>+Actuals!L442</f>
        <v>0</v>
      </c>
      <c r="P80" s="127">
        <f>+Actuals!M442</f>
        <v>0</v>
      </c>
      <c r="Q80" s="128">
        <f>+Actuals!N442</f>
        <v>0</v>
      </c>
      <c r="R80" s="127">
        <f>+Actuals!O442</f>
        <v>0</v>
      </c>
      <c r="S80" s="128">
        <f>+Actuals!P442</f>
        <v>0</v>
      </c>
      <c r="T80" s="127">
        <f>+Actuals!Q442</f>
        <v>0</v>
      </c>
      <c r="U80" s="128">
        <f>+Actuals!R442</f>
        <v>0</v>
      </c>
      <c r="V80" s="127">
        <f>+Actuals!S442</f>
        <v>0</v>
      </c>
      <c r="W80" s="128">
        <f>+Actuals!T442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43"/>
        <v>0</v>
      </c>
      <c r="E81" s="38">
        <f t="shared" si="43"/>
        <v>0</v>
      </c>
      <c r="F81" s="60">
        <f>'TIE-OUT'!AB81+RECLASS!AB81</f>
        <v>0</v>
      </c>
      <c r="G81" s="60">
        <f>'TIE-OUT'!AC81+RECLASS!AC81</f>
        <v>0</v>
      </c>
      <c r="H81" s="127">
        <v>0</v>
      </c>
      <c r="I81" s="127">
        <v>0</v>
      </c>
      <c r="J81" s="127">
        <v>0</v>
      </c>
      <c r="K81" s="128">
        <v>0</v>
      </c>
      <c r="L81" s="127">
        <f>+Actuals!I443</f>
        <v>0</v>
      </c>
      <c r="M81" s="127">
        <f>+Actuals!J443</f>
        <v>0</v>
      </c>
      <c r="N81" s="127">
        <f>+Actuals!K443</f>
        <v>0</v>
      </c>
      <c r="O81" s="127">
        <f>+Actuals!L443</f>
        <v>0</v>
      </c>
      <c r="P81" s="127">
        <f>+Actuals!M443</f>
        <v>0</v>
      </c>
      <c r="Q81" s="128">
        <f>+Actuals!N443</f>
        <v>0</v>
      </c>
      <c r="R81" s="127">
        <f>+Actuals!O443</f>
        <v>0</v>
      </c>
      <c r="S81" s="128">
        <f>+Actuals!P443</f>
        <v>0</v>
      </c>
      <c r="T81" s="127">
        <f>+Actuals!Q443</f>
        <v>0</v>
      </c>
      <c r="U81" s="128">
        <f>+Actuals!R443</f>
        <v>0</v>
      </c>
      <c r="V81" s="127">
        <f>+Actuals!S443</f>
        <v>0</v>
      </c>
      <c r="W81" s="128">
        <f>+Actuals!T443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-239607.29199999737</v>
      </c>
      <c r="F82" s="91">
        <f>F16+F24+F29+F36+F43+F45+F47+F49</f>
        <v>-3381</v>
      </c>
      <c r="G82" s="92">
        <f>SUM(G72:G81)+G16+G24+G29+G36+G43+G45+G47+G49+G51+G56+G61+G66</f>
        <v>-1995499.66</v>
      </c>
      <c r="H82" s="91">
        <f>H16+H24+H29+H36+H43+H45+H47+H49</f>
        <v>0</v>
      </c>
      <c r="I82" s="91">
        <f>I16+I24+I29+I36+I43+I45+I47+I49</f>
        <v>906806</v>
      </c>
      <c r="J82" s="91">
        <f>J16+J24+J29+J36+J43+J45+J47+J49</f>
        <v>0</v>
      </c>
      <c r="K82" s="156">
        <f>K16+K24+K29+K36+K43+K45+K47+K49</f>
        <v>-2158202</v>
      </c>
      <c r="L82" s="91">
        <f>L16+L24+L29+L36+L43+L45+L47+L49</f>
        <v>0</v>
      </c>
      <c r="M82" s="92">
        <f>SUM(M72:M81)+M16+M24+M29+M36+M43+M45+M47+M49+M51+M56+M61+M66</f>
        <v>493865.27699999884</v>
      </c>
      <c r="N82" s="91">
        <f>N16+N24+N29+N36+N43+N45+N47+N49</f>
        <v>0</v>
      </c>
      <c r="O82" s="92">
        <f>SUM(O72:O81)+O16+O24+O29+O36+O43+O45+O47+O49+O51+O56+O61+O66</f>
        <v>3266683.68</v>
      </c>
      <c r="P82" s="91">
        <f>P16+P24+P29+P36+P43+P45+P47+P49</f>
        <v>0</v>
      </c>
      <c r="Q82" s="92">
        <f>SUM(Q72:Q81)+Q16+Q24+Q29+Q36+Q43+Q45+Q47+Q49+Q51+Q56+Q61+Q66</f>
        <v>800.35300000011921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32790</v>
      </c>
      <c r="V82" s="91">
        <f>V16+V24+V29+V36+V43+V45+V47+V49</f>
        <v>0</v>
      </c>
      <c r="W82" s="92">
        <f>SUM(W72:W81)+W16+W24+W29+W36+W43+W45+W47+W49+W51+W56+W61+W66</f>
        <v>-754584.65199999977</v>
      </c>
      <c r="X82" s="91">
        <f>X16+X24+X29+X36+X43+X45+X47+X49</f>
        <v>0</v>
      </c>
      <c r="Y82" s="92">
        <f>SUM(Y72:Y81)+Y16+Y24+Y29+Y36+Y43+Y45+Y47+Y49+Y51+Y56+Y61+Y66</f>
        <v>-23487.96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-16174.24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79"/>
  <sheetViews>
    <sheetView topLeftCell="S1" zoomScale="75" workbookViewId="0">
      <selection activeCell="AB9" sqref="AB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13520515</v>
      </c>
      <c r="E11" s="38">
        <f>SUM(G11,I11,K11,M11,O11,Q11,S11,U11,W11,Y11,AA11,AC11,AE11)</f>
        <v>40716567.339999996</v>
      </c>
      <c r="F11" s="60">
        <f>'TIE-OUT'!H11+RECLASS!Z11</f>
        <v>0</v>
      </c>
      <c r="G11" s="38">
        <f>'TIE-OUT'!I11+RECLASS!AA11</f>
        <v>0</v>
      </c>
      <c r="H11" s="127">
        <v>13516933</v>
      </c>
      <c r="I11" s="128">
        <v>40604318</v>
      </c>
      <c r="J11" s="127">
        <v>-1303</v>
      </c>
      <c r="K11" s="128">
        <v>96708</v>
      </c>
      <c r="L11" s="127">
        <f>+Actuals!I324</f>
        <v>0</v>
      </c>
      <c r="M11" s="128">
        <f>+Actuals!J324</f>
        <v>0</v>
      </c>
      <c r="N11" s="127">
        <f>+Actuals!K324</f>
        <v>85141</v>
      </c>
      <c r="O11" s="128">
        <f>+Actuals!L324</f>
        <v>268145.18</v>
      </c>
      <c r="P11" s="127">
        <f>+Actuals!M324</f>
        <v>0</v>
      </c>
      <c r="Q11" s="128">
        <f>+Actuals!N324</f>
        <v>0</v>
      </c>
      <c r="R11" s="127">
        <f>+Actuals!O324</f>
        <v>-20256</v>
      </c>
      <c r="S11" s="128">
        <f>+Actuals!P324</f>
        <v>-63603.839999999997</v>
      </c>
      <c r="T11" s="127">
        <f>+Actuals!Q324</f>
        <v>0</v>
      </c>
      <c r="U11" s="128">
        <f>+Actuals!R324</f>
        <v>0</v>
      </c>
      <c r="V11" s="127">
        <f>+Actuals!S324</f>
        <v>-60000</v>
      </c>
      <c r="W11" s="128">
        <f>+Actuals!T324</f>
        <v>-189000</v>
      </c>
      <c r="X11" s="127">
        <v>0</v>
      </c>
      <c r="Y11" s="128"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331650.98</v>
      </c>
      <c r="F12" s="60">
        <f>'TIE-OUT'!H12+RECLASS!Z12</f>
        <v>0</v>
      </c>
      <c r="G12" s="38">
        <f>'TIE-OUT'!I12+RECLASS!AA12</f>
        <v>331650.98</v>
      </c>
      <c r="H12" s="127">
        <v>0</v>
      </c>
      <c r="I12" s="128">
        <v>0</v>
      </c>
      <c r="J12" s="127">
        <v>0</v>
      </c>
      <c r="K12" s="128">
        <v>0</v>
      </c>
      <c r="L12" s="127">
        <f>+Actuals!I325</f>
        <v>0</v>
      </c>
      <c r="M12" s="128">
        <f>+Actuals!J325</f>
        <v>0</v>
      </c>
      <c r="N12" s="127">
        <f>+Actuals!K325</f>
        <v>0</v>
      </c>
      <c r="O12" s="128">
        <f>+Actuals!L325</f>
        <v>0</v>
      </c>
      <c r="P12" s="127">
        <f>+Actuals!M325</f>
        <v>0</v>
      </c>
      <c r="Q12" s="128">
        <f>+Actuals!N325</f>
        <v>0</v>
      </c>
      <c r="R12" s="127">
        <f>+Actuals!O325</f>
        <v>0</v>
      </c>
      <c r="S12" s="128">
        <f>+Actuals!P325</f>
        <v>0</v>
      </c>
      <c r="T12" s="127">
        <f>+Actuals!Q325</f>
        <v>0</v>
      </c>
      <c r="U12" s="128">
        <f>+Actuals!R325</f>
        <v>0</v>
      </c>
      <c r="V12" s="127">
        <f>+Actuals!S325</f>
        <v>0</v>
      </c>
      <c r="W12" s="128">
        <f>+Actuals!T325</f>
        <v>0</v>
      </c>
      <c r="X12" s="127">
        <v>0</v>
      </c>
      <c r="Y12" s="128"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20326150</v>
      </c>
      <c r="E13" s="38">
        <f t="shared" si="0"/>
        <v>51242714</v>
      </c>
      <c r="F13" s="60">
        <f>'TIE-OUT'!H13+RECLASS!Z13</f>
        <v>0</v>
      </c>
      <c r="G13" s="38">
        <f>'TIE-OUT'!I13+RECLASS!AA13</f>
        <v>0</v>
      </c>
      <c r="H13" s="127">
        <v>20326150</v>
      </c>
      <c r="I13" s="128">
        <v>51242714</v>
      </c>
      <c r="J13" s="127">
        <v>-13670556</v>
      </c>
      <c r="K13" s="128">
        <v>-32472427</v>
      </c>
      <c r="L13" s="127">
        <f>+Actuals!I326</f>
        <v>20326150</v>
      </c>
      <c r="M13" s="128">
        <f>+Actuals!J326</f>
        <v>51242714</v>
      </c>
      <c r="N13" s="127">
        <f>+Actuals!K326</f>
        <v>0</v>
      </c>
      <c r="O13" s="128">
        <f>+Actuals!L326</f>
        <v>0</v>
      </c>
      <c r="P13" s="127">
        <f>+Actuals!M326</f>
        <v>-20326150</v>
      </c>
      <c r="Q13" s="128">
        <f>+Actuals!N326</f>
        <v>-51242714</v>
      </c>
      <c r="R13" s="127">
        <f>+Actuals!O326</f>
        <v>0</v>
      </c>
      <c r="S13" s="128">
        <f>+Actuals!P326</f>
        <v>0</v>
      </c>
      <c r="T13" s="127">
        <f>+Actuals!Q326</f>
        <v>0</v>
      </c>
      <c r="U13" s="128">
        <f>+Actuals!R326</f>
        <v>0</v>
      </c>
      <c r="V13" s="127">
        <f>+Actuals!S326</f>
        <v>13670556</v>
      </c>
      <c r="W13" s="128">
        <f>+Actuals!T326</f>
        <v>32472427</v>
      </c>
      <c r="X13" s="127">
        <v>0</v>
      </c>
      <c r="Y13" s="128">
        <v>0</v>
      </c>
      <c r="Z13" s="127">
        <v>0</v>
      </c>
      <c r="AA13" s="128">
        <v>0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f>+Actuals!I327</f>
        <v>0</v>
      </c>
      <c r="M14" s="128">
        <f>+Actuals!J327</f>
        <v>0</v>
      </c>
      <c r="N14" s="127">
        <f>+Actuals!K327</f>
        <v>0</v>
      </c>
      <c r="O14" s="128">
        <f>+Actuals!L327</f>
        <v>0</v>
      </c>
      <c r="P14" s="127">
        <f>+Actuals!M327</f>
        <v>0</v>
      </c>
      <c r="Q14" s="128">
        <f>+Actuals!N327</f>
        <v>0</v>
      </c>
      <c r="R14" s="127">
        <f>+Actuals!O327</f>
        <v>0</v>
      </c>
      <c r="S14" s="128">
        <f>+Actuals!P327</f>
        <v>0</v>
      </c>
      <c r="T14" s="127">
        <f>+Actuals!Q327</f>
        <v>0</v>
      </c>
      <c r="U14" s="128">
        <f>+Actuals!R327</f>
        <v>0</v>
      </c>
      <c r="V14" s="127">
        <f>+Actuals!S327</f>
        <v>0</v>
      </c>
      <c r="W14" s="128">
        <f>+Actuals!T327</f>
        <v>0</v>
      </c>
      <c r="X14" s="127">
        <v>0</v>
      </c>
      <c r="Y14" s="128"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2852725</v>
      </c>
      <c r="F15" s="81">
        <f>'TIE-OUT'!H15+RECLASS!Z15</f>
        <v>0</v>
      </c>
      <c r="G15" s="82">
        <f>'TIE-OUT'!I15+RECLASS!AA15</f>
        <v>-258387</v>
      </c>
      <c r="H15" s="127">
        <v>0</v>
      </c>
      <c r="I15" s="128">
        <v>1429764</v>
      </c>
      <c r="J15" s="127">
        <v>0</v>
      </c>
      <c r="K15" s="128">
        <v>1606348</v>
      </c>
      <c r="L15" s="127">
        <f>+Actuals!I328</f>
        <v>0</v>
      </c>
      <c r="M15" s="128">
        <f>+Actuals!J328</f>
        <v>75000</v>
      </c>
      <c r="N15" s="127">
        <f>+Actuals!K328</f>
        <v>0</v>
      </c>
      <c r="O15" s="128">
        <f>+Actuals!L328</f>
        <v>0</v>
      </c>
      <c r="P15" s="127">
        <f>+Actuals!M328</f>
        <v>0</v>
      </c>
      <c r="Q15" s="128">
        <f>+Actuals!N328</f>
        <v>0</v>
      </c>
      <c r="R15" s="127">
        <f>+Actuals!O328</f>
        <v>0</v>
      </c>
      <c r="S15" s="128">
        <f>+Actuals!P328</f>
        <v>0</v>
      </c>
      <c r="T15" s="127">
        <f>+Actuals!Q328</f>
        <v>0</v>
      </c>
      <c r="U15" s="128">
        <f>+Actuals!R328</f>
        <v>0</v>
      </c>
      <c r="V15" s="127">
        <f>+Actuals!S328</f>
        <v>0</v>
      </c>
      <c r="W15" s="128">
        <f>+Actuals!T328</f>
        <v>0</v>
      </c>
      <c r="X15" s="127">
        <v>0</v>
      </c>
      <c r="Y15" s="128"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33846665</v>
      </c>
      <c r="E16" s="39">
        <f t="shared" si="1"/>
        <v>95143657.319999993</v>
      </c>
      <c r="F16" s="61">
        <f t="shared" si="1"/>
        <v>0</v>
      </c>
      <c r="G16" s="39">
        <f t="shared" si="1"/>
        <v>73263.979999999981</v>
      </c>
      <c r="H16" s="61">
        <f t="shared" si="1"/>
        <v>33843083</v>
      </c>
      <c r="I16" s="82">
        <f t="shared" si="1"/>
        <v>93276796</v>
      </c>
      <c r="J16" s="61">
        <f t="shared" si="1"/>
        <v>-13671859</v>
      </c>
      <c r="K16" s="82">
        <f t="shared" si="1"/>
        <v>-30769371</v>
      </c>
      <c r="L16" s="61">
        <f t="shared" si="1"/>
        <v>20326150</v>
      </c>
      <c r="M16" s="39">
        <f t="shared" si="1"/>
        <v>51317714</v>
      </c>
      <c r="N16" s="61">
        <f t="shared" ref="N16:S16" si="2">SUM(N11:N15)</f>
        <v>85141</v>
      </c>
      <c r="O16" s="39">
        <f t="shared" si="2"/>
        <v>268145.18</v>
      </c>
      <c r="P16" s="61">
        <f t="shared" si="2"/>
        <v>-20326150</v>
      </c>
      <c r="Q16" s="82">
        <f t="shared" si="2"/>
        <v>-51242714</v>
      </c>
      <c r="R16" s="61">
        <f t="shared" si="2"/>
        <v>-20256</v>
      </c>
      <c r="S16" s="82">
        <f t="shared" si="2"/>
        <v>-63603.839999999997</v>
      </c>
      <c r="T16" s="61">
        <f>SUM(T11:T15)</f>
        <v>0</v>
      </c>
      <c r="U16" s="82">
        <f>SUM(U11:U15)</f>
        <v>0</v>
      </c>
      <c r="V16" s="61">
        <f>SUM(V11:V15)</f>
        <v>13610556</v>
      </c>
      <c r="W16" s="82">
        <f>SUM(W11:W15)</f>
        <v>32283427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-11195330</v>
      </c>
      <c r="E19" s="38">
        <f t="shared" si="3"/>
        <v>-32656396.189999998</v>
      </c>
      <c r="F19" s="64">
        <f>'TIE-OUT'!H19+RECLASS!Z19</f>
        <v>0</v>
      </c>
      <c r="G19" s="68">
        <f>'TIE-OUT'!I19+RECLASS!AA19</f>
        <v>258387</v>
      </c>
      <c r="H19" s="127">
        <v>-10911517</v>
      </c>
      <c r="I19" s="128">
        <v>-31595340</v>
      </c>
      <c r="J19" s="127">
        <f>7220267-5817480-1686600</f>
        <v>-283813</v>
      </c>
      <c r="K19" s="128">
        <f>21046716-17011910-5151552</f>
        <v>-1116746</v>
      </c>
      <c r="L19" s="127">
        <f>+Actuals!I329</f>
        <v>146743</v>
      </c>
      <c r="M19" s="128">
        <f>+Actuals!J329</f>
        <v>-202697.2</v>
      </c>
      <c r="N19" s="127">
        <f>+Actuals!K329</f>
        <v>-146743</v>
      </c>
      <c r="O19" s="128">
        <f>+Actuals!L329</f>
        <v>0.01</v>
      </c>
      <c r="P19" s="127">
        <f>+Actuals!M329</f>
        <v>0</v>
      </c>
      <c r="Q19" s="128">
        <f>+Actuals!N329</f>
        <v>0</v>
      </c>
      <c r="R19" s="127">
        <f>+Actuals!O329</f>
        <v>0</v>
      </c>
      <c r="S19" s="128">
        <f>+Actuals!P329</f>
        <v>0</v>
      </c>
      <c r="T19" s="127">
        <f>+Actuals!Q329</f>
        <v>0</v>
      </c>
      <c r="U19" s="128">
        <f>+Actuals!R329</f>
        <v>0</v>
      </c>
      <c r="V19" s="127">
        <f>+Actuals!S329</f>
        <v>0</v>
      </c>
      <c r="W19" s="128">
        <f>+Actuals!T329</f>
        <v>0</v>
      </c>
      <c r="X19" s="127">
        <v>0</v>
      </c>
      <c r="Y19" s="128"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-167100</v>
      </c>
      <c r="F20" s="60">
        <f>'TIE-OUT'!H20+RECLASS!Z20</f>
        <v>0</v>
      </c>
      <c r="G20" s="38">
        <f>'TIE-OUT'!I20+RECLASS!AA20</f>
        <v>-167100</v>
      </c>
      <c r="H20" s="127">
        <v>0</v>
      </c>
      <c r="I20" s="128">
        <v>0</v>
      </c>
      <c r="J20" s="127">
        <v>0</v>
      </c>
      <c r="K20" s="128">
        <v>0</v>
      </c>
      <c r="L20" s="127">
        <f>+Actuals!I330</f>
        <v>0</v>
      </c>
      <c r="M20" s="128">
        <f>+Actuals!J330</f>
        <v>0</v>
      </c>
      <c r="N20" s="127">
        <f>+Actuals!K330</f>
        <v>0</v>
      </c>
      <c r="O20" s="128">
        <f>+Actuals!L330</f>
        <v>0</v>
      </c>
      <c r="P20" s="127">
        <f>+Actuals!M330</f>
        <v>0</v>
      </c>
      <c r="Q20" s="128">
        <f>+Actuals!N330</f>
        <v>0</v>
      </c>
      <c r="R20" s="127">
        <f>+Actuals!O330</f>
        <v>0</v>
      </c>
      <c r="S20" s="128">
        <f>+Actuals!P330</f>
        <v>0</v>
      </c>
      <c r="T20" s="127">
        <f>+Actuals!Q330</f>
        <v>0</v>
      </c>
      <c r="U20" s="128">
        <f>+Actuals!R330</f>
        <v>0</v>
      </c>
      <c r="V20" s="127">
        <f>+Actuals!S330</f>
        <v>0</v>
      </c>
      <c r="W20" s="128">
        <f>+Actuals!T330</f>
        <v>0</v>
      </c>
      <c r="X20" s="127">
        <v>0</v>
      </c>
      <c r="Y20" s="128"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-22907710</v>
      </c>
      <c r="E21" s="38">
        <f t="shared" si="3"/>
        <v>-58479925</v>
      </c>
      <c r="F21" s="60">
        <f>'TIE-OUT'!H21+RECLASS!Z21</f>
        <v>0</v>
      </c>
      <c r="G21" s="38">
        <f>'TIE-OUT'!I21+RECLASS!AA21</f>
        <v>0</v>
      </c>
      <c r="H21" s="127">
        <v>-22907710</v>
      </c>
      <c r="I21" s="128">
        <v>-58479925</v>
      </c>
      <c r="J21" s="127">
        <v>17020965</v>
      </c>
      <c r="K21" s="128">
        <v>42451487</v>
      </c>
      <c r="L21" s="127">
        <f>+Actuals!I331</f>
        <v>-22907710</v>
      </c>
      <c r="M21" s="128">
        <f>+Actuals!J331</f>
        <v>-58479925</v>
      </c>
      <c r="N21" s="127">
        <f>+Actuals!K331</f>
        <v>0</v>
      </c>
      <c r="O21" s="128">
        <f>+Actuals!L331</f>
        <v>0</v>
      </c>
      <c r="P21" s="127">
        <f>+Actuals!M331</f>
        <v>22907710</v>
      </c>
      <c r="Q21" s="128">
        <f>+Actuals!N331</f>
        <v>58479925</v>
      </c>
      <c r="R21" s="127">
        <f>+Actuals!O331</f>
        <v>0</v>
      </c>
      <c r="S21" s="128">
        <f>+Actuals!P331</f>
        <v>0</v>
      </c>
      <c r="T21" s="127">
        <f>+Actuals!Q331</f>
        <v>0</v>
      </c>
      <c r="U21" s="128">
        <f>+Actuals!R331</f>
        <v>0</v>
      </c>
      <c r="V21" s="127">
        <f>+Actuals!S331</f>
        <v>-17020965</v>
      </c>
      <c r="W21" s="128">
        <f>+Actuals!T331</f>
        <v>-42451487</v>
      </c>
      <c r="X21" s="127">
        <v>0</v>
      </c>
      <c r="Y21" s="128">
        <v>0</v>
      </c>
      <c r="Z21" s="127">
        <v>0</v>
      </c>
      <c r="AA21" s="128">
        <v>0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f>+Actuals!I332</f>
        <v>0</v>
      </c>
      <c r="M22" s="128">
        <f>+Actuals!J332</f>
        <v>0</v>
      </c>
      <c r="N22" s="127">
        <f>+Actuals!K332</f>
        <v>0</v>
      </c>
      <c r="O22" s="128">
        <f>+Actuals!L332</f>
        <v>0</v>
      </c>
      <c r="P22" s="127">
        <f>+Actuals!M332</f>
        <v>0</v>
      </c>
      <c r="Q22" s="128">
        <f>+Actuals!N332</f>
        <v>0</v>
      </c>
      <c r="R22" s="127">
        <f>+Actuals!O332</f>
        <v>0</v>
      </c>
      <c r="S22" s="128">
        <f>+Actuals!P332</f>
        <v>0</v>
      </c>
      <c r="T22" s="127">
        <f>+Actuals!Q332</f>
        <v>0</v>
      </c>
      <c r="U22" s="128">
        <f>+Actuals!R332</f>
        <v>0</v>
      </c>
      <c r="V22" s="127">
        <f>+Actuals!S332</f>
        <v>0</v>
      </c>
      <c r="W22" s="128">
        <f>+Actuals!T332</f>
        <v>0</v>
      </c>
      <c r="X22" s="127">
        <v>0</v>
      </c>
      <c r="Y22" s="128"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254350</v>
      </c>
      <c r="E23" s="38">
        <f t="shared" si="3"/>
        <v>765592.75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f>+Actuals!I333</f>
        <v>0</v>
      </c>
      <c r="M23" s="128">
        <f>+Actuals!J333</f>
        <v>0</v>
      </c>
      <c r="N23" s="127">
        <f>+Actuals!K333</f>
        <v>0</v>
      </c>
      <c r="O23" s="128">
        <f>+Actuals!L333</f>
        <v>0</v>
      </c>
      <c r="P23" s="127">
        <f>+Actuals!M333</f>
        <v>235175</v>
      </c>
      <c r="Q23" s="128">
        <f>+Actuals!N333</f>
        <v>707876.75</v>
      </c>
      <c r="R23" s="127">
        <f>+Actuals!O333</f>
        <v>0</v>
      </c>
      <c r="S23" s="128">
        <f>+Actuals!P333</f>
        <v>0</v>
      </c>
      <c r="T23" s="127">
        <f>+Actuals!Q333</f>
        <v>0</v>
      </c>
      <c r="U23" s="128">
        <f>+Actuals!R333</f>
        <v>0</v>
      </c>
      <c r="V23" s="127">
        <f>+Actuals!S333</f>
        <v>0</v>
      </c>
      <c r="W23" s="128">
        <f>+Actuals!T333</f>
        <v>0</v>
      </c>
      <c r="X23" s="127">
        <v>19175</v>
      </c>
      <c r="Y23" s="128">
        <v>57716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-33848690</v>
      </c>
      <c r="E24" s="39">
        <f t="shared" si="4"/>
        <v>-90537828.439999998</v>
      </c>
      <c r="F24" s="61">
        <f t="shared" si="4"/>
        <v>0</v>
      </c>
      <c r="G24" s="39">
        <f t="shared" si="4"/>
        <v>91287</v>
      </c>
      <c r="H24" s="61">
        <f t="shared" si="4"/>
        <v>-33819227</v>
      </c>
      <c r="I24" s="39">
        <f t="shared" si="4"/>
        <v>-90075265</v>
      </c>
      <c r="J24" s="61">
        <f t="shared" si="4"/>
        <v>16737152</v>
      </c>
      <c r="K24" s="39">
        <f t="shared" si="4"/>
        <v>41334741</v>
      </c>
      <c r="L24" s="61">
        <f t="shared" si="4"/>
        <v>-22760967</v>
      </c>
      <c r="M24" s="39">
        <f t="shared" si="4"/>
        <v>-58682622.200000003</v>
      </c>
      <c r="N24" s="61">
        <f t="shared" ref="N24:S24" si="5">SUM(N19:N23)</f>
        <v>-146743</v>
      </c>
      <c r="O24" s="39">
        <f t="shared" si="5"/>
        <v>0.01</v>
      </c>
      <c r="P24" s="61">
        <f t="shared" si="5"/>
        <v>23142885</v>
      </c>
      <c r="Q24" s="39">
        <f t="shared" si="5"/>
        <v>59187801.75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>SUM(V19:V23)</f>
        <v>-17020965</v>
      </c>
      <c r="W24" s="39">
        <f>SUM(W19:W23)</f>
        <v>-42451487</v>
      </c>
      <c r="X24" s="61">
        <f t="shared" si="4"/>
        <v>19175</v>
      </c>
      <c r="Y24" s="39">
        <f t="shared" si="4"/>
        <v>57716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f>+Actuals!I334</f>
        <v>0</v>
      </c>
      <c r="M27" s="128">
        <f>+Actuals!J334</f>
        <v>0</v>
      </c>
      <c r="N27" s="127">
        <f>+Actuals!K334</f>
        <v>0</v>
      </c>
      <c r="O27" s="128">
        <f>+Actuals!L334</f>
        <v>0</v>
      </c>
      <c r="P27" s="127">
        <f>+Actuals!M334</f>
        <v>0</v>
      </c>
      <c r="Q27" s="128">
        <f>+Actuals!N334</f>
        <v>0</v>
      </c>
      <c r="R27" s="127">
        <f>+Actuals!O334</f>
        <v>0</v>
      </c>
      <c r="S27" s="128">
        <f>+Actuals!P334</f>
        <v>0</v>
      </c>
      <c r="T27" s="127">
        <f>+Actuals!Q334</f>
        <v>0</v>
      </c>
      <c r="U27" s="128">
        <f>+Actuals!R334</f>
        <v>0</v>
      </c>
      <c r="V27" s="127">
        <f>+Actuals!S334</f>
        <v>0</v>
      </c>
      <c r="W27" s="128">
        <f>+Actuals!T334</f>
        <v>0</v>
      </c>
      <c r="X27" s="127">
        <v>0</v>
      </c>
      <c r="Y27" s="128"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f>+Actuals!I335</f>
        <v>0</v>
      </c>
      <c r="M28" s="128">
        <f>+Actuals!J335</f>
        <v>0</v>
      </c>
      <c r="N28" s="127">
        <f>+Actuals!K335</f>
        <v>0</v>
      </c>
      <c r="O28" s="128">
        <f>+Actuals!L335</f>
        <v>0</v>
      </c>
      <c r="P28" s="127">
        <f>+Actuals!M335</f>
        <v>0</v>
      </c>
      <c r="Q28" s="128">
        <f>+Actuals!N335</f>
        <v>0</v>
      </c>
      <c r="R28" s="127">
        <f>+Actuals!O335</f>
        <v>0</v>
      </c>
      <c r="S28" s="128">
        <f>+Actuals!P335</f>
        <v>0</v>
      </c>
      <c r="T28" s="127">
        <f>+Actuals!Q335</f>
        <v>0</v>
      </c>
      <c r="U28" s="128">
        <f>+Actuals!R335</f>
        <v>0</v>
      </c>
      <c r="V28" s="127">
        <f>+Actuals!S335</f>
        <v>0</v>
      </c>
      <c r="W28" s="128">
        <f>+Actuals!T335</f>
        <v>0</v>
      </c>
      <c r="X28" s="127">
        <v>0</v>
      </c>
      <c r="Y28" s="128"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>SUM(W27:W28)</f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-23856</v>
      </c>
      <c r="I32" s="128">
        <v>-71807</v>
      </c>
      <c r="J32" s="127">
        <v>23856</v>
      </c>
      <c r="K32" s="128">
        <v>71807</v>
      </c>
      <c r="L32" s="127">
        <f>+Actuals!I336</f>
        <v>0</v>
      </c>
      <c r="M32" s="128">
        <f>+Actuals!J336</f>
        <v>0</v>
      </c>
      <c r="N32" s="127">
        <f>+Actuals!K336</f>
        <v>0</v>
      </c>
      <c r="O32" s="128">
        <f>+Actuals!L336</f>
        <v>0</v>
      </c>
      <c r="P32" s="127">
        <f>+Actuals!M336</f>
        <v>0</v>
      </c>
      <c r="Q32" s="128">
        <f>+Actuals!N336</f>
        <v>0</v>
      </c>
      <c r="R32" s="127">
        <f>+Actuals!O336</f>
        <v>0</v>
      </c>
      <c r="S32" s="128">
        <f>+Actuals!P336</f>
        <v>0</v>
      </c>
      <c r="T32" s="127">
        <f>+Actuals!Q336</f>
        <v>0</v>
      </c>
      <c r="U32" s="128">
        <f>+Actuals!R336</f>
        <v>0</v>
      </c>
      <c r="V32" s="127">
        <f>+Actuals!S336</f>
        <v>0</v>
      </c>
      <c r="W32" s="128">
        <f>+Actuals!T336</f>
        <v>0</v>
      </c>
      <c r="X32" s="127">
        <v>0</v>
      </c>
      <c r="Y32" s="128"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f>+Actuals!I337</f>
        <v>0</v>
      </c>
      <c r="M33" s="128">
        <f>+Actuals!J337</f>
        <v>0</v>
      </c>
      <c r="N33" s="127">
        <f>+Actuals!K337</f>
        <v>0</v>
      </c>
      <c r="O33" s="128">
        <f>+Actuals!L337</f>
        <v>0</v>
      </c>
      <c r="P33" s="127">
        <f>+Actuals!M337</f>
        <v>0</v>
      </c>
      <c r="Q33" s="128">
        <f>+Actuals!N337</f>
        <v>0</v>
      </c>
      <c r="R33" s="127">
        <f>+Actuals!O337</f>
        <v>0</v>
      </c>
      <c r="S33" s="128">
        <f>+Actuals!P337</f>
        <v>0</v>
      </c>
      <c r="T33" s="127">
        <f>+Actuals!Q337</f>
        <v>0</v>
      </c>
      <c r="U33" s="128">
        <f>+Actuals!R337</f>
        <v>0</v>
      </c>
      <c r="V33" s="127">
        <f>+Actuals!S337</f>
        <v>0</v>
      </c>
      <c r="W33" s="128">
        <f>+Actuals!T337</f>
        <v>0</v>
      </c>
      <c r="X33" s="127">
        <v>0</v>
      </c>
      <c r="Y33" s="128"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f>+Actuals!I338</f>
        <v>0</v>
      </c>
      <c r="M34" s="128">
        <f>+Actuals!J338</f>
        <v>0</v>
      </c>
      <c r="N34" s="127">
        <f>+Actuals!K338</f>
        <v>0</v>
      </c>
      <c r="O34" s="128">
        <f>+Actuals!L338</f>
        <v>0</v>
      </c>
      <c r="P34" s="127">
        <f>+Actuals!M338</f>
        <v>0</v>
      </c>
      <c r="Q34" s="128">
        <f>+Actuals!N338</f>
        <v>0</v>
      </c>
      <c r="R34" s="127">
        <f>+Actuals!O338</f>
        <v>0</v>
      </c>
      <c r="S34" s="128">
        <f>+Actuals!P338</f>
        <v>0</v>
      </c>
      <c r="T34" s="127">
        <f>+Actuals!Q338</f>
        <v>0</v>
      </c>
      <c r="U34" s="128">
        <f>+Actuals!R338</f>
        <v>0</v>
      </c>
      <c r="V34" s="127">
        <f>+Actuals!S338</f>
        <v>0</v>
      </c>
      <c r="W34" s="128">
        <f>+Actuals!T338</f>
        <v>0</v>
      </c>
      <c r="X34" s="127">
        <v>0</v>
      </c>
      <c r="Y34" s="128"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f>+Actuals!I339</f>
        <v>0</v>
      </c>
      <c r="M35" s="128">
        <f>+Actuals!J339</f>
        <v>0</v>
      </c>
      <c r="N35" s="127">
        <f>+Actuals!K339</f>
        <v>0</v>
      </c>
      <c r="O35" s="128">
        <f>+Actuals!L339</f>
        <v>0</v>
      </c>
      <c r="P35" s="127">
        <f>+Actuals!M339</f>
        <v>0</v>
      </c>
      <c r="Q35" s="128">
        <f>+Actuals!N339</f>
        <v>0</v>
      </c>
      <c r="R35" s="127">
        <f>+Actuals!O339</f>
        <v>0</v>
      </c>
      <c r="S35" s="128">
        <f>+Actuals!P339</f>
        <v>0</v>
      </c>
      <c r="T35" s="127">
        <f>+Actuals!Q339</f>
        <v>0</v>
      </c>
      <c r="U35" s="128">
        <f>+Actuals!R339</f>
        <v>0</v>
      </c>
      <c r="V35" s="127">
        <f>+Actuals!S339</f>
        <v>0</v>
      </c>
      <c r="W35" s="128">
        <f>+Actuals!T339</f>
        <v>0</v>
      </c>
      <c r="X35" s="127">
        <v>0</v>
      </c>
      <c r="Y35" s="128"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-23856</v>
      </c>
      <c r="I36" s="39">
        <f t="shared" si="9"/>
        <v>-71807</v>
      </c>
      <c r="J36" s="61">
        <f t="shared" si="9"/>
        <v>23856</v>
      </c>
      <c r="K36" s="39">
        <f t="shared" si="9"/>
        <v>71807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f>+Actuals!I340</f>
        <v>0</v>
      </c>
      <c r="M39" s="128">
        <f>+Actuals!J340</f>
        <v>0</v>
      </c>
      <c r="N39" s="127">
        <f>+Actuals!K340</f>
        <v>0</v>
      </c>
      <c r="O39" s="128">
        <f>+Actuals!L340</f>
        <v>0</v>
      </c>
      <c r="P39" s="127">
        <f>+Actuals!M340</f>
        <v>0</v>
      </c>
      <c r="Q39" s="128">
        <f>+Actuals!N340</f>
        <v>0</v>
      </c>
      <c r="R39" s="127">
        <f>+Actuals!O340</f>
        <v>0</v>
      </c>
      <c r="S39" s="128">
        <f>+Actuals!P340</f>
        <v>0</v>
      </c>
      <c r="T39" s="127">
        <f>+Actuals!Q340</f>
        <v>0</v>
      </c>
      <c r="U39" s="128">
        <f>+Actuals!R340</f>
        <v>0</v>
      </c>
      <c r="V39" s="127">
        <f>+Actuals!S340</f>
        <v>0</v>
      </c>
      <c r="W39" s="128">
        <f>+Actuals!T340</f>
        <v>0</v>
      </c>
      <c r="X39" s="127">
        <v>0</v>
      </c>
      <c r="Y39" s="128"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f>+Actuals!I341</f>
        <v>0</v>
      </c>
      <c r="M40" s="128">
        <f>+Actuals!J341</f>
        <v>0</v>
      </c>
      <c r="N40" s="127">
        <f>+Actuals!K341</f>
        <v>0</v>
      </c>
      <c r="O40" s="128">
        <f>+Actuals!L341</f>
        <v>0</v>
      </c>
      <c r="P40" s="127">
        <f>+Actuals!M341</f>
        <v>0</v>
      </c>
      <c r="Q40" s="128">
        <f>+Actuals!N341</f>
        <v>0</v>
      </c>
      <c r="R40" s="127">
        <f>+Actuals!O341</f>
        <v>0</v>
      </c>
      <c r="S40" s="128">
        <f>+Actuals!P341</f>
        <v>0</v>
      </c>
      <c r="T40" s="127">
        <f>+Actuals!Q341</f>
        <v>0</v>
      </c>
      <c r="U40" s="128">
        <f>+Actuals!R341</f>
        <v>0</v>
      </c>
      <c r="V40" s="127">
        <f>+Actuals!S341</f>
        <v>0</v>
      </c>
      <c r="W40" s="128">
        <f>+Actuals!T341</f>
        <v>0</v>
      </c>
      <c r="X40" s="127">
        <v>0</v>
      </c>
      <c r="Y40" s="128"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f>+Actuals!I342</f>
        <v>0</v>
      </c>
      <c r="M41" s="128">
        <f>+Actuals!J342</f>
        <v>0</v>
      </c>
      <c r="N41" s="127">
        <f>+Actuals!K342</f>
        <v>0</v>
      </c>
      <c r="O41" s="128">
        <f>+Actuals!L342</f>
        <v>0</v>
      </c>
      <c r="P41" s="127">
        <f>+Actuals!M342</f>
        <v>0</v>
      </c>
      <c r="Q41" s="128">
        <f>+Actuals!N342</f>
        <v>0</v>
      </c>
      <c r="R41" s="127">
        <f>+Actuals!O342</f>
        <v>0</v>
      </c>
      <c r="S41" s="128">
        <f>+Actuals!P342</f>
        <v>0</v>
      </c>
      <c r="T41" s="127">
        <f>+Actuals!Q342</f>
        <v>0</v>
      </c>
      <c r="U41" s="128">
        <f>+Actuals!R342</f>
        <v>0</v>
      </c>
      <c r="V41" s="127">
        <f>+Actuals!S342</f>
        <v>0</v>
      </c>
      <c r="W41" s="128">
        <f>+Actuals!T342</f>
        <v>0</v>
      </c>
      <c r="X41" s="127">
        <v>0</v>
      </c>
      <c r="Y41" s="128"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f>+Actuals!I343</f>
        <v>0</v>
      </c>
      <c r="M45" s="128">
        <f>+Actuals!J343</f>
        <v>0</v>
      </c>
      <c r="N45" s="127">
        <f>+Actuals!K343</f>
        <v>0</v>
      </c>
      <c r="O45" s="128">
        <f>+Actuals!L343</f>
        <v>0</v>
      </c>
      <c r="P45" s="127">
        <f>+Actuals!M343</f>
        <v>0</v>
      </c>
      <c r="Q45" s="128">
        <f>+Actuals!N343</f>
        <v>0</v>
      </c>
      <c r="R45" s="127">
        <f>+Actuals!O343</f>
        <v>0</v>
      </c>
      <c r="S45" s="128">
        <f>+Actuals!P343</f>
        <v>0</v>
      </c>
      <c r="T45" s="127">
        <f>+Actuals!Q343</f>
        <v>0</v>
      </c>
      <c r="U45" s="128">
        <f>+Actuals!R343</f>
        <v>0</v>
      </c>
      <c r="V45" s="127">
        <f>+Actuals!S343</f>
        <v>0</v>
      </c>
      <c r="W45" s="128">
        <f>+Actuals!T343</f>
        <v>0</v>
      </c>
      <c r="X45" s="127">
        <v>0</v>
      </c>
      <c r="Y45" s="128"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f>+Actuals!I344</f>
        <v>0</v>
      </c>
      <c r="M47" s="128">
        <f>+Actuals!J344</f>
        <v>0</v>
      </c>
      <c r="N47" s="127">
        <f>+Actuals!K344</f>
        <v>0</v>
      </c>
      <c r="O47" s="128">
        <f>+Actuals!L344</f>
        <v>0</v>
      </c>
      <c r="P47" s="127">
        <f>+Actuals!M344</f>
        <v>0</v>
      </c>
      <c r="Q47" s="128">
        <f>+Actuals!N344</f>
        <v>0</v>
      </c>
      <c r="R47" s="127">
        <f>+Actuals!O344</f>
        <v>0</v>
      </c>
      <c r="S47" s="128">
        <f>+Actuals!P344</f>
        <v>0</v>
      </c>
      <c r="T47" s="127">
        <f>+Actuals!Q344</f>
        <v>0</v>
      </c>
      <c r="U47" s="128">
        <f>+Actuals!R344</f>
        <v>0</v>
      </c>
      <c r="V47" s="127">
        <f>+Actuals!S344</f>
        <v>0</v>
      </c>
      <c r="W47" s="128">
        <f>+Actuals!T344</f>
        <v>0</v>
      </c>
      <c r="X47" s="127">
        <v>0</v>
      </c>
      <c r="Y47" s="128"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2025</v>
      </c>
      <c r="E49" s="38">
        <f>SUM(G49,I49,K49,M49,O49,Q49,S49,U49,W49,Y49,AA49,AC49,AE49)</f>
        <v>6095.7400000002235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-3089149</v>
      </c>
      <c r="K49" s="128">
        <v>-9298338</v>
      </c>
      <c r="L49" s="127">
        <f>+Actuals!I345</f>
        <v>2434817</v>
      </c>
      <c r="M49" s="128">
        <f>+Actuals!J345</f>
        <v>7328799.1699999999</v>
      </c>
      <c r="N49" s="127">
        <f>+Actuals!K345</f>
        <v>61602</v>
      </c>
      <c r="O49" s="128">
        <f>+Actuals!L345</f>
        <v>185422.02</v>
      </c>
      <c r="P49" s="127">
        <f>+Actuals!M345</f>
        <v>-2816735</v>
      </c>
      <c r="Q49" s="128">
        <f>+Actuals!N345</f>
        <v>-8478372.3499999996</v>
      </c>
      <c r="R49" s="127">
        <f>+Actuals!O345</f>
        <v>20256</v>
      </c>
      <c r="S49" s="128">
        <f>+Actuals!P345</f>
        <v>60970.559999999998</v>
      </c>
      <c r="T49" s="127">
        <f>+Actuals!Q345</f>
        <v>0</v>
      </c>
      <c r="U49" s="128">
        <f>+Actuals!R345</f>
        <v>0</v>
      </c>
      <c r="V49" s="127">
        <f>+Actuals!S345</f>
        <v>3410409</v>
      </c>
      <c r="W49" s="128">
        <f>+Actuals!T345</f>
        <v>10265331.09</v>
      </c>
      <c r="X49" s="127">
        <v>-19175</v>
      </c>
      <c r="Y49" s="128">
        <v>-57716.75</v>
      </c>
      <c r="Z49" s="127">
        <v>0</v>
      </c>
      <c r="AA49" s="128">
        <v>0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-254350</v>
      </c>
      <c r="E51" s="38">
        <f>SUM(G51,I51,K51,M51,O51,Q51,S51,U51,W51,Y51,AA51,AC51,AE51)</f>
        <v>-765593.5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f>+Actuals!I346</f>
        <v>0</v>
      </c>
      <c r="M51" s="128">
        <f>+Actuals!J346</f>
        <v>0</v>
      </c>
      <c r="N51" s="127">
        <f>+Actuals!K346</f>
        <v>0</v>
      </c>
      <c r="O51" s="128">
        <f>+Actuals!L346</f>
        <v>0</v>
      </c>
      <c r="P51" s="127">
        <f>+Actuals!M346</f>
        <v>-235175</v>
      </c>
      <c r="Q51" s="128">
        <f>+Actuals!N346</f>
        <v>-707876.75</v>
      </c>
      <c r="R51" s="127">
        <f>+Actuals!O346</f>
        <v>0</v>
      </c>
      <c r="S51" s="128">
        <f>+Actuals!P346</f>
        <v>0</v>
      </c>
      <c r="T51" s="127">
        <f>+Actuals!Q346</f>
        <v>0</v>
      </c>
      <c r="U51" s="128">
        <f>+Actuals!R346</f>
        <v>0</v>
      </c>
      <c r="V51" s="127">
        <f>+Actuals!S346</f>
        <v>0</v>
      </c>
      <c r="W51" s="128">
        <f>+Actuals!T346</f>
        <v>0</v>
      </c>
      <c r="X51" s="127">
        <v>-19175</v>
      </c>
      <c r="Y51" s="128">
        <f>-57716.75</f>
        <v>-57716.75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-8313093</v>
      </c>
      <c r="E54" s="38">
        <f>SUM(G54,I54,K54,M54,O54,Q54,S54,U54,W54,Y54,AA54,AC54,AE54)</f>
        <v>-134717.57999999999</v>
      </c>
      <c r="F54" s="64">
        <f>'TIE-OUT'!H54+RECLASS!Z54</f>
        <v>0</v>
      </c>
      <c r="G54" s="68">
        <f>'TIE-OUT'!I54+RECLASS!AA54</f>
        <v>0</v>
      </c>
      <c r="H54" s="127">
        <v>-6656289</v>
      </c>
      <c r="I54" s="128">
        <f>-36832-80330</f>
        <v>-117162</v>
      </c>
      <c r="J54" s="127">
        <v>-7137</v>
      </c>
      <c r="K54" s="128">
        <f>11-3317</f>
        <v>-3306</v>
      </c>
      <c r="L54" s="127">
        <f>+Actuals!I347</f>
        <v>-1650000</v>
      </c>
      <c r="M54" s="128">
        <f>+Actuals!J347</f>
        <v>-14234.02</v>
      </c>
      <c r="N54" s="127">
        <f>+Actuals!K347</f>
        <v>0</v>
      </c>
      <c r="O54" s="128">
        <f>+Actuals!L347</f>
        <v>-21.33</v>
      </c>
      <c r="P54" s="127">
        <f>+Actuals!M347</f>
        <v>0</v>
      </c>
      <c r="Q54" s="128">
        <f>+Actuals!N347</f>
        <v>0</v>
      </c>
      <c r="R54" s="127">
        <f>+Actuals!O347</f>
        <v>0</v>
      </c>
      <c r="S54" s="128">
        <f>+Actuals!P347</f>
        <v>0</v>
      </c>
      <c r="T54" s="127">
        <f>+Actuals!Q347</f>
        <v>333</v>
      </c>
      <c r="U54" s="128">
        <f>+Actuals!R347</f>
        <v>5.77</v>
      </c>
      <c r="V54" s="127">
        <f>+Actuals!S347</f>
        <v>0</v>
      </c>
      <c r="W54" s="128">
        <f>+Actuals!T347</f>
        <v>0</v>
      </c>
      <c r="X54" s="127">
        <v>0</v>
      </c>
      <c r="Y54" s="128"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-2742100.2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-2017016</v>
      </c>
      <c r="J55" s="127">
        <v>0</v>
      </c>
      <c r="K55" s="128">
        <v>-455437</v>
      </c>
      <c r="L55" s="127">
        <f>+Actuals!I348</f>
        <v>0</v>
      </c>
      <c r="M55" s="128">
        <f>+Actuals!J348</f>
        <v>-269647.2</v>
      </c>
      <c r="N55" s="127">
        <f>+Actuals!K348</f>
        <v>0</v>
      </c>
      <c r="O55" s="128">
        <f>+Actuals!L348</f>
        <v>0</v>
      </c>
      <c r="P55" s="127">
        <f>+Actuals!M348</f>
        <v>0</v>
      </c>
      <c r="Q55" s="128">
        <f>+Actuals!N348</f>
        <v>0</v>
      </c>
      <c r="R55" s="127">
        <f>+Actuals!O348</f>
        <v>0</v>
      </c>
      <c r="S55" s="128">
        <f>+Actuals!P348</f>
        <v>0</v>
      </c>
      <c r="T55" s="127">
        <f>+Actuals!Q348</f>
        <v>0</v>
      </c>
      <c r="U55" s="128">
        <f>+Actuals!R348</f>
        <v>0</v>
      </c>
      <c r="V55" s="127">
        <f>+Actuals!S348</f>
        <v>0</v>
      </c>
      <c r="W55" s="128">
        <f>+Actuals!T348</f>
        <v>0</v>
      </c>
      <c r="X55" s="127">
        <v>0</v>
      </c>
      <c r="Y55" s="128"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-8313093</v>
      </c>
      <c r="E56" s="39">
        <f t="shared" si="16"/>
        <v>-2876817.7800000003</v>
      </c>
      <c r="F56" s="61">
        <f t="shared" si="16"/>
        <v>0</v>
      </c>
      <c r="G56" s="39">
        <f t="shared" si="16"/>
        <v>0</v>
      </c>
      <c r="H56" s="61">
        <f t="shared" si="16"/>
        <v>-6656289</v>
      </c>
      <c r="I56" s="39">
        <f t="shared" si="16"/>
        <v>-2134178</v>
      </c>
      <c r="J56" s="61">
        <f t="shared" si="16"/>
        <v>-7137</v>
      </c>
      <c r="K56" s="39">
        <f t="shared" si="16"/>
        <v>-458743</v>
      </c>
      <c r="L56" s="61">
        <f t="shared" si="16"/>
        <v>-1650000</v>
      </c>
      <c r="M56" s="39">
        <f t="shared" si="16"/>
        <v>-283881.22000000003</v>
      </c>
      <c r="N56" s="61">
        <f t="shared" ref="N56:S56" si="17">SUM(N54:N55)</f>
        <v>0</v>
      </c>
      <c r="O56" s="39">
        <f t="shared" si="17"/>
        <v>-21.33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333</v>
      </c>
      <c r="U56" s="39">
        <f>SUM(U54:U55)</f>
        <v>5.77</v>
      </c>
      <c r="V56" s="61">
        <f>SUM(V54:V55)</f>
        <v>0</v>
      </c>
      <c r="W56" s="39">
        <f>SUM(W54:W55)</f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f>+Actuals!I349</f>
        <v>0</v>
      </c>
      <c r="M59" s="128">
        <f>+Actuals!J349</f>
        <v>0</v>
      </c>
      <c r="N59" s="127">
        <f>+Actuals!K349</f>
        <v>0</v>
      </c>
      <c r="O59" s="128">
        <f>+Actuals!L349</f>
        <v>0</v>
      </c>
      <c r="P59" s="127">
        <f>+Actuals!M349</f>
        <v>0</v>
      </c>
      <c r="Q59" s="128">
        <f>+Actuals!N349</f>
        <v>0</v>
      </c>
      <c r="R59" s="127">
        <f>+Actuals!O349</f>
        <v>0</v>
      </c>
      <c r="S59" s="128">
        <f>+Actuals!P349</f>
        <v>0</v>
      </c>
      <c r="T59" s="127">
        <f>+Actuals!Q349</f>
        <v>0</v>
      </c>
      <c r="U59" s="128">
        <f>+Actuals!R349</f>
        <v>0</v>
      </c>
      <c r="V59" s="127">
        <f>+Actuals!S349</f>
        <v>0</v>
      </c>
      <c r="W59" s="128">
        <f>+Actuals!T349</f>
        <v>0</v>
      </c>
      <c r="X59" s="127">
        <v>0</v>
      </c>
      <c r="Y59" s="128"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f>+Actuals!I350</f>
        <v>0</v>
      </c>
      <c r="M60" s="128">
        <f>+Actuals!J350</f>
        <v>0</v>
      </c>
      <c r="N60" s="127">
        <f>+Actuals!K350</f>
        <v>0</v>
      </c>
      <c r="O60" s="128">
        <f>+Actuals!L350</f>
        <v>0</v>
      </c>
      <c r="P60" s="127">
        <f>+Actuals!M350</f>
        <v>0</v>
      </c>
      <c r="Q60" s="128">
        <f>+Actuals!N350</f>
        <v>0</v>
      </c>
      <c r="R60" s="127">
        <f>+Actuals!O350</f>
        <v>0</v>
      </c>
      <c r="S60" s="128">
        <f>+Actuals!P350</f>
        <v>0</v>
      </c>
      <c r="T60" s="127">
        <f>+Actuals!Q350</f>
        <v>0</v>
      </c>
      <c r="U60" s="128">
        <f>+Actuals!R350</f>
        <v>0</v>
      </c>
      <c r="V60" s="127">
        <f>+Actuals!S350</f>
        <v>0</v>
      </c>
      <c r="W60" s="128">
        <f>+Actuals!T350</f>
        <v>0</v>
      </c>
      <c r="X60" s="127">
        <v>0</v>
      </c>
      <c r="Y60" s="128"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f>+Actuals!I351</f>
        <v>0</v>
      </c>
      <c r="M64" s="128">
        <f>+Actuals!J351</f>
        <v>0</v>
      </c>
      <c r="N64" s="127">
        <f>+Actuals!K351</f>
        <v>0</v>
      </c>
      <c r="O64" s="128">
        <f>+Actuals!L351</f>
        <v>0</v>
      </c>
      <c r="P64" s="127">
        <f>+Actuals!M351</f>
        <v>0</v>
      </c>
      <c r="Q64" s="128">
        <f>+Actuals!N351</f>
        <v>0</v>
      </c>
      <c r="R64" s="127">
        <f>+Actuals!O351</f>
        <v>0</v>
      </c>
      <c r="S64" s="128">
        <f>+Actuals!P351</f>
        <v>0</v>
      </c>
      <c r="T64" s="127">
        <f>+Actuals!Q351</f>
        <v>0</v>
      </c>
      <c r="U64" s="128">
        <f>+Actuals!R351</f>
        <v>0</v>
      </c>
      <c r="V64" s="127">
        <f>+Actuals!S351</f>
        <v>0</v>
      </c>
      <c r="W64" s="128">
        <f>+Actuals!T351</f>
        <v>0</v>
      </c>
      <c r="X64" s="127">
        <v>0</v>
      </c>
      <c r="Y64" s="128"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f>+Actuals!I352</f>
        <v>0</v>
      </c>
      <c r="M65" s="128">
        <f>+Actuals!J352</f>
        <v>0</v>
      </c>
      <c r="N65" s="127">
        <f>+Actuals!K352</f>
        <v>0</v>
      </c>
      <c r="O65" s="128">
        <f>+Actuals!L352</f>
        <v>0</v>
      </c>
      <c r="P65" s="127">
        <f>+Actuals!M352</f>
        <v>0</v>
      </c>
      <c r="Q65" s="128">
        <f>+Actuals!N352</f>
        <v>0</v>
      </c>
      <c r="R65" s="127">
        <f>+Actuals!O352</f>
        <v>0</v>
      </c>
      <c r="S65" s="128">
        <f>+Actuals!P352</f>
        <v>0</v>
      </c>
      <c r="T65" s="127">
        <f>+Actuals!Q352</f>
        <v>0</v>
      </c>
      <c r="U65" s="128">
        <f>+Actuals!R352</f>
        <v>0</v>
      </c>
      <c r="V65" s="127">
        <f>+Actuals!S352</f>
        <v>0</v>
      </c>
      <c r="W65" s="128">
        <f>+Actuals!T352</f>
        <v>0</v>
      </c>
      <c r="X65" s="127">
        <v>0</v>
      </c>
      <c r="Y65" s="128"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15019906</v>
      </c>
      <c r="F70" s="64">
        <f>'TIE-OUT'!H70+RECLASS!Z70</f>
        <v>0</v>
      </c>
      <c r="G70" s="68">
        <f>'TIE-OUT'!I70+RECLASS!AA70</f>
        <v>15019906</v>
      </c>
      <c r="H70" s="127">
        <v>0</v>
      </c>
      <c r="I70" s="128">
        <v>0</v>
      </c>
      <c r="J70" s="127">
        <v>0</v>
      </c>
      <c r="K70" s="128">
        <v>0</v>
      </c>
      <c r="L70" s="127">
        <f>+Actuals!I353</f>
        <v>0</v>
      </c>
      <c r="M70" s="128">
        <f>+Actuals!J353</f>
        <v>0</v>
      </c>
      <c r="N70" s="127">
        <f>+Actuals!K353</f>
        <v>0</v>
      </c>
      <c r="O70" s="128">
        <f>+Actuals!L353</f>
        <v>0</v>
      </c>
      <c r="P70" s="127">
        <f>+Actuals!M353</f>
        <v>0</v>
      </c>
      <c r="Q70" s="128">
        <f>+Actuals!N353</f>
        <v>0</v>
      </c>
      <c r="R70" s="127">
        <f>+Actuals!O353</f>
        <v>0</v>
      </c>
      <c r="S70" s="128">
        <f>+Actuals!P353</f>
        <v>0</v>
      </c>
      <c r="T70" s="127">
        <f>+Actuals!Q353</f>
        <v>0</v>
      </c>
      <c r="U70" s="128">
        <f>+Actuals!R353</f>
        <v>0</v>
      </c>
      <c r="V70" s="127">
        <f>+Actuals!S353</f>
        <v>0</v>
      </c>
      <c r="W70" s="128">
        <f>+Actuals!T353</f>
        <v>0</v>
      </c>
      <c r="X70" s="127">
        <v>0</v>
      </c>
      <c r="Y70" s="128"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-16562230</v>
      </c>
      <c r="F71" s="81">
        <f>'TIE-OUT'!H71+RECLASS!Z71</f>
        <v>0</v>
      </c>
      <c r="G71" s="82">
        <f>'TIE-OUT'!I71+RECLASS!AA71</f>
        <v>-16562230</v>
      </c>
      <c r="H71" s="127">
        <v>0</v>
      </c>
      <c r="I71" s="128">
        <v>0</v>
      </c>
      <c r="J71" s="127">
        <v>0</v>
      </c>
      <c r="K71" s="128">
        <v>0</v>
      </c>
      <c r="L71" s="127">
        <f>+Actuals!I354</f>
        <v>0</v>
      </c>
      <c r="M71" s="128">
        <f>+Actuals!J354</f>
        <v>0</v>
      </c>
      <c r="N71" s="127">
        <f>+Actuals!K354</f>
        <v>0</v>
      </c>
      <c r="O71" s="128">
        <f>+Actuals!L354</f>
        <v>0</v>
      </c>
      <c r="P71" s="127">
        <f>+Actuals!M354</f>
        <v>0</v>
      </c>
      <c r="Q71" s="128">
        <f>+Actuals!N354</f>
        <v>0</v>
      </c>
      <c r="R71" s="127">
        <f>+Actuals!O354</f>
        <v>0</v>
      </c>
      <c r="S71" s="128">
        <f>+Actuals!P354</f>
        <v>0</v>
      </c>
      <c r="T71" s="127">
        <f>+Actuals!Q354</f>
        <v>0</v>
      </c>
      <c r="U71" s="128">
        <f>+Actuals!R354</f>
        <v>0</v>
      </c>
      <c r="V71" s="127">
        <f>+Actuals!S354</f>
        <v>0</v>
      </c>
      <c r="W71" s="128">
        <f>+Actuals!T354</f>
        <v>0</v>
      </c>
      <c r="X71" s="127">
        <v>0</v>
      </c>
      <c r="Y71" s="128"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-1542324</v>
      </c>
      <c r="F72" s="61">
        <f t="shared" si="22"/>
        <v>0</v>
      </c>
      <c r="G72" s="39">
        <f t="shared" si="22"/>
        <v>-1542324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f>+Actuals!I355</f>
        <v>0</v>
      </c>
      <c r="M73" s="128">
        <f>+Actuals!J355</f>
        <v>0</v>
      </c>
      <c r="N73" s="127">
        <f>+Actuals!K355</f>
        <v>0</v>
      </c>
      <c r="O73" s="128">
        <f>+Actuals!L355</f>
        <v>0</v>
      </c>
      <c r="P73" s="127">
        <f>+Actuals!M355</f>
        <v>0</v>
      </c>
      <c r="Q73" s="128">
        <f>+Actuals!N355</f>
        <v>0</v>
      </c>
      <c r="R73" s="127">
        <f>+Actuals!O355</f>
        <v>0</v>
      </c>
      <c r="S73" s="128">
        <f>+Actuals!P355</f>
        <v>0</v>
      </c>
      <c r="T73" s="127">
        <f>+Actuals!Q355</f>
        <v>0</v>
      </c>
      <c r="U73" s="128">
        <f>+Actuals!R355</f>
        <v>0</v>
      </c>
      <c r="V73" s="127">
        <f>+Actuals!S355</f>
        <v>0</v>
      </c>
      <c r="W73" s="128">
        <f>+Actuals!T355</f>
        <v>0</v>
      </c>
      <c r="X73" s="127">
        <v>0</v>
      </c>
      <c r="Y73" s="128"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-441909</v>
      </c>
      <c r="F74" s="60">
        <f>'TIE-OUT'!H74+RECLASS!Z74</f>
        <v>0</v>
      </c>
      <c r="G74" s="60">
        <f>'TIE-OUT'!I74+RECLASS!AA74</f>
        <v>-441909</v>
      </c>
      <c r="H74" s="127">
        <v>0</v>
      </c>
      <c r="I74" s="128">
        <v>0</v>
      </c>
      <c r="J74" s="127">
        <v>0</v>
      </c>
      <c r="K74" s="128">
        <v>0</v>
      </c>
      <c r="L74" s="127">
        <f>+Actuals!I356</f>
        <v>0</v>
      </c>
      <c r="M74" s="128">
        <f>+Actuals!J356</f>
        <v>0</v>
      </c>
      <c r="N74" s="127">
        <f>+Actuals!K356</f>
        <v>0</v>
      </c>
      <c r="O74" s="128">
        <f>+Actuals!L356</f>
        <v>0</v>
      </c>
      <c r="P74" s="127">
        <f>+Actuals!M356</f>
        <v>0</v>
      </c>
      <c r="Q74" s="128">
        <f>+Actuals!N356</f>
        <v>0</v>
      </c>
      <c r="R74" s="127">
        <f>+Actuals!O356</f>
        <v>0</v>
      </c>
      <c r="S74" s="128">
        <f>+Actuals!P356</f>
        <v>0</v>
      </c>
      <c r="T74" s="127">
        <f>+Actuals!Q356</f>
        <v>0</v>
      </c>
      <c r="U74" s="128">
        <f>+Actuals!R356</f>
        <v>0</v>
      </c>
      <c r="V74" s="127">
        <f>+Actuals!S356</f>
        <v>0</v>
      </c>
      <c r="W74" s="128">
        <f>+Actuals!T356</f>
        <v>0</v>
      </c>
      <c r="X74" s="127">
        <v>0</v>
      </c>
      <c r="Y74" s="128"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f>+Actuals!I357</f>
        <v>0</v>
      </c>
      <c r="M75" s="128">
        <f>+Actuals!J357</f>
        <v>0</v>
      </c>
      <c r="N75" s="127">
        <f>+Actuals!K357</f>
        <v>0</v>
      </c>
      <c r="O75" s="128">
        <f>+Actuals!L357</f>
        <v>0</v>
      </c>
      <c r="P75" s="127">
        <f>+Actuals!M357</f>
        <v>0</v>
      </c>
      <c r="Q75" s="128">
        <f>+Actuals!N357</f>
        <v>0</v>
      </c>
      <c r="R75" s="127">
        <f>+Actuals!O357</f>
        <v>0</v>
      </c>
      <c r="S75" s="128">
        <f>+Actuals!P357</f>
        <v>0</v>
      </c>
      <c r="T75" s="127">
        <f>+Actuals!Q357</f>
        <v>0</v>
      </c>
      <c r="U75" s="128">
        <f>+Actuals!R357</f>
        <v>0</v>
      </c>
      <c r="V75" s="127">
        <f>+Actuals!S357</f>
        <v>0</v>
      </c>
      <c r="W75" s="128">
        <f>+Actuals!T357</f>
        <v>0</v>
      </c>
      <c r="X75" s="127">
        <v>0</v>
      </c>
      <c r="Y75" s="128"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f>+Actuals!I358</f>
        <v>0</v>
      </c>
      <c r="M76" s="128">
        <f>+Actuals!J358</f>
        <v>0</v>
      </c>
      <c r="N76" s="127">
        <f>+Actuals!K358</f>
        <v>0</v>
      </c>
      <c r="O76" s="128">
        <f>+Actuals!L358</f>
        <v>0</v>
      </c>
      <c r="P76" s="127">
        <f>+Actuals!M358</f>
        <v>0</v>
      </c>
      <c r="Q76" s="128">
        <f>+Actuals!N358</f>
        <v>0</v>
      </c>
      <c r="R76" s="127">
        <f>+Actuals!O358</f>
        <v>0</v>
      </c>
      <c r="S76" s="128">
        <f>+Actuals!P358</f>
        <v>0</v>
      </c>
      <c r="T76" s="127">
        <f>+Actuals!Q358</f>
        <v>0</v>
      </c>
      <c r="U76" s="128">
        <f>+Actuals!R358</f>
        <v>0</v>
      </c>
      <c r="V76" s="127">
        <f>+Actuals!S358</f>
        <v>0</v>
      </c>
      <c r="W76" s="128">
        <f>+Actuals!T358</f>
        <v>0</v>
      </c>
      <c r="X76" s="127">
        <v>0</v>
      </c>
      <c r="Y76" s="128"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f>+Actuals!I359</f>
        <v>0</v>
      </c>
      <c r="M77" s="128">
        <f>+Actuals!J359</f>
        <v>0</v>
      </c>
      <c r="N77" s="127">
        <f>+Actuals!K359</f>
        <v>0</v>
      </c>
      <c r="O77" s="128">
        <f>+Actuals!L359</f>
        <v>0</v>
      </c>
      <c r="P77" s="127">
        <f>+Actuals!M359</f>
        <v>0</v>
      </c>
      <c r="Q77" s="128">
        <f>+Actuals!N359</f>
        <v>0</v>
      </c>
      <c r="R77" s="127">
        <f>+Actuals!O359</f>
        <v>0</v>
      </c>
      <c r="S77" s="128">
        <f>+Actuals!P359</f>
        <v>0</v>
      </c>
      <c r="T77" s="127">
        <f>+Actuals!Q359</f>
        <v>0</v>
      </c>
      <c r="U77" s="128">
        <f>+Actuals!R359</f>
        <v>0</v>
      </c>
      <c r="V77" s="127">
        <f>+Actuals!S359</f>
        <v>0</v>
      </c>
      <c r="W77" s="128">
        <f>+Actuals!T359</f>
        <v>0</v>
      </c>
      <c r="X77" s="127">
        <v>0</v>
      </c>
      <c r="Y77" s="128"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f>+Actuals!I360</f>
        <v>0</v>
      </c>
      <c r="M78" s="128">
        <f>+Actuals!J360</f>
        <v>0</v>
      </c>
      <c r="N78" s="127">
        <f>+Actuals!K360</f>
        <v>0</v>
      </c>
      <c r="O78" s="128">
        <f>+Actuals!L360</f>
        <v>0</v>
      </c>
      <c r="P78" s="127">
        <f>+Actuals!M360</f>
        <v>0</v>
      </c>
      <c r="Q78" s="128">
        <f>+Actuals!N360</f>
        <v>0</v>
      </c>
      <c r="R78" s="127">
        <f>+Actuals!O360</f>
        <v>0</v>
      </c>
      <c r="S78" s="128">
        <f>+Actuals!P360</f>
        <v>0</v>
      </c>
      <c r="T78" s="127">
        <f>+Actuals!Q360</f>
        <v>0</v>
      </c>
      <c r="U78" s="128">
        <f>+Actuals!R360</f>
        <v>0</v>
      </c>
      <c r="V78" s="127">
        <f>+Actuals!S360</f>
        <v>0</v>
      </c>
      <c r="W78" s="128">
        <f>+Actuals!T360</f>
        <v>0</v>
      </c>
      <c r="X78" s="127">
        <v>0</v>
      </c>
      <c r="Y78" s="128"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f>+Actuals!I361</f>
        <v>0</v>
      </c>
      <c r="M79" s="128">
        <f>+Actuals!J361</f>
        <v>0</v>
      </c>
      <c r="N79" s="127">
        <f>+Actuals!K361</f>
        <v>0</v>
      </c>
      <c r="O79" s="128">
        <f>+Actuals!L361</f>
        <v>0</v>
      </c>
      <c r="P79" s="127">
        <f>+Actuals!M361</f>
        <v>0</v>
      </c>
      <c r="Q79" s="128">
        <f>+Actuals!N361</f>
        <v>0</v>
      </c>
      <c r="R79" s="127">
        <f>+Actuals!O361</f>
        <v>0</v>
      </c>
      <c r="S79" s="128">
        <f>+Actuals!P361</f>
        <v>0</v>
      </c>
      <c r="T79" s="127">
        <f>+Actuals!Q361</f>
        <v>0</v>
      </c>
      <c r="U79" s="128">
        <f>+Actuals!R361</f>
        <v>0</v>
      </c>
      <c r="V79" s="127">
        <f>+Actuals!S361</f>
        <v>0</v>
      </c>
      <c r="W79" s="128">
        <f>+Actuals!T361</f>
        <v>0</v>
      </c>
      <c r="X79" s="127">
        <v>0</v>
      </c>
      <c r="Y79" s="128"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f>+Actuals!I362</f>
        <v>0</v>
      </c>
      <c r="M80" s="128">
        <f>+Actuals!J362</f>
        <v>0</v>
      </c>
      <c r="N80" s="127">
        <f>+Actuals!K362</f>
        <v>0</v>
      </c>
      <c r="O80" s="128">
        <f>+Actuals!L362</f>
        <v>0</v>
      </c>
      <c r="P80" s="127">
        <f>+Actuals!M362</f>
        <v>0</v>
      </c>
      <c r="Q80" s="128">
        <f>+Actuals!N362</f>
        <v>0</v>
      </c>
      <c r="R80" s="127">
        <f>+Actuals!O362</f>
        <v>0</v>
      </c>
      <c r="S80" s="128">
        <f>+Actuals!P362</f>
        <v>0</v>
      </c>
      <c r="T80" s="127">
        <f>+Actuals!Q362</f>
        <v>0</v>
      </c>
      <c r="U80" s="128">
        <f>+Actuals!R362</f>
        <v>0</v>
      </c>
      <c r="V80" s="127">
        <f>+Actuals!S362</f>
        <v>0</v>
      </c>
      <c r="W80" s="128">
        <f>+Actuals!T362</f>
        <v>0</v>
      </c>
      <c r="X80" s="127">
        <v>0</v>
      </c>
      <c r="Y80" s="128"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f>+Actuals!I363</f>
        <v>0</v>
      </c>
      <c r="M81" s="128">
        <f>+Actuals!J363</f>
        <v>0</v>
      </c>
      <c r="N81" s="127">
        <f>+Actuals!K363</f>
        <v>0</v>
      </c>
      <c r="O81" s="128">
        <f>+Actuals!L363</f>
        <v>0</v>
      </c>
      <c r="P81" s="127">
        <f>+Actuals!M363</f>
        <v>0</v>
      </c>
      <c r="Q81" s="128">
        <f>+Actuals!N363</f>
        <v>0</v>
      </c>
      <c r="R81" s="127">
        <f>+Actuals!O363</f>
        <v>0</v>
      </c>
      <c r="S81" s="128">
        <f>+Actuals!P363</f>
        <v>0</v>
      </c>
      <c r="T81" s="127">
        <f>+Actuals!Q363</f>
        <v>0</v>
      </c>
      <c r="U81" s="128">
        <f>+Actuals!R363</f>
        <v>0</v>
      </c>
      <c r="V81" s="127">
        <f>+Actuals!S363</f>
        <v>0</v>
      </c>
      <c r="W81" s="128">
        <f>+Actuals!T363</f>
        <v>0</v>
      </c>
      <c r="X81" s="127">
        <v>0</v>
      </c>
      <c r="Y81" s="128"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-1014719.6600000048</v>
      </c>
      <c r="F82" s="91">
        <f>F16+F24+F29+F36+F43+F45+F47+F49</f>
        <v>0</v>
      </c>
      <c r="G82" s="92">
        <f>SUM(G72:G81)+G16+G24+G29+G36+G43+G45+G47+G49+G51+G56+G61+G66</f>
        <v>-1819682.02</v>
      </c>
      <c r="H82" s="91">
        <f>H16+H24+H29+H36+H43+H45+H47+H49</f>
        <v>0</v>
      </c>
      <c r="I82" s="156">
        <f>SUM(I72:I81)+I16+I24+I29+I36+I43+I45+I47+I49+I51+I56+I61+I66</f>
        <v>995546</v>
      </c>
      <c r="J82" s="91">
        <f>J16+J24+J29+J36+J43+J45+J47+J49</f>
        <v>0</v>
      </c>
      <c r="K82" s="156">
        <f>SUM(K72:K81)+K16+K24+K29+K36+K43+K45+K47+K49+K51+K56+K61+K66</f>
        <v>880096</v>
      </c>
      <c r="L82" s="91">
        <f>L16+L24+L29+L36+L43+L45+L47+L49</f>
        <v>0</v>
      </c>
      <c r="M82" s="92">
        <f>SUM(M72:M81)+M16+M24+M29+M36+M43+M45+M47+M49+M51+M56+M61+M66</f>
        <v>-319990.25000000309</v>
      </c>
      <c r="N82" s="91">
        <f>N16+N24+N29+N36+N43+N45+N47+N49</f>
        <v>0</v>
      </c>
      <c r="O82" s="92">
        <f>SUM(O72:O81)+O16+O24+O29+O36+O43+O45+O47+O49+O51+O56+O61+O66</f>
        <v>453545.87999999995</v>
      </c>
      <c r="P82" s="91">
        <f>P16+P24+P29+P36+P43+P45+P47+P49</f>
        <v>0</v>
      </c>
      <c r="Q82" s="92">
        <f>SUM(Q72:Q81)+Q16+Q24+Q29+Q36+Q43+Q45+Q47+Q49+Q51+Q56+Q61+Q66</f>
        <v>-1241161.3499999996</v>
      </c>
      <c r="R82" s="91">
        <f>R16+R24+R29+R36+R43+R45+R47+R49</f>
        <v>0</v>
      </c>
      <c r="S82" s="92">
        <f>SUM(S72:S81)+S16+S24+S29+S36+S43+S45+S47+S49+S51+S56+S61+S66</f>
        <v>-2633.2799999999988</v>
      </c>
      <c r="T82" s="91">
        <f>T16+T24+T29+T36+T43+T45+T47+T49</f>
        <v>0</v>
      </c>
      <c r="U82" s="92">
        <f>SUM(U72:U81)+U16+U24+U29+U36+U43+U45+U47+U49+U51+U56+U61+U66</f>
        <v>5.77</v>
      </c>
      <c r="V82" s="91">
        <f>V16+V24+V29+V36+V43+V45+V47+V49</f>
        <v>0</v>
      </c>
      <c r="W82" s="92">
        <f>SUM(W72:W81)+W16+W24+W29+W36+W43+W45+W47+W49+W51+W56+W61+W66</f>
        <v>97271.089999999851</v>
      </c>
      <c r="X82" s="91">
        <f>X16+X24+X29+X36+X43+X45+X47+X49</f>
        <v>0</v>
      </c>
      <c r="Y82" s="92">
        <f>SUM(Y72:Y81)+Y16+Y24+Y29+Y36+Y43+Y45+Y47+Y49+Y51+Y56+Y61+Y66</f>
        <v>-57717.5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87"/>
  <sheetViews>
    <sheetView zoomScale="75" workbookViewId="0">
      <pane xSplit="3" ySplit="9" topLeftCell="U57" activePane="bottomRight" state="frozen"/>
      <selection activeCell="AB9" sqref="AB9"/>
      <selection pane="topRight" activeCell="AB9" sqref="AB9"/>
      <selection pane="bottomLeft" activeCell="AB9" sqref="AB9"/>
      <selection pane="bottomRight" activeCell="AC90" sqref="AC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93888118</v>
      </c>
      <c r="E11" s="38">
        <f>SUM(G11,I11,K11,M11,O11,Q11,S11,U11,W11,Y11,AA11,AC11,AE11)</f>
        <v>278253695.03999996</v>
      </c>
      <c r="F11" s="60">
        <f>'TIE-OUT'!J11+RECLASS!H11</f>
        <v>0</v>
      </c>
      <c r="G11" s="38">
        <f>'TIE-OUT'!K11+RECLASS!I11</f>
        <v>642355</v>
      </c>
      <c r="H11" s="127">
        <f>+Actuals!E164</f>
        <v>93360463</v>
      </c>
      <c r="I11" s="128">
        <f>+Actuals!F164</f>
        <v>276786783.24000001</v>
      </c>
      <c r="J11" s="127">
        <f>+Actuals!G164</f>
        <v>-442153</v>
      </c>
      <c r="K11" s="147">
        <f>+Actuals!H164</f>
        <v>-1456520.35</v>
      </c>
      <c r="L11" s="127">
        <f>+Actuals!I244</f>
        <v>465463</v>
      </c>
      <c r="M11" s="128">
        <f>+Actuals!J244</f>
        <v>1367576.43</v>
      </c>
      <c r="N11" s="127">
        <f>+Actuals!K244</f>
        <v>-131</v>
      </c>
      <c r="O11" s="128">
        <f>+Actuals!L244</f>
        <v>-909961.29</v>
      </c>
      <c r="P11" s="127">
        <f>+Actuals!M244</f>
        <v>858000</v>
      </c>
      <c r="Q11" s="128">
        <f>+Actuals!N244</f>
        <v>3159099.43</v>
      </c>
      <c r="R11" s="127">
        <f>+Actuals!O244</f>
        <v>705</v>
      </c>
      <c r="S11" s="128">
        <f>+Actuals!P244</f>
        <v>2413.2399999999998</v>
      </c>
      <c r="T11" s="127">
        <f>+Actuals!Q244</f>
        <v>-37422</v>
      </c>
      <c r="U11" s="128">
        <f>+Actuals!R244</f>
        <v>20232.68</v>
      </c>
      <c r="V11" s="127">
        <f>+Actuals!S244</f>
        <v>-182220</v>
      </c>
      <c r="W11" s="128">
        <f>+Actuals!T244</f>
        <v>-987685.7</v>
      </c>
      <c r="X11" s="127">
        <v>-58204</v>
      </c>
      <c r="Y11" s="128">
        <v>-181724.54</v>
      </c>
      <c r="Z11" s="127">
        <v>-76383</v>
      </c>
      <c r="AA11" s="128">
        <v>-192468.13</v>
      </c>
      <c r="AB11" s="127">
        <f>+Actuals!Y164</f>
        <v>0</v>
      </c>
      <c r="AC11" s="128">
        <v>3595.03</v>
      </c>
      <c r="AD11" s="127">
        <f>+Actuals!AA164</f>
        <v>0</v>
      </c>
      <c r="AE11" s="128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-2225151.9700000002</v>
      </c>
      <c r="F12" s="60">
        <f>'TIE-OUT'!J12+RECLASS!H12</f>
        <v>0</v>
      </c>
      <c r="G12" s="38">
        <f>'TIE-OUT'!K12+RECLASS!I12</f>
        <v>-2225151.9700000002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47">
        <f>+Actuals!H165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34376354</v>
      </c>
      <c r="E13" s="38">
        <f t="shared" si="0"/>
        <v>87323206</v>
      </c>
      <c r="F13" s="60">
        <f>'TIE-OUT'!J13+RECLASS!H13</f>
        <v>0</v>
      </c>
      <c r="G13" s="38">
        <f>'TIE-OUT'!K13+RECLASS!I13</f>
        <v>0</v>
      </c>
      <c r="H13" s="127">
        <f>+Actuals!E166</f>
        <v>34376354</v>
      </c>
      <c r="I13" s="128">
        <f>+Actuals!F166</f>
        <v>87323206</v>
      </c>
      <c r="J13" s="127">
        <f>+Actuals!G166</f>
        <v>-19576381</v>
      </c>
      <c r="K13" s="147">
        <f>+Actuals!H166</f>
        <v>-47106549</v>
      </c>
      <c r="L13" s="127">
        <f>+Actuals!I246</f>
        <v>34376354</v>
      </c>
      <c r="M13" s="128">
        <f>+Actuals!J246</f>
        <v>87323206</v>
      </c>
      <c r="N13" s="127">
        <f>+Actuals!K246</f>
        <v>0</v>
      </c>
      <c r="O13" s="128">
        <f>+Actuals!L246</f>
        <v>0</v>
      </c>
      <c r="P13" s="127">
        <f>+Actuals!M246</f>
        <v>-34376354</v>
      </c>
      <c r="Q13" s="128">
        <f>+Actuals!N246</f>
        <v>-87323206</v>
      </c>
      <c r="R13" s="127">
        <f>+Actuals!O246</f>
        <v>0</v>
      </c>
      <c r="S13" s="128">
        <f>+Actuals!P246</f>
        <v>0</v>
      </c>
      <c r="T13" s="127">
        <f>+Actuals!Q246</f>
        <v>0</v>
      </c>
      <c r="U13" s="128">
        <f>+Actuals!R246</f>
        <v>0</v>
      </c>
      <c r="V13" s="127">
        <f>+Actuals!S246</f>
        <v>19576381</v>
      </c>
      <c r="W13" s="128">
        <f>+Actuals!T246</f>
        <v>47106549</v>
      </c>
      <c r="X13" s="127">
        <f>+Actuals!U166</f>
        <v>0</v>
      </c>
      <c r="Y13" s="128">
        <f>+Actuals!V166</f>
        <v>0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911450.15</v>
      </c>
      <c r="F15" s="81">
        <f>'TIE-OUT'!J15+RECLASS!H15</f>
        <v>0</v>
      </c>
      <c r="G15" s="82">
        <f>'TIE-OUT'!K15+RECLASS!I15</f>
        <v>-1689890</v>
      </c>
      <c r="H15" s="127">
        <f>+Actuals!E168</f>
        <v>0</v>
      </c>
      <c r="I15" s="128">
        <f>+Actuals!F168</f>
        <v>1518046.8</v>
      </c>
      <c r="J15" s="127">
        <f>+Actuals!G168</f>
        <v>0</v>
      </c>
      <c r="K15" s="147">
        <f>+Actuals!H168</f>
        <v>939836.14</v>
      </c>
      <c r="L15" s="127">
        <f>+Actuals!I248</f>
        <v>0</v>
      </c>
      <c r="M15" s="128">
        <f>+Actuals!J248</f>
        <v>171933</v>
      </c>
      <c r="N15" s="127">
        <f>+Actuals!K248</f>
        <v>0</v>
      </c>
      <c r="O15" s="128">
        <f>+Actuals!L248</f>
        <v>-18.239999999999998</v>
      </c>
      <c r="P15" s="127">
        <f>+Actuals!M248</f>
        <v>0</v>
      </c>
      <c r="Q15" s="128">
        <f>+Actuals!N248</f>
        <v>-28310.54</v>
      </c>
      <c r="R15" s="127">
        <f>+Actuals!O248</f>
        <v>0</v>
      </c>
      <c r="S15" s="128">
        <f>+Actuals!P248</f>
        <v>-147.01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128264472</v>
      </c>
      <c r="E16" s="39">
        <f t="shared" si="1"/>
        <v>364263199.21999991</v>
      </c>
      <c r="F16" s="61">
        <f t="shared" si="1"/>
        <v>0</v>
      </c>
      <c r="G16" s="39">
        <f t="shared" si="1"/>
        <v>-3272686.97</v>
      </c>
      <c r="H16" s="61">
        <f t="shared" si="1"/>
        <v>127736817</v>
      </c>
      <c r="I16" s="39">
        <f t="shared" si="1"/>
        <v>365628036.04000002</v>
      </c>
      <c r="J16" s="61">
        <f t="shared" si="1"/>
        <v>-20018534</v>
      </c>
      <c r="K16" s="148">
        <f t="shared" si="1"/>
        <v>-47623233.210000001</v>
      </c>
      <c r="L16" s="61">
        <f t="shared" si="1"/>
        <v>34841817</v>
      </c>
      <c r="M16" s="39">
        <f t="shared" si="1"/>
        <v>88862715.430000007</v>
      </c>
      <c r="N16" s="61">
        <f t="shared" ref="N16:S16" si="2">SUM(N11:N15)</f>
        <v>-131</v>
      </c>
      <c r="O16" s="39">
        <f t="shared" si="2"/>
        <v>-909979.53</v>
      </c>
      <c r="P16" s="61">
        <f t="shared" si="2"/>
        <v>-33518354</v>
      </c>
      <c r="Q16" s="39">
        <f t="shared" si="2"/>
        <v>-84192417.109999999</v>
      </c>
      <c r="R16" s="61">
        <f t="shared" si="2"/>
        <v>705</v>
      </c>
      <c r="S16" s="39">
        <f t="shared" si="2"/>
        <v>2266.2299999999996</v>
      </c>
      <c r="T16" s="61">
        <f>SUM(T11:T15)</f>
        <v>-37422</v>
      </c>
      <c r="U16" s="39">
        <f>SUM(U11:U15)</f>
        <v>20232.68</v>
      </c>
      <c r="V16" s="61">
        <f>SUM(V11:V15)</f>
        <v>19394161</v>
      </c>
      <c r="W16" s="39">
        <f>SUM(W11:W15)</f>
        <v>46118863.299999997</v>
      </c>
      <c r="X16" s="61">
        <f t="shared" si="1"/>
        <v>-58204</v>
      </c>
      <c r="Y16" s="39">
        <f t="shared" si="1"/>
        <v>-181724.54</v>
      </c>
      <c r="Z16" s="61">
        <f t="shared" si="1"/>
        <v>-76383</v>
      </c>
      <c r="AA16" s="39">
        <f t="shared" si="1"/>
        <v>-192468.13</v>
      </c>
      <c r="AB16" s="61">
        <f t="shared" si="1"/>
        <v>0</v>
      </c>
      <c r="AC16" s="39">
        <f t="shared" si="1"/>
        <v>3595.03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-102837304</v>
      </c>
      <c r="E19" s="38">
        <f t="shared" si="3"/>
        <v>-307188506.85000002</v>
      </c>
      <c r="F19" s="64">
        <f>'TIE-OUT'!J19+RECLASS!H19</f>
        <v>0</v>
      </c>
      <c r="G19" s="68">
        <f>'TIE-OUT'!K19+RECLASS!I19</f>
        <v>802473</v>
      </c>
      <c r="H19" s="127">
        <f>+Actuals!E169</f>
        <v>-101039259</v>
      </c>
      <c r="I19" s="128">
        <f>+Actuals!F169</f>
        <v>-302986467.86999995</v>
      </c>
      <c r="J19" s="127">
        <f>+Actuals!G169</f>
        <v>-1541524</v>
      </c>
      <c r="K19" s="147">
        <f>+Actuals!H169</f>
        <v>-4440652.42</v>
      </c>
      <c r="L19" s="127">
        <f>+Actuals!I249</f>
        <v>-206017</v>
      </c>
      <c r="M19" s="128">
        <f>+Actuals!J249</f>
        <v>-456333.92</v>
      </c>
      <c r="N19" s="127">
        <f>+Actuals!K249</f>
        <v>-26641</v>
      </c>
      <c r="O19" s="128">
        <f>+Actuals!L249</f>
        <v>-6258.89</v>
      </c>
      <c r="P19" s="127">
        <f>+Actuals!M249</f>
        <v>-86825</v>
      </c>
      <c r="Q19" s="128">
        <f>+Actuals!N249</f>
        <v>-156103.67999999999</v>
      </c>
      <c r="R19" s="127">
        <f>+Actuals!O249</f>
        <v>-280344</v>
      </c>
      <c r="S19" s="128">
        <f>+Actuals!P249</f>
        <v>-798423.94</v>
      </c>
      <c r="T19" s="127">
        <f>+Actuals!Q249</f>
        <v>317094</v>
      </c>
      <c r="U19" s="128">
        <f>+Actuals!R249</f>
        <v>796596.33</v>
      </c>
      <c r="V19" s="127">
        <f>+Actuals!S249</f>
        <v>22885</v>
      </c>
      <c r="W19" s="128">
        <f>+Actuals!T249</f>
        <v>54158.02</v>
      </c>
      <c r="X19" s="127">
        <f>+Actuals!U169</f>
        <v>0</v>
      </c>
      <c r="Y19" s="128">
        <f>+Actuals!V169</f>
        <v>0</v>
      </c>
      <c r="Z19" s="127">
        <f>+Actuals!W169</f>
        <v>0</v>
      </c>
      <c r="AA19" s="128">
        <v>38.4</v>
      </c>
      <c r="AB19" s="127">
        <v>3327</v>
      </c>
      <c r="AC19" s="128">
        <v>2468.12</v>
      </c>
      <c r="AD19" s="127">
        <f>+Actuals!AA169</f>
        <v>0</v>
      </c>
      <c r="AE19" s="128">
        <f>+Actuals!AB169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-1893012.96</v>
      </c>
      <c r="F20" s="60">
        <f>'TIE-OUT'!J20+RECLASS!H20</f>
        <v>0</v>
      </c>
      <c r="G20" s="38">
        <f>'TIE-OUT'!K20+RECLASS!I20</f>
        <v>-2295775.98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</f>
        <v>0</v>
      </c>
      <c r="L20" s="127">
        <f>+Actuals!I250</f>
        <v>0</v>
      </c>
      <c r="M20" s="155">
        <f>-31499.58+434262.6</f>
        <v>402763.01999999996</v>
      </c>
      <c r="N20" s="127">
        <f>+Actuals!K250</f>
        <v>0</v>
      </c>
      <c r="O20" s="155"/>
      <c r="P20" s="127">
        <f>+Actuals!M250</f>
        <v>0</v>
      </c>
      <c r="Q20" s="128"/>
      <c r="R20" s="127">
        <f>+Actuals!O250</f>
        <v>0</v>
      </c>
      <c r="S20" s="128"/>
      <c r="T20" s="127">
        <f>+Actuals!Q250</f>
        <v>0</v>
      </c>
      <c r="U20" s="128"/>
      <c r="V20" s="127">
        <f>+Actuals!S250</f>
        <v>0</v>
      </c>
      <c r="W20" s="128"/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-30932657</v>
      </c>
      <c r="E21" s="38">
        <f t="shared" si="3"/>
        <v>-78373609</v>
      </c>
      <c r="F21" s="60">
        <f>'TIE-OUT'!J21+RECLASS!H21</f>
        <v>0</v>
      </c>
      <c r="G21" s="38">
        <f>'TIE-OUT'!K21+RECLASS!I21</f>
        <v>0</v>
      </c>
      <c r="H21" s="127">
        <f>+Actuals!E171</f>
        <v>-30773458</v>
      </c>
      <c r="I21" s="128">
        <f>+Actuals!F171</f>
        <v>-78033680</v>
      </c>
      <c r="J21" s="127">
        <f>+Actuals!G171</f>
        <v>19171751</v>
      </c>
      <c r="K21" s="147">
        <f>+Actuals!H171</f>
        <v>46313617</v>
      </c>
      <c r="L21" s="127">
        <f>+Actuals!I251</f>
        <v>-30773458</v>
      </c>
      <c r="M21" s="128">
        <f>+Actuals!J251</f>
        <v>-78033680</v>
      </c>
      <c r="N21" s="127">
        <f>+Actuals!K251</f>
        <v>0</v>
      </c>
      <c r="O21" s="128">
        <f>+Actuals!L251</f>
        <v>0</v>
      </c>
      <c r="P21" s="127">
        <f>+Actuals!M251</f>
        <v>30773458</v>
      </c>
      <c r="Q21" s="128">
        <f>+Actuals!N251</f>
        <v>78033680</v>
      </c>
      <c r="R21" s="127">
        <f>+Actuals!O251</f>
        <v>-525</v>
      </c>
      <c r="S21" s="128">
        <f>+Actuals!P251</f>
        <v>-1312</v>
      </c>
      <c r="T21" s="127">
        <f>+Actuals!Q251</f>
        <v>0</v>
      </c>
      <c r="U21" s="128">
        <f>+Actuals!R251</f>
        <v>0</v>
      </c>
      <c r="V21" s="127">
        <f>+Actuals!S251</f>
        <v>-19330425</v>
      </c>
      <c r="W21" s="128">
        <f>+Actuals!T251</f>
        <v>-46652234</v>
      </c>
      <c r="X21" s="127">
        <f>+Actuals!U171</f>
        <v>0</v>
      </c>
      <c r="Y21" s="128">
        <f>+Actuals!V171</f>
        <v>0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183062</v>
      </c>
      <c r="E23" s="38">
        <f t="shared" si="3"/>
        <v>2253570.9050000003</v>
      </c>
      <c r="F23" s="81">
        <f>'TIE-OUT'!J23+RECLASS!H23</f>
        <v>0</v>
      </c>
      <c r="G23" s="82">
        <f>'TIE-OUT'!K23+RECLASS!I23</f>
        <v>0</v>
      </c>
      <c r="H23" s="127">
        <f>+Actuals!E173</f>
        <v>897680</v>
      </c>
      <c r="I23" s="128">
        <f>+Actuals!F173</f>
        <v>2769342.8</v>
      </c>
      <c r="J23" s="127">
        <f>+Actuals!G173</f>
        <v>484</v>
      </c>
      <c r="K23" s="147">
        <f>+Actuals!H173</f>
        <v>1493.14</v>
      </c>
      <c r="L23" s="127">
        <f>+Actuals!I253</f>
        <v>6747</v>
      </c>
      <c r="M23" s="128">
        <f>+Actuals!J253</f>
        <v>20814.494999999999</v>
      </c>
      <c r="N23" s="127">
        <f>+Actuals!K253</f>
        <v>-547433</v>
      </c>
      <c r="O23" s="128">
        <f>+Actuals!L253</f>
        <v>-6.17</v>
      </c>
      <c r="P23" s="127">
        <f>+Actuals!M253</f>
        <v>2746</v>
      </c>
      <c r="Q23" s="128">
        <f>+Actuals!N253</f>
        <v>8471.41</v>
      </c>
      <c r="R23" s="127">
        <f>+Actuals!O253</f>
        <v>-188208</v>
      </c>
      <c r="S23" s="128">
        <f>+Actuals!P253</f>
        <v>-580621.68000000005</v>
      </c>
      <c r="T23" s="127">
        <f>+Actuals!Q253</f>
        <v>10298</v>
      </c>
      <c r="U23" s="128">
        <f>+Actuals!R253</f>
        <v>31769.33</v>
      </c>
      <c r="V23" s="127">
        <f>+Actuals!S253</f>
        <v>0</v>
      </c>
      <c r="W23" s="128">
        <f>+Actuals!T253</f>
        <v>0</v>
      </c>
      <c r="X23" s="127">
        <f>+Actuals!U173</f>
        <v>0</v>
      </c>
      <c r="Y23" s="128">
        <f>+Actuals!V173</f>
        <v>0</v>
      </c>
      <c r="Z23" s="127">
        <v>764</v>
      </c>
      <c r="AA23" s="128">
        <v>2356.94</v>
      </c>
      <c r="AB23" s="127">
        <v>-16</v>
      </c>
      <c r="AC23" s="128">
        <v>-49.36</v>
      </c>
      <c r="AD23" s="127">
        <f>+Actuals!AA173</f>
        <v>0</v>
      </c>
      <c r="AE23" s="128">
        <f>+Actuals!AB173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-133586899</v>
      </c>
      <c r="E24" s="39">
        <f t="shared" si="4"/>
        <v>-385201557.90500003</v>
      </c>
      <c r="F24" s="61">
        <f t="shared" si="4"/>
        <v>0</v>
      </c>
      <c r="G24" s="39">
        <f t="shared" si="4"/>
        <v>-1493302.98</v>
      </c>
      <c r="H24" s="61">
        <f t="shared" si="4"/>
        <v>-130915037</v>
      </c>
      <c r="I24" s="39">
        <f t="shared" si="4"/>
        <v>-378250805.06999993</v>
      </c>
      <c r="J24" s="61">
        <f t="shared" si="4"/>
        <v>17630711</v>
      </c>
      <c r="K24" s="148">
        <f t="shared" si="4"/>
        <v>41874457.719999999</v>
      </c>
      <c r="L24" s="61">
        <f t="shared" si="4"/>
        <v>-30972728</v>
      </c>
      <c r="M24" s="39">
        <f t="shared" si="4"/>
        <v>-78066436.405000001</v>
      </c>
      <c r="N24" s="61">
        <f t="shared" ref="N24:S24" si="5">SUM(N19:N23)</f>
        <v>-574074</v>
      </c>
      <c r="O24" s="39">
        <f t="shared" si="5"/>
        <v>-6265.06</v>
      </c>
      <c r="P24" s="61">
        <f t="shared" si="5"/>
        <v>30689379</v>
      </c>
      <c r="Q24" s="39">
        <f t="shared" si="5"/>
        <v>77886047.729999989</v>
      </c>
      <c r="R24" s="61">
        <f t="shared" si="5"/>
        <v>-469077</v>
      </c>
      <c r="S24" s="39">
        <f t="shared" si="5"/>
        <v>-1380357.62</v>
      </c>
      <c r="T24" s="61">
        <f>SUM(T19:T23)</f>
        <v>327392</v>
      </c>
      <c r="U24" s="39">
        <f>SUM(U19:U23)</f>
        <v>828365.65999999992</v>
      </c>
      <c r="V24" s="61">
        <f>SUM(V19:V23)</f>
        <v>-19307540</v>
      </c>
      <c r="W24" s="39">
        <f>SUM(W19:W23)</f>
        <v>-46598075.979999997</v>
      </c>
      <c r="X24" s="61">
        <f t="shared" si="4"/>
        <v>0</v>
      </c>
      <c r="Y24" s="39">
        <f t="shared" si="4"/>
        <v>0</v>
      </c>
      <c r="Z24" s="61">
        <f t="shared" si="4"/>
        <v>764</v>
      </c>
      <c r="AA24" s="39">
        <f t="shared" si="4"/>
        <v>2395.34</v>
      </c>
      <c r="AB24" s="61">
        <f t="shared" si="4"/>
        <v>3311</v>
      </c>
      <c r="AC24" s="39">
        <f t="shared" si="4"/>
        <v>2418.7599999999998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8861237</v>
      </c>
      <c r="E27" s="38">
        <f>SUM(G27,I27,K27,M27,O27,Q27,S27,U27,W27,Y27,AA27,AC27,AE27)</f>
        <v>20769563.840000004</v>
      </c>
      <c r="F27" s="64">
        <f>'TIE-OUT'!J27+RECLASS!H27</f>
        <v>0</v>
      </c>
      <c r="G27" s="68">
        <f>'TIE-OUT'!K27+RECLASS!I27</f>
        <v>0</v>
      </c>
      <c r="H27" s="127">
        <f>+Actuals!E174</f>
        <v>8861094</v>
      </c>
      <c r="I27" s="128">
        <f>+Actuals!F174</f>
        <v>20769284.990000002</v>
      </c>
      <c r="J27" s="127">
        <f>+Actuals!G174</f>
        <v>143</v>
      </c>
      <c r="K27" s="147">
        <f>+Actuals!H174</f>
        <v>278.85000000000002</v>
      </c>
      <c r="L27" s="127">
        <f>+Actuals!I254</f>
        <v>0</v>
      </c>
      <c r="M27" s="128">
        <f>+Actuals!J254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-3820602</v>
      </c>
      <c r="E28" s="38">
        <f>SUM(G28,I28,K28,M28,O28,Q28,S28,U28,W28,Y28,AA28,AC28,AE28)</f>
        <v>-9190572.2399999984</v>
      </c>
      <c r="F28" s="81">
        <f>'TIE-OUT'!J28+RECLASS!H28</f>
        <v>0</v>
      </c>
      <c r="G28" s="82">
        <f>'TIE-OUT'!K28+RECLASS!I28</f>
        <v>0</v>
      </c>
      <c r="H28" s="127">
        <f>+Actuals!E175</f>
        <v>-3827753</v>
      </c>
      <c r="I28" s="128">
        <f>+Actuals!F175</f>
        <v>-9206467.5099999998</v>
      </c>
      <c r="J28" s="127">
        <f>+Actuals!G175</f>
        <v>661105</v>
      </c>
      <c r="K28" s="147">
        <f>+Actuals!H175</f>
        <v>1476415.66</v>
      </c>
      <c r="L28" s="127">
        <f>+Actuals!I255</f>
        <v>-1597</v>
      </c>
      <c r="M28" s="128">
        <f>+Actuals!J255</f>
        <v>-4495.5600000000004</v>
      </c>
      <c r="N28" s="127">
        <f>+Actuals!K255</f>
        <v>-661187</v>
      </c>
      <c r="O28" s="128">
        <f>+Actuals!L255</f>
        <v>-1424576.24</v>
      </c>
      <c r="P28" s="127">
        <f>+Actuals!M255</f>
        <v>120369</v>
      </c>
      <c r="Q28" s="128">
        <f>+Actuals!N255</f>
        <v>279644.07</v>
      </c>
      <c r="R28" s="127">
        <f>+Actuals!O255</f>
        <v>0</v>
      </c>
      <c r="S28" s="128">
        <f>+Actuals!P255</f>
        <v>0</v>
      </c>
      <c r="T28" s="127">
        <f>+Actuals!Q255</f>
        <v>-111539</v>
      </c>
      <c r="U28" s="128">
        <f>+Actuals!R255</f>
        <v>-311092.65999999997</v>
      </c>
      <c r="V28" s="127">
        <f>+Actuals!S255</f>
        <v>0</v>
      </c>
      <c r="W28" s="128">
        <f>+Actuals!T255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5040635</v>
      </c>
      <c r="E29" s="39">
        <f t="shared" si="6"/>
        <v>11578991.600000005</v>
      </c>
      <c r="F29" s="61">
        <f t="shared" si="6"/>
        <v>0</v>
      </c>
      <c r="G29" s="39">
        <f t="shared" si="6"/>
        <v>0</v>
      </c>
      <c r="H29" s="61">
        <f t="shared" si="6"/>
        <v>5033341</v>
      </c>
      <c r="I29" s="39">
        <f t="shared" si="6"/>
        <v>11562817.480000002</v>
      </c>
      <c r="J29" s="61">
        <f t="shared" si="6"/>
        <v>661248</v>
      </c>
      <c r="K29" s="148">
        <f t="shared" si="6"/>
        <v>1476694.51</v>
      </c>
      <c r="L29" s="61">
        <f t="shared" si="6"/>
        <v>-1597</v>
      </c>
      <c r="M29" s="39">
        <f t="shared" si="6"/>
        <v>-4495.5600000000004</v>
      </c>
      <c r="N29" s="61">
        <f t="shared" ref="N29:S29" si="7">SUM(N27:N28)</f>
        <v>-661187</v>
      </c>
      <c r="O29" s="39">
        <f t="shared" si="7"/>
        <v>-1424576.24</v>
      </c>
      <c r="P29" s="61">
        <f t="shared" si="7"/>
        <v>120369</v>
      </c>
      <c r="Q29" s="39">
        <f t="shared" si="7"/>
        <v>279644.07</v>
      </c>
      <c r="R29" s="61">
        <f t="shared" si="7"/>
        <v>0</v>
      </c>
      <c r="S29" s="39">
        <f t="shared" si="7"/>
        <v>0</v>
      </c>
      <c r="T29" s="61">
        <f>SUM(T27:T28)</f>
        <v>-111539</v>
      </c>
      <c r="U29" s="39">
        <f>SUM(U27:U28)</f>
        <v>-311092.65999999997</v>
      </c>
      <c r="V29" s="61">
        <f>SUM(V27:V28)</f>
        <v>0</v>
      </c>
      <c r="W29" s="39">
        <f>SUM(W27:W28)</f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-153938</v>
      </c>
      <c r="E32" s="38">
        <f t="shared" si="8"/>
        <v>-474898.73000000021</v>
      </c>
      <c r="F32" s="64">
        <f>'TIE-OUT'!J32+RECLASS!H32</f>
        <v>0</v>
      </c>
      <c r="G32" s="68">
        <f>'TIE-OUT'!K32+RECLASS!I32</f>
        <v>0</v>
      </c>
      <c r="H32" s="127">
        <f>+Actuals!E176</f>
        <v>-462848</v>
      </c>
      <c r="I32" s="128">
        <f>+Actuals!F176</f>
        <v>-1427886.0800000001</v>
      </c>
      <c r="J32" s="127">
        <f>+Actuals!G176</f>
        <v>-194425</v>
      </c>
      <c r="K32" s="147">
        <f>+Actuals!H176</f>
        <v>-599801.125</v>
      </c>
      <c r="L32" s="127">
        <f>+Actuals!I256</f>
        <v>15140</v>
      </c>
      <c r="M32" s="128">
        <f>+Actuals!J256</f>
        <v>46706.9</v>
      </c>
      <c r="N32" s="127">
        <f>+Actuals!K256</f>
        <v>21988</v>
      </c>
      <c r="O32" s="128">
        <f>+Actuals!L256</f>
        <v>67832.98</v>
      </c>
      <c r="P32" s="127">
        <f>+Actuals!M256</f>
        <v>-537</v>
      </c>
      <c r="Q32" s="128">
        <f>+Actuals!N256</f>
        <v>-1656.645</v>
      </c>
      <c r="R32" s="127">
        <f>+Actuals!O256</f>
        <v>188450</v>
      </c>
      <c r="S32" s="128">
        <f>+Actuals!P256</f>
        <v>581368.25</v>
      </c>
      <c r="T32" s="127">
        <f>+Actuals!Q256</f>
        <v>243537</v>
      </c>
      <c r="U32" s="128">
        <f>+Actuals!R256</f>
        <v>751311.64500000002</v>
      </c>
      <c r="V32" s="127">
        <f>+Actuals!S256</f>
        <v>159153</v>
      </c>
      <c r="W32" s="128">
        <f>+Actuals!T256</f>
        <v>490987.005</v>
      </c>
      <c r="X32" s="127">
        <v>55639</v>
      </c>
      <c r="Y32" s="128">
        <v>171646.32</v>
      </c>
      <c r="Z32" s="127">
        <v>-179309</v>
      </c>
      <c r="AA32" s="128">
        <v>-553168.27</v>
      </c>
      <c r="AB32" s="127">
        <v>-726</v>
      </c>
      <c r="AC32" s="128">
        <v>-2239.71</v>
      </c>
      <c r="AD32" s="127">
        <f>+Actuals!AA176</f>
        <v>0</v>
      </c>
      <c r="AE32" s="128">
        <f>+Actuals!AB176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-157067</v>
      </c>
      <c r="E33" s="38">
        <f t="shared" si="8"/>
        <v>-591956.32999999996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-154948</v>
      </c>
      <c r="K33" s="147">
        <f>+Actuals!H177</f>
        <v>-523240.24</v>
      </c>
      <c r="L33" s="127">
        <f>+Actuals!I257</f>
        <v>-1180</v>
      </c>
      <c r="M33" s="128">
        <f>+Actuals!J257</f>
        <v>-2919.67</v>
      </c>
      <c r="N33" s="127">
        <f>+Actuals!K257</f>
        <v>0</v>
      </c>
      <c r="O33" s="128">
        <f>+Actuals!L257</f>
        <v>-31247.57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-32149.71</v>
      </c>
      <c r="T33" s="127">
        <f>+Actuals!Q257</f>
        <v>-939</v>
      </c>
      <c r="U33" s="128">
        <f>+Actuals!R257</f>
        <v>-2399.14</v>
      </c>
      <c r="V33" s="127">
        <f>+Actuals!S257</f>
        <v>0</v>
      </c>
      <c r="W33" s="128">
        <f>+Actuals!T257</f>
        <v>0</v>
      </c>
      <c r="X33" s="127">
        <f>+Actuals!U177</f>
        <v>0</v>
      </c>
      <c r="Y33" s="128">
        <f>+Actuals!V177</f>
        <v>0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108621</v>
      </c>
      <c r="E34" s="38">
        <f t="shared" si="8"/>
        <v>246712.02000000002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74745</v>
      </c>
      <c r="K34" s="147">
        <f>+Actuals!H178</f>
        <v>182871.79</v>
      </c>
      <c r="L34" s="127">
        <f>+Actuals!I258</f>
        <v>3894</v>
      </c>
      <c r="M34" s="128">
        <f>+Actuals!J258</f>
        <v>8879.93</v>
      </c>
      <c r="N34" s="127">
        <f>+Actuals!K258</f>
        <v>4054</v>
      </c>
      <c r="O34" s="128">
        <f>+Actuals!L258</f>
        <v>9814.73</v>
      </c>
      <c r="P34" s="127">
        <f>+Actuals!M258</f>
        <v>5089</v>
      </c>
      <c r="Q34" s="128">
        <f>+Actuals!N258</f>
        <v>12529.13</v>
      </c>
      <c r="R34" s="127">
        <f>+Actuals!O258</f>
        <v>20657</v>
      </c>
      <c r="S34" s="128">
        <f>+Actuals!P258</f>
        <v>32149.71</v>
      </c>
      <c r="T34" s="127">
        <f>+Actuals!Q258</f>
        <v>0</v>
      </c>
      <c r="U34" s="128">
        <f>+Actuals!R258</f>
        <v>0</v>
      </c>
      <c r="V34" s="127">
        <f>+Actuals!S258</f>
        <v>182</v>
      </c>
      <c r="W34" s="128">
        <f>+Actuals!T258</f>
        <v>466.73</v>
      </c>
      <c r="X34" s="127">
        <f>+Actuals!U178</f>
        <v>0</v>
      </c>
      <c r="Y34" s="128">
        <f>+Actuals!V178</f>
        <v>0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507378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507378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304994</v>
      </c>
      <c r="E36" s="39">
        <f t="shared" si="9"/>
        <v>-820143.04</v>
      </c>
      <c r="F36" s="61">
        <f t="shared" si="9"/>
        <v>0</v>
      </c>
      <c r="G36" s="39">
        <f t="shared" si="9"/>
        <v>0</v>
      </c>
      <c r="H36" s="61">
        <f t="shared" si="9"/>
        <v>-462848</v>
      </c>
      <c r="I36" s="39">
        <f t="shared" si="9"/>
        <v>-1427886.0800000001</v>
      </c>
      <c r="J36" s="61">
        <f t="shared" si="9"/>
        <v>-274628</v>
      </c>
      <c r="K36" s="148">
        <f t="shared" si="9"/>
        <v>-940169.57499999995</v>
      </c>
      <c r="L36" s="61">
        <f t="shared" si="9"/>
        <v>17854</v>
      </c>
      <c r="M36" s="39">
        <f t="shared" si="9"/>
        <v>52667.16</v>
      </c>
      <c r="N36" s="61">
        <f t="shared" ref="N36:S36" si="10">SUM(N32:N35)</f>
        <v>26042</v>
      </c>
      <c r="O36" s="39">
        <f t="shared" si="10"/>
        <v>46400.14</v>
      </c>
      <c r="P36" s="61">
        <f t="shared" si="10"/>
        <v>511930</v>
      </c>
      <c r="Q36" s="39">
        <f t="shared" si="10"/>
        <v>10872.484999999999</v>
      </c>
      <c r="R36" s="61">
        <f t="shared" si="10"/>
        <v>209107</v>
      </c>
      <c r="S36" s="39">
        <f t="shared" si="10"/>
        <v>581368.25</v>
      </c>
      <c r="T36" s="61">
        <f>SUM(T32:T35)</f>
        <v>242598</v>
      </c>
      <c r="U36" s="39">
        <f>SUM(U32:U35)</f>
        <v>748912.505</v>
      </c>
      <c r="V36" s="61">
        <f>SUM(V32:V35)</f>
        <v>159335</v>
      </c>
      <c r="W36" s="39">
        <f>SUM(W32:W35)</f>
        <v>491453.73499999999</v>
      </c>
      <c r="X36" s="61">
        <f t="shared" si="9"/>
        <v>55639</v>
      </c>
      <c r="Y36" s="39">
        <f t="shared" si="9"/>
        <v>171646.32</v>
      </c>
      <c r="Z36" s="61">
        <f t="shared" si="9"/>
        <v>-179309</v>
      </c>
      <c r="AA36" s="39">
        <f t="shared" si="9"/>
        <v>-553168.27</v>
      </c>
      <c r="AB36" s="61">
        <f t="shared" si="9"/>
        <v>-726</v>
      </c>
      <c r="AC36" s="39">
        <f t="shared" si="9"/>
        <v>-2239.71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0.12999999988824129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507378</v>
      </c>
      <c r="K39" s="147">
        <f>+Actuals!H180</f>
        <v>1565261.13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+Actuals!M260</f>
        <v>-507378</v>
      </c>
      <c r="Q39" s="128">
        <f>+Actuals!N260</f>
        <v>-1565261</v>
      </c>
      <c r="R39" s="127">
        <f>+Actuals!O260</f>
        <v>0</v>
      </c>
      <c r="S39" s="128">
        <f>+Actuals!P260</f>
        <v>0</v>
      </c>
      <c r="T39" s="127">
        <f>+Actuals!Q260</f>
        <v>0</v>
      </c>
      <c r="U39" s="128">
        <f>+Actuals!R260</f>
        <v>0</v>
      </c>
      <c r="V39" s="127">
        <f>+Actuals!S260</f>
        <v>0</v>
      </c>
      <c r="W39" s="128">
        <f>+Actuals!T260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-26878</v>
      </c>
      <c r="E40" s="38">
        <f t="shared" si="11"/>
        <v>-1027886.0900000001</v>
      </c>
      <c r="F40" s="60">
        <f>'TIE-OUT'!J40+RECLASS!H40</f>
        <v>0</v>
      </c>
      <c r="G40" s="38">
        <f>'TIE-OUT'!K40+RECLASS!I40</f>
        <v>-964410</v>
      </c>
      <c r="H40" s="127">
        <f>+Actuals!E181</f>
        <v>0</v>
      </c>
      <c r="I40" s="128">
        <f>+Actuals!F181</f>
        <v>0</v>
      </c>
      <c r="J40" s="127">
        <f>+Actuals!G181</f>
        <v>-35314</v>
      </c>
      <c r="K40" s="147">
        <f>+Actuals!H181</f>
        <v>-89884.79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9200</v>
      </c>
      <c r="Q40" s="128">
        <f>+Actuals!N261</f>
        <v>28382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+Actuals!U181</f>
        <v>0</v>
      </c>
      <c r="Y40" s="128">
        <f>+Actuals!V181</f>
        <v>0</v>
      </c>
      <c r="Z40" s="127">
        <v>-764</v>
      </c>
      <c r="AA40" s="128">
        <v>-1973.3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-26878</v>
      </c>
      <c r="E42" s="39">
        <f t="shared" si="12"/>
        <v>-1027886.0900000001</v>
      </c>
      <c r="F42" s="61">
        <f t="shared" si="12"/>
        <v>0</v>
      </c>
      <c r="G42" s="39">
        <f t="shared" si="12"/>
        <v>-964410</v>
      </c>
      <c r="H42" s="61">
        <f t="shared" si="12"/>
        <v>0</v>
      </c>
      <c r="I42" s="39">
        <f t="shared" si="12"/>
        <v>0</v>
      </c>
      <c r="J42" s="61">
        <f t="shared" si="12"/>
        <v>-35314</v>
      </c>
      <c r="K42" s="148">
        <f t="shared" si="12"/>
        <v>-89884.79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9200</v>
      </c>
      <c r="Q42" s="39">
        <f t="shared" si="13"/>
        <v>28382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-764</v>
      </c>
      <c r="AA42" s="39">
        <f t="shared" si="12"/>
        <v>-1973.3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-26878</v>
      </c>
      <c r="E43" s="39">
        <f t="shared" si="14"/>
        <v>-1027885.9600000002</v>
      </c>
      <c r="F43" s="61">
        <f t="shared" si="14"/>
        <v>0</v>
      </c>
      <c r="G43" s="39">
        <f t="shared" si="14"/>
        <v>-964410</v>
      </c>
      <c r="H43" s="61">
        <f t="shared" si="14"/>
        <v>0</v>
      </c>
      <c r="I43" s="39">
        <f t="shared" si="14"/>
        <v>0</v>
      </c>
      <c r="J43" s="61">
        <f t="shared" si="14"/>
        <v>472064</v>
      </c>
      <c r="K43" s="148">
        <f t="shared" si="14"/>
        <v>1475376.3399999999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-498178</v>
      </c>
      <c r="Q43" s="39">
        <f t="shared" si="15"/>
        <v>-1536879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-764</v>
      </c>
      <c r="AA43" s="39">
        <f t="shared" si="14"/>
        <v>-1973.3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3676</v>
      </c>
      <c r="E49" s="38">
        <f>SUM(G49,I49,K49,M49,O49,Q49,S49,U49,W49,Y49,AA49,AC49,AE49)</f>
        <v>11340.459999998897</v>
      </c>
      <c r="F49" s="60">
        <f>'TIE-OUT'!J49+RECLASS!H49</f>
        <v>0</v>
      </c>
      <c r="G49" s="38">
        <f>'TIE-OUT'!K49+RECLASS!I49</f>
        <v>0</v>
      </c>
      <c r="H49" s="127">
        <f>+Actuals!E185</f>
        <v>-1392273</v>
      </c>
      <c r="I49" s="128">
        <f>+Actuals!F185</f>
        <v>-4295162.2050000001</v>
      </c>
      <c r="J49" s="127">
        <f>+Actuals!G185</f>
        <v>1529139</v>
      </c>
      <c r="K49" s="147">
        <f>+Actuals!H185</f>
        <v>4717393.8150000004</v>
      </c>
      <c r="L49" s="127">
        <f>+Actuals!I265</f>
        <v>-3885346</v>
      </c>
      <c r="M49" s="128">
        <f>+Actuals!J265</f>
        <v>-11986292.41</v>
      </c>
      <c r="N49" s="127">
        <f>+Actuals!K265</f>
        <v>1209350</v>
      </c>
      <c r="O49" s="128">
        <f>+Actuals!L265</f>
        <v>3730844.75</v>
      </c>
      <c r="P49" s="127">
        <f>+Actuals!M265</f>
        <v>2694854</v>
      </c>
      <c r="Q49" s="128">
        <f>+Actuals!N265</f>
        <v>8313624.5899999999</v>
      </c>
      <c r="R49" s="127">
        <f>+Actuals!O265</f>
        <v>259265</v>
      </c>
      <c r="S49" s="128">
        <f>+Actuals!P265</f>
        <v>799832.52500000002</v>
      </c>
      <c r="T49" s="127">
        <f>+Actuals!Q265</f>
        <v>-421029</v>
      </c>
      <c r="U49" s="128">
        <f>+Actuals!R265</f>
        <v>-1298874.4650000001</v>
      </c>
      <c r="V49" s="127">
        <f>+Actuals!S265</f>
        <v>-245956</v>
      </c>
      <c r="W49" s="128">
        <f>+Actuals!T265</f>
        <v>-758774.26</v>
      </c>
      <c r="X49" s="127">
        <v>2565</v>
      </c>
      <c r="Y49" s="128">
        <v>7913.03</v>
      </c>
      <c r="Z49" s="127">
        <v>255692</v>
      </c>
      <c r="AA49" s="128">
        <v>788809.82</v>
      </c>
      <c r="AB49" s="127">
        <v>-2585</v>
      </c>
      <c r="AC49" s="128">
        <v>-7974.73</v>
      </c>
      <c r="AD49" s="127">
        <f>+Actuals!AA185</f>
        <v>0</v>
      </c>
      <c r="AE49" s="128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-730493</v>
      </c>
      <c r="E51" s="38">
        <f>SUM(G51,I51,K51,M51,O51,Q51,S51,U51,W51,Y51,AA51,AC51,AE51)</f>
        <v>-2253570.9050000003</v>
      </c>
      <c r="F51" s="60">
        <f>'TIE-OUT'!J51+RECLASS!H51</f>
        <v>0</v>
      </c>
      <c r="G51" s="38">
        <f>'TIE-OUT'!K51+RECLASS!I51</f>
        <v>0</v>
      </c>
      <c r="H51" s="127">
        <f>+Actuals!E186</f>
        <v>-897680</v>
      </c>
      <c r="I51" s="128">
        <f>+Actuals!F186</f>
        <v>-2769342.8</v>
      </c>
      <c r="J51" s="127">
        <f>+Actuals!G186</f>
        <v>-484</v>
      </c>
      <c r="K51" s="147">
        <f>+Actuals!H186</f>
        <v>-1493.14</v>
      </c>
      <c r="L51" s="127">
        <f>+Actuals!I266</f>
        <v>-6747</v>
      </c>
      <c r="M51" s="128">
        <f>+Actuals!J266</f>
        <v>-20814.494999999999</v>
      </c>
      <c r="N51" s="127">
        <f>+Actuals!K266</f>
        <v>2</v>
      </c>
      <c r="O51" s="128">
        <f>+Actuals!L266</f>
        <v>6.17</v>
      </c>
      <c r="P51" s="127">
        <f>+Actuals!M266</f>
        <v>-2746</v>
      </c>
      <c r="Q51" s="128">
        <f>+Actuals!N266</f>
        <v>-8471.41</v>
      </c>
      <c r="R51" s="127">
        <f>+Actuals!O266</f>
        <v>188208</v>
      </c>
      <c r="S51" s="128">
        <f>+Actuals!P266</f>
        <v>580621.68000000005</v>
      </c>
      <c r="T51" s="127">
        <f>+Actuals!Q266</f>
        <v>-10298</v>
      </c>
      <c r="U51" s="128">
        <f>+Actuals!R266</f>
        <v>-31769.33</v>
      </c>
      <c r="V51" s="127">
        <f>+Actuals!S266</f>
        <v>0</v>
      </c>
      <c r="W51" s="128">
        <f>+Actuals!T266</f>
        <v>0</v>
      </c>
      <c r="X51" s="127">
        <f>+Actuals!U186</f>
        <v>0</v>
      </c>
      <c r="Y51" s="128">
        <f>+Actuals!V186</f>
        <v>0</v>
      </c>
      <c r="Z51" s="127">
        <v>-764</v>
      </c>
      <c r="AA51" s="128">
        <v>-2356.94</v>
      </c>
      <c r="AB51" s="127">
        <v>16</v>
      </c>
      <c r="AC51" s="128">
        <v>49.36</v>
      </c>
      <c r="AD51" s="127">
        <f>+Actuals!AA186</f>
        <v>0</v>
      </c>
      <c r="AE51" s="128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-76654147</v>
      </c>
      <c r="E54" s="38">
        <f>SUM(G54,I54,K54,M54,O54,Q54,S54,U54,W54,Y54,AA54,AC54,AE54)</f>
        <v>-341728.39</v>
      </c>
      <c r="F54" s="64">
        <f>'TIE-OUT'!J54+RECLASS!H54</f>
        <v>0</v>
      </c>
      <c r="G54" s="68">
        <f>'TIE-OUT'!K54+RECLASS!I54</f>
        <v>299901</v>
      </c>
      <c r="H54" s="127">
        <f>+Actuals!E187</f>
        <v>-84584928</v>
      </c>
      <c r="I54" s="128">
        <f>+Actuals!F187</f>
        <v>-1119532.8400000001</v>
      </c>
      <c r="J54" s="127">
        <f>+Actuals!G187</f>
        <v>13954951</v>
      </c>
      <c r="K54" s="147">
        <f>+Actuals!H187</f>
        <v>566162.56000000006</v>
      </c>
      <c r="L54" s="127">
        <f>+Actuals!I267</f>
        <v>-9368</v>
      </c>
      <c r="M54" s="128">
        <f>+Actuals!J267</f>
        <v>-13078.85</v>
      </c>
      <c r="N54" s="127">
        <f>+Actuals!K267</f>
        <v>802981</v>
      </c>
      <c r="O54" s="128">
        <f>+Actuals!L267</f>
        <v>31934.06</v>
      </c>
      <c r="P54" s="127">
        <f>+Actuals!M267</f>
        <v>283993</v>
      </c>
      <c r="Q54" s="128">
        <f>+Actuals!N267</f>
        <v>7310.14</v>
      </c>
      <c r="R54" s="127">
        <f>+Actuals!O267</f>
        <v>-189606</v>
      </c>
      <c r="S54" s="128">
        <f>+Actuals!P267</f>
        <v>14052.86</v>
      </c>
      <c r="T54" s="127">
        <f>+Actuals!Q267</f>
        <v>-7032647</v>
      </c>
      <c r="U54" s="128">
        <f>+Actuals!R267</f>
        <v>100779.64</v>
      </c>
      <c r="V54" s="127">
        <f>+Actuals!S267</f>
        <v>6314</v>
      </c>
      <c r="W54" s="128">
        <f>+Actuals!T267</f>
        <v>158597.32999999999</v>
      </c>
      <c r="X54" s="127">
        <v>24102</v>
      </c>
      <c r="Y54" s="128">
        <v>-388034.44</v>
      </c>
      <c r="Z54" s="127">
        <v>111331</v>
      </c>
      <c r="AA54" s="128">
        <v>-299.3</v>
      </c>
      <c r="AB54" s="127">
        <v>-21270</v>
      </c>
      <c r="AC54" s="128">
        <v>479.45</v>
      </c>
      <c r="AD54" s="127">
        <f>+Actuals!AA187</f>
        <v>0</v>
      </c>
      <c r="AE54" s="128">
        <f>+Actuals!AB187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-1278964.78</v>
      </c>
      <c r="F55" s="81">
        <f>'TIE-OUT'!J55+RECLASS!H55</f>
        <v>0</v>
      </c>
      <c r="G55" s="82">
        <f>'TIE-OUT'!K55+RECLASS!I55</f>
        <v>40402</v>
      </c>
      <c r="H55" s="127">
        <f>+Actuals!E188</f>
        <v>0</v>
      </c>
      <c r="I55" s="128">
        <f>+Actuals!F188</f>
        <v>-2632818.08</v>
      </c>
      <c r="J55" s="127">
        <f>+Actuals!G188</f>
        <v>0</v>
      </c>
      <c r="K55" s="147">
        <f>+Actuals!H188</f>
        <v>1057204.79</v>
      </c>
      <c r="L55" s="127">
        <f>+Actuals!I268</f>
        <v>0</v>
      </c>
      <c r="M55" s="128">
        <f>+Actuals!J268</f>
        <v>966026.26</v>
      </c>
      <c r="N55" s="127">
        <f>+Actuals!K268</f>
        <v>0</v>
      </c>
      <c r="O55" s="128">
        <f>+Actuals!L268</f>
        <v>25614.25</v>
      </c>
      <c r="P55" s="127">
        <f>+Actuals!M268</f>
        <v>0</v>
      </c>
      <c r="Q55" s="128">
        <f>+Actuals!N268</f>
        <v>-970875.84</v>
      </c>
      <c r="R55" s="127">
        <f>+Actuals!O268</f>
        <v>0</v>
      </c>
      <c r="S55" s="128">
        <f>+Actuals!P268</f>
        <v>-75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308550</v>
      </c>
      <c r="X55" s="127">
        <f>+Actuals!U188</f>
        <v>0</v>
      </c>
      <c r="Y55" s="128">
        <v>-72791</v>
      </c>
      <c r="Z55" s="127">
        <f>+Actuals!W188</f>
        <v>0</v>
      </c>
      <c r="AA55" s="128">
        <v>-25</v>
      </c>
      <c r="AB55" s="127">
        <f>+Actuals!Y188</f>
        <v>0</v>
      </c>
      <c r="AC55" s="128">
        <v>-177.16</v>
      </c>
      <c r="AD55" s="127">
        <f>+Actuals!AA188</f>
        <v>0</v>
      </c>
      <c r="AE55" s="128">
        <f>+Actuals!AB188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-76654147</v>
      </c>
      <c r="E56" s="39">
        <f t="shared" si="16"/>
        <v>-1620693.17</v>
      </c>
      <c r="F56" s="61">
        <f t="shared" si="16"/>
        <v>0</v>
      </c>
      <c r="G56" s="39">
        <f t="shared" si="16"/>
        <v>340303</v>
      </c>
      <c r="H56" s="61">
        <f t="shared" si="16"/>
        <v>-84584928</v>
      </c>
      <c r="I56" s="39">
        <f t="shared" si="16"/>
        <v>-3752350.92</v>
      </c>
      <c r="J56" s="61">
        <f t="shared" si="16"/>
        <v>13954951</v>
      </c>
      <c r="K56" s="148">
        <f t="shared" si="16"/>
        <v>1623367.35</v>
      </c>
      <c r="L56" s="61">
        <f t="shared" si="16"/>
        <v>-9368</v>
      </c>
      <c r="M56" s="39">
        <f t="shared" si="16"/>
        <v>952947.41</v>
      </c>
      <c r="N56" s="61">
        <f t="shared" ref="N56:S56" si="17">SUM(N54:N55)</f>
        <v>802981</v>
      </c>
      <c r="O56" s="39">
        <f t="shared" si="17"/>
        <v>57548.31</v>
      </c>
      <c r="P56" s="61">
        <f t="shared" si="17"/>
        <v>283993</v>
      </c>
      <c r="Q56" s="39">
        <f t="shared" si="17"/>
        <v>-963565.7</v>
      </c>
      <c r="R56" s="61">
        <f t="shared" si="17"/>
        <v>-189606</v>
      </c>
      <c r="S56" s="39">
        <f t="shared" si="17"/>
        <v>13977.86</v>
      </c>
      <c r="T56" s="61">
        <f>SUM(T54:T55)</f>
        <v>-7032647</v>
      </c>
      <c r="U56" s="39">
        <f>SUM(U54:U55)</f>
        <v>100779.64</v>
      </c>
      <c r="V56" s="61">
        <f>SUM(V54:V55)</f>
        <v>6314</v>
      </c>
      <c r="W56" s="39">
        <f>SUM(W54:W55)</f>
        <v>467147.32999999996</v>
      </c>
      <c r="X56" s="61">
        <f t="shared" si="16"/>
        <v>24102</v>
      </c>
      <c r="Y56" s="39">
        <f t="shared" si="16"/>
        <v>-460825.44</v>
      </c>
      <c r="Z56" s="61">
        <f t="shared" si="16"/>
        <v>111331</v>
      </c>
      <c r="AA56" s="39">
        <f t="shared" si="16"/>
        <v>-324.3</v>
      </c>
      <c r="AB56" s="61">
        <f t="shared" si="16"/>
        <v>-21270</v>
      </c>
      <c r="AC56" s="39">
        <f t="shared" si="16"/>
        <v>302.28999999999996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70494.790000000008</v>
      </c>
      <c r="F59" s="64">
        <f>'TIE-OUT'!J59+RECLASS!H59</f>
        <v>0</v>
      </c>
      <c r="G59" s="68">
        <f>'TIE-OUT'!K59+RECLASS!I59</f>
        <v>24021</v>
      </c>
      <c r="H59" s="127">
        <f>+Actuals!E189</f>
        <v>0</v>
      </c>
      <c r="I59" s="128">
        <f>+Actuals!F189</f>
        <v>68160</v>
      </c>
      <c r="J59" s="127">
        <f>+Actuals!G189</f>
        <v>0</v>
      </c>
      <c r="K59" s="147">
        <f>+Actuals!H189</f>
        <v>-24021.03</v>
      </c>
      <c r="L59" s="127">
        <f>+Actuals!I269</f>
        <v>0</v>
      </c>
      <c r="M59" s="128">
        <f>+Actuals!J269</f>
        <v>2334.8200000000002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0</v>
      </c>
      <c r="V59" s="127">
        <f>+Actuals!S269</f>
        <v>0</v>
      </c>
      <c r="W59" s="128">
        <f>+Actuals!T269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70494.790000000008</v>
      </c>
      <c r="F61" s="61">
        <f t="shared" si="18"/>
        <v>0</v>
      </c>
      <c r="G61" s="39">
        <f t="shared" si="18"/>
        <v>24021</v>
      </c>
      <c r="H61" s="61">
        <f t="shared" si="18"/>
        <v>0</v>
      </c>
      <c r="I61" s="39">
        <f t="shared" si="18"/>
        <v>68160</v>
      </c>
      <c r="J61" s="61">
        <f t="shared" si="18"/>
        <v>0</v>
      </c>
      <c r="K61" s="148">
        <f t="shared" si="18"/>
        <v>-24021.03</v>
      </c>
      <c r="L61" s="61">
        <f t="shared" si="18"/>
        <v>0</v>
      </c>
      <c r="M61" s="39">
        <f t="shared" si="18"/>
        <v>2334.8200000000002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+Actuals!I271</f>
        <v>0</v>
      </c>
      <c r="M64" s="128">
        <f>+Actuals!J271</f>
        <v>0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15355188.300000001</v>
      </c>
      <c r="F70" s="64">
        <f>'TIE-OUT'!J70+RECLASS!H70</f>
        <v>0</v>
      </c>
      <c r="G70" s="68">
        <f>'TIE-OUT'!K70+RECLASS!I70</f>
        <v>15355188.300000001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-6851832</v>
      </c>
      <c r="F71" s="81">
        <f>'TIE-OUT'!J71+RECLASS!H71</f>
        <v>0</v>
      </c>
      <c r="G71" s="82">
        <f>'TIE-OUT'!K71+RECLASS!I71</f>
        <v>-6851832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8503356.3000000007</v>
      </c>
      <c r="F72" s="61">
        <f t="shared" si="22"/>
        <v>0</v>
      </c>
      <c r="G72" s="39">
        <f t="shared" si="22"/>
        <v>8503356.3000000007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5123513</v>
      </c>
      <c r="F74" s="60">
        <f>'TIE-OUT'!J74+RECLASS!H74</f>
        <v>0</v>
      </c>
      <c r="G74" s="60">
        <f>'TIE-OUT'!K74+RECLASS!I74</f>
        <v>5123513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+Actuals!I276</f>
        <v>0</v>
      </c>
      <c r="M74" s="128">
        <f>+Actuals!J276</f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14500</v>
      </c>
      <c r="F75" s="60">
        <f>'TIE-OUT'!J75+RECLASS!H75</f>
        <v>0</v>
      </c>
      <c r="G75" s="60">
        <f>'TIE-OUT'!K75+RECLASS!I75</f>
        <v>14500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-10298.57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-17755.3</v>
      </c>
      <c r="J76" s="127">
        <f>+Actuals!G198</f>
        <v>0</v>
      </c>
      <c r="K76" s="147">
        <f>+Actuals!H198</f>
        <v>205.75</v>
      </c>
      <c r="L76" s="127">
        <f>+Actuals!I278</f>
        <v>0</v>
      </c>
      <c r="M76" s="128">
        <f>+Actuals!J278</f>
        <v>6074.51</v>
      </c>
      <c r="N76" s="127">
        <f>+Actuals!K278</f>
        <v>0</v>
      </c>
      <c r="O76" s="128">
        <f>+Actuals!L278</f>
        <v>5.38</v>
      </c>
      <c r="P76" s="127">
        <f>+Actuals!M278</f>
        <v>0</v>
      </c>
      <c r="Q76" s="128">
        <f>+Actuals!N278</f>
        <v>848.07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316.24</v>
      </c>
      <c r="V76" s="127">
        <f>+Actuals!S278</f>
        <v>0</v>
      </c>
      <c r="W76" s="128">
        <f>+Actuals!T278</f>
        <v>6.78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26963</v>
      </c>
      <c r="F78" s="60">
        <f>'TIE-OUT'!J78+RECLASS!H78</f>
        <v>0</v>
      </c>
      <c r="G78" s="60">
        <f>'TIE-OUT'!K78+RECLASS!I78</f>
        <v>26963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-7726.7699999999895</v>
      </c>
      <c r="F81" s="60">
        <f>'TIE-OUT'!J81+RECLASS!H81</f>
        <v>0</v>
      </c>
      <c r="G81" s="60">
        <f>'TIE-OUT'!K81+RECLASS!I81</f>
        <v>-254997</v>
      </c>
      <c r="H81" s="127">
        <f>+Actuals!E203</f>
        <v>0</v>
      </c>
      <c r="I81" s="128">
        <f>+Actuals!F203</f>
        <v>220307.45</v>
      </c>
      <c r="J81" s="127">
        <f>+Actuals!G203</f>
        <v>0</v>
      </c>
      <c r="K81" s="147">
        <f>+Actuals!H203</f>
        <v>26962.78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-5283326.9500001399</v>
      </c>
      <c r="F82" s="91">
        <f>F16+F24+F29+F36+F43+F45+F47+F49</f>
        <v>0</v>
      </c>
      <c r="G82" s="92">
        <f>SUM(G72:G81)+G16+G24+G29+G36+G43+G45+G47+G49+G51+G56+G61+G66</f>
        <v>4113450.3499999996</v>
      </c>
      <c r="H82" s="91">
        <f>H16+H24+H29+H36+H43+H45+H47+H49</f>
        <v>0</v>
      </c>
      <c r="I82" s="92">
        <f>SUM(I72:I81)+I16+I24+I29+I36+I43+I45+I47+I49+I51+I56+I61+I66</f>
        <v>-13033981.404999932</v>
      </c>
      <c r="J82" s="91">
        <f>J16+J24+J29+J36+J43+J45+J47+J49</f>
        <v>0</v>
      </c>
      <c r="K82" s="156">
        <f>SUM(K72:K81)+K16+K24+K29+K36+K43+K45+K47+K49+K51+K56+K61+K66</f>
        <v>2605541.3099999991</v>
      </c>
      <c r="L82" s="91">
        <f>L16+L24+L29+L36+L43+L45+L47+L49</f>
        <v>0</v>
      </c>
      <c r="M82" s="92">
        <f>SUM(M72:M81)+M16+M24+M29+M36+M43+M45+M47+M49+M51+M56+M61+M66</f>
        <v>-201299.53999998927</v>
      </c>
      <c r="N82" s="91">
        <f>N16+N24+N29+N36+N43+N45+N47+N49</f>
        <v>0</v>
      </c>
      <c r="O82" s="92">
        <f>SUM(O72:O81)+O16+O24+O29+O36+O43+O45+O47+O49+O51+O56+O61+O66</f>
        <v>1493983.92</v>
      </c>
      <c r="P82" s="91">
        <f>P16+P24+P29+P36+P43+P45+P47+P49</f>
        <v>0</v>
      </c>
      <c r="Q82" s="92">
        <f>SUM(Q72:Q81)+Q16+Q24+Q29+Q36+Q43+Q45+Q47+Q49+Q51+Q56+Q61+Q66</f>
        <v>-210296.27500001679</v>
      </c>
      <c r="R82" s="91">
        <f>R16+R24+R29+R36+R43+R45+R47+R49</f>
        <v>0</v>
      </c>
      <c r="S82" s="92">
        <f>SUM(S72:S81)+S16+S24+S29+S36+S43+S45+S47+S49+S51+S56+S61+S66</f>
        <v>597708.92499999993</v>
      </c>
      <c r="T82" s="91">
        <f>T16+T24+T29+T36+T43+T45+T47+T49</f>
        <v>0</v>
      </c>
      <c r="U82" s="92">
        <f>SUM(U72:U81)+U16+U24+U29+U36+U43+U45+U47+U49+U51+U56+U61+U66</f>
        <v>56870.269999999728</v>
      </c>
      <c r="V82" s="91">
        <f>V16+V24+V29+V36+V43+V45+V47+V49</f>
        <v>0</v>
      </c>
      <c r="W82" s="92">
        <f>SUM(W72:W81)+W16+W24+W29+W36+W43+W45+W47+W49+W51+W56+W61+W66</f>
        <v>-279379.09499999858</v>
      </c>
      <c r="X82" s="91">
        <f>X16+X24+X29+X36+X43+X45+X47+X49</f>
        <v>0</v>
      </c>
      <c r="Y82" s="92">
        <f>SUM(Y72:Y81)+Y16+Y24+Y29+Y36+Y43+Y45+Y47+Y49+Y51+Y56+Y61+Y66</f>
        <v>-462990.63</v>
      </c>
      <c r="Z82" s="91">
        <f>Z16+Z24+Z29+Z36+Z43+Z45+Z47+Z49</f>
        <v>0</v>
      </c>
      <c r="AA82" s="92">
        <f>SUM(AA72:AA81)+AA16+AA24+AA29+AA36+AA43+AA45+AA47+AA49+AA51+AA56+AA61+AA66</f>
        <v>40914.219999999841</v>
      </c>
      <c r="AB82" s="91">
        <f>AB16+AB24+AB29+AB36+AB43+AB45+AB47+AB49</f>
        <v>0</v>
      </c>
      <c r="AC82" s="92">
        <f>SUM(AC72:AC81)+AC16+AC24+AC29+AC36+AC43+AC45+AC47+AC49+AC51+AC56+AC61+AC66</f>
        <v>-3849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580328</v>
      </c>
      <c r="F86" s="169">
        <f>'TIE-OUT'!J86+RECLASS!H86</f>
        <v>0</v>
      </c>
      <c r="G86" s="169">
        <f>'TIE-OUT'!K86+RECLASS!I86</f>
        <v>580328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'TIE-OUT'!J88+RECLASS!H88</f>
        <v>0</v>
      </c>
      <c r="G88" s="171">
        <f>'TIE-OUT'!K88+RECLASS!I88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">
      <c r="A89" s="182"/>
      <c r="B89" s="183"/>
      <c r="C89" s="181" t="s">
        <v>169</v>
      </c>
      <c r="D89" s="184">
        <f>SUM(D86:D88)</f>
        <v>0</v>
      </c>
      <c r="E89" s="184">
        <f t="shared" ref="E89:M89" si="26">SUM(E86:E88)</f>
        <v>580328</v>
      </c>
      <c r="F89" s="184">
        <f t="shared" si="26"/>
        <v>0</v>
      </c>
      <c r="G89" s="184">
        <f t="shared" si="26"/>
        <v>580328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>SUM(V86:V88)</f>
        <v>0</v>
      </c>
      <c r="W89" s="184">
        <f>SUM(W86:W88)</f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-4702998.9500001399</v>
      </c>
      <c r="F91" s="184">
        <f t="shared" si="28"/>
        <v>0</v>
      </c>
      <c r="G91" s="184">
        <f t="shared" si="28"/>
        <v>4693778.3499999996</v>
      </c>
      <c r="H91" s="184">
        <f t="shared" si="28"/>
        <v>0</v>
      </c>
      <c r="I91" s="184">
        <f t="shared" si="28"/>
        <v>-13033981.404999932</v>
      </c>
      <c r="J91" s="184">
        <f t="shared" si="28"/>
        <v>0</v>
      </c>
      <c r="K91" s="184">
        <f t="shared" si="28"/>
        <v>2605541.3099999991</v>
      </c>
      <c r="L91" s="184">
        <f t="shared" si="28"/>
        <v>0</v>
      </c>
      <c r="M91" s="184">
        <f t="shared" si="28"/>
        <v>-201299.53999998927</v>
      </c>
      <c r="N91" s="184">
        <f t="shared" ref="N91:AE91" si="29">+N82+N89</f>
        <v>0</v>
      </c>
      <c r="O91" s="184">
        <f t="shared" si="29"/>
        <v>1493983.92</v>
      </c>
      <c r="P91" s="184">
        <f t="shared" si="29"/>
        <v>0</v>
      </c>
      <c r="Q91" s="184">
        <f t="shared" si="29"/>
        <v>-210296.27500001679</v>
      </c>
      <c r="R91" s="184">
        <f t="shared" si="29"/>
        <v>0</v>
      </c>
      <c r="S91" s="184">
        <f t="shared" si="29"/>
        <v>597708.92499999993</v>
      </c>
      <c r="T91" s="184">
        <f t="shared" si="29"/>
        <v>0</v>
      </c>
      <c r="U91" s="184">
        <f t="shared" si="29"/>
        <v>56870.269999999728</v>
      </c>
      <c r="V91" s="184">
        <f>+V82+V89</f>
        <v>0</v>
      </c>
      <c r="W91" s="184">
        <f>+W82+W89</f>
        <v>-279379.09499999858</v>
      </c>
      <c r="X91" s="184">
        <f t="shared" si="29"/>
        <v>0</v>
      </c>
      <c r="Y91" s="184">
        <f t="shared" si="29"/>
        <v>-462990.63</v>
      </c>
      <c r="Z91" s="184">
        <f t="shared" si="29"/>
        <v>0</v>
      </c>
      <c r="AA91" s="184">
        <f t="shared" si="29"/>
        <v>40914.219999999841</v>
      </c>
      <c r="AB91" s="184">
        <f t="shared" si="29"/>
        <v>0</v>
      </c>
      <c r="AC91" s="184">
        <f t="shared" si="29"/>
        <v>-3849</v>
      </c>
      <c r="AD91" s="184">
        <f t="shared" si="29"/>
        <v>0</v>
      </c>
      <c r="AE91" s="184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J175"/>
  <sheetViews>
    <sheetView zoomScale="75" workbookViewId="0">
      <pane xSplit="3" ySplit="9" topLeftCell="U60" activePane="bottomRight" state="frozen"/>
      <selection activeCell="AB9" sqref="AB9"/>
      <selection pane="topRight" activeCell="AB9" sqref="AB9"/>
      <selection pane="bottomLeft" activeCell="AB9" sqref="AB9"/>
      <selection pane="bottomRight" activeCell="AC88" sqref="AC8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7122536</v>
      </c>
      <c r="E11" s="38">
        <f>SUM(G11,I11,K11,M11,O11,Q11,S11,U11,W11,Y11,AA11,AC11,AE11)</f>
        <v>21173861.32</v>
      </c>
      <c r="F11" s="58">
        <f>'TIE-OUT'!L11+RECLASS!J11</f>
        <v>0</v>
      </c>
      <c r="G11" s="15">
        <f>'TIE-OUT'!M11+RECLASS!K11</f>
        <v>0</v>
      </c>
      <c r="H11" s="127">
        <f>+Actuals!E44</f>
        <v>7117092</v>
      </c>
      <c r="I11" s="128">
        <f>+Actuals!F44</f>
        <v>21349501.32</v>
      </c>
      <c r="J11" s="127">
        <f>+Actuals!G44</f>
        <v>-76967</v>
      </c>
      <c r="K11" s="147">
        <f>+Actuals!H44</f>
        <v>-433016.26</v>
      </c>
      <c r="L11" s="127">
        <f>+Actuals!I44</f>
        <v>80851</v>
      </c>
      <c r="M11" s="128">
        <f>+Actuals!J44</f>
        <v>253872.14</v>
      </c>
      <c r="N11" s="127">
        <f>+Actuals!K44</f>
        <v>782</v>
      </c>
      <c r="O11" s="128">
        <f>+Actuals!L44</f>
        <v>1803.84</v>
      </c>
      <c r="P11" s="127">
        <f>+Actuals!M44</f>
        <v>778</v>
      </c>
      <c r="Q11" s="128">
        <f>+Actuals!N44</f>
        <v>1700.28</v>
      </c>
      <c r="R11" s="127">
        <f>+Actuals!O44</f>
        <v>0</v>
      </c>
      <c r="S11" s="128">
        <f>+Actuals!P44</f>
        <v>0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369257.45</v>
      </c>
      <c r="F12" s="58">
        <f>'TIE-OUT'!L12+RECLASS!J12</f>
        <v>0</v>
      </c>
      <c r="G12" s="15">
        <f>'TIE-OUT'!M12+RECLASS!K12</f>
        <v>369257.45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7122536</v>
      </c>
      <c r="E16" s="39">
        <f>SUM(E11:E15)</f>
        <v>21543118.77</v>
      </c>
      <c r="F16" s="59">
        <f t="shared" ref="F16:AE16" si="1">SUM(F11:F15)</f>
        <v>0</v>
      </c>
      <c r="G16" s="23">
        <f t="shared" si="1"/>
        <v>369257.45</v>
      </c>
      <c r="H16" s="61">
        <f t="shared" si="1"/>
        <v>7117092</v>
      </c>
      <c r="I16" s="39">
        <f t="shared" si="1"/>
        <v>21349501.32</v>
      </c>
      <c r="J16" s="61">
        <f t="shared" si="1"/>
        <v>-76967</v>
      </c>
      <c r="K16" s="148">
        <f t="shared" si="1"/>
        <v>-433016.26</v>
      </c>
      <c r="L16" s="61">
        <f t="shared" si="1"/>
        <v>80851</v>
      </c>
      <c r="M16" s="39">
        <f t="shared" si="1"/>
        <v>253872.14</v>
      </c>
      <c r="N16" s="61">
        <f t="shared" ref="N16:S16" si="2">SUM(N11:N15)</f>
        <v>782</v>
      </c>
      <c r="O16" s="39">
        <f t="shared" si="2"/>
        <v>1803.84</v>
      </c>
      <c r="P16" s="61">
        <f t="shared" si="2"/>
        <v>778</v>
      </c>
      <c r="Q16" s="39">
        <f t="shared" si="2"/>
        <v>1700.28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>SUM(V11:V15)</f>
        <v>0</v>
      </c>
      <c r="W16" s="39">
        <f>SUM(W11:W15)</f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-921017</v>
      </c>
      <c r="E19" s="38">
        <f t="shared" si="3"/>
        <v>-2734701.2900000005</v>
      </c>
      <c r="F19" s="84">
        <f>'TIE-OUT'!L19+RECLASS!J19</f>
        <v>0</v>
      </c>
      <c r="G19" s="85">
        <f>'TIE-OUT'!M19+RECLASS!K19</f>
        <v>0</v>
      </c>
      <c r="H19" s="127">
        <f>+Actuals!E49</f>
        <v>-1903482</v>
      </c>
      <c r="I19" s="128">
        <f>+Actuals!F49</f>
        <v>-5764471.8700000001</v>
      </c>
      <c r="J19" s="127">
        <f>+Actuals!G49+151</f>
        <v>985859</v>
      </c>
      <c r="K19" s="147">
        <f>+Actuals!H49+427</f>
        <v>3037679.57</v>
      </c>
      <c r="L19" s="127">
        <f>+Actuals!I49-1697</f>
        <v>-1697</v>
      </c>
      <c r="M19" s="128">
        <f>+Actuals!J49-3681</f>
        <v>-4227.99</v>
      </c>
      <c r="N19" s="127">
        <f>+Actuals!K49-1697</f>
        <v>-1697</v>
      </c>
      <c r="O19" s="128">
        <f>+Actuals!L49-3681</f>
        <v>-3681</v>
      </c>
      <c r="P19" s="127">
        <f>+Actuals!M49</f>
        <v>0</v>
      </c>
      <c r="Q19" s="128">
        <f>+Actuals!N49</f>
        <v>0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24949</v>
      </c>
      <c r="E23" s="38">
        <f t="shared" si="3"/>
        <v>53800.840000000011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+Actuals!G53-151+6932</f>
        <v>35446</v>
      </c>
      <c r="K23" s="147">
        <f>+Actuals!H53+16703-427</f>
        <v>82799.490000000005</v>
      </c>
      <c r="L23" s="127">
        <f>+Actuals!I53</f>
        <v>1697</v>
      </c>
      <c r="M23" s="128">
        <f>+Actuals!J53</f>
        <v>3681.27</v>
      </c>
      <c r="N23" s="127">
        <f>+Actuals!K53</f>
        <v>-12194</v>
      </c>
      <c r="O23" s="128">
        <f>+Actuals!L53</f>
        <v>-32679.919999999998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-896068</v>
      </c>
      <c r="E24" s="39">
        <f>SUM(E19:E23)</f>
        <v>-2680900.4500000007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-1903482</v>
      </c>
      <c r="I24" s="39">
        <f t="shared" si="4"/>
        <v>-5764471.8700000001</v>
      </c>
      <c r="J24" s="61">
        <f t="shared" si="4"/>
        <v>1021305</v>
      </c>
      <c r="K24" s="148">
        <f t="shared" si="4"/>
        <v>3120479.06</v>
      </c>
      <c r="L24" s="61">
        <f t="shared" si="4"/>
        <v>0</v>
      </c>
      <c r="M24" s="39">
        <f t="shared" si="4"/>
        <v>-546.7199999999998</v>
      </c>
      <c r="N24" s="61">
        <f t="shared" ref="N24:S24" si="5">SUM(N19:N23)</f>
        <v>-13891</v>
      </c>
      <c r="O24" s="39">
        <f t="shared" si="5"/>
        <v>-36360.92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>SUM(V19:V23)</f>
        <v>0</v>
      </c>
      <c r="W24" s="39">
        <f>SUM(W19:W23)</f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3621470</v>
      </c>
      <c r="E27" s="38">
        <f>SUM(G27,I27,K27,M27,O27,Q27,S27,U27,W27,Y27,AA27,AC27,AE27)</f>
        <v>8703193.6800000016</v>
      </c>
      <c r="F27" s="84">
        <f>'TIE-OUT'!L27+RECLASS!J27</f>
        <v>0</v>
      </c>
      <c r="G27" s="85">
        <f>'TIE-OUT'!M27+RECLASS!K27</f>
        <v>0</v>
      </c>
      <c r="H27" s="127">
        <f>+Actuals!E54</f>
        <v>4192388</v>
      </c>
      <c r="I27" s="128">
        <f>+Actuals!F54</f>
        <v>10289402.380000001</v>
      </c>
      <c r="J27" s="127">
        <f>+Actuals!G54+698</f>
        <v>-296368</v>
      </c>
      <c r="K27" s="147">
        <f>+Actuals!H54+1254</f>
        <v>-850174.94</v>
      </c>
      <c r="L27" s="127">
        <f>+Actuals!I54</f>
        <v>-200549</v>
      </c>
      <c r="M27" s="128">
        <f>+Actuals!J54</f>
        <v>-538128.4</v>
      </c>
      <c r="N27" s="127">
        <f>+Actuals!K54</f>
        <v>-138342</v>
      </c>
      <c r="O27" s="128">
        <f>+Actuals!L54</f>
        <v>-391507.86</v>
      </c>
      <c r="P27" s="127">
        <f>+Actuals!M54</f>
        <v>-148942</v>
      </c>
      <c r="Q27" s="128">
        <f>+Actuals!N54</f>
        <v>-417097.64</v>
      </c>
      <c r="R27" s="127">
        <f>+Actuals!O54</f>
        <v>184308</v>
      </c>
      <c r="S27" s="128">
        <f>+Actuals!P54</f>
        <v>543272.06000000006</v>
      </c>
      <c r="T27" s="127">
        <f>+Actuals!Q54</f>
        <v>28975</v>
      </c>
      <c r="U27" s="128">
        <f>+Actuals!R54</f>
        <v>67428.08</v>
      </c>
      <c r="V27" s="127">
        <f>+Actuals!S54</f>
        <v>0</v>
      </c>
      <c r="W27" s="128">
        <f>+Actuals!T54</f>
        <v>0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-9096312</v>
      </c>
      <c r="E28" s="38">
        <f>SUM(G28,I28,K28,M28,O28,Q28,S28,U28,W28,Y28,AA28,AC28,AE28)</f>
        <v>-21240306.010000002</v>
      </c>
      <c r="F28" s="97">
        <f>'TIE-OUT'!L28+RECLASS!J28</f>
        <v>0</v>
      </c>
      <c r="G28" s="98">
        <f>'TIE-OUT'!M28+RECLASS!K28</f>
        <v>0</v>
      </c>
      <c r="H28" s="127">
        <f>+Actuals!E55</f>
        <v>-9766525</v>
      </c>
      <c r="I28" s="128">
        <f>+Actuals!F55</f>
        <v>-23114791.630000003</v>
      </c>
      <c r="J28" s="127">
        <f>+Actuals!G55-7630</f>
        <v>265944</v>
      </c>
      <c r="K28" s="147">
        <f>+Actuals!H55-17957</f>
        <v>894048.24</v>
      </c>
      <c r="L28" s="127">
        <f>+Actuals!I55+1697</f>
        <v>200549</v>
      </c>
      <c r="M28" s="128">
        <f>+Actuals!J55+3681</f>
        <v>406029.55</v>
      </c>
      <c r="N28" s="127">
        <f>+Actuals!K55+1697</f>
        <v>27376</v>
      </c>
      <c r="O28" s="128">
        <f>+Actuals!L55</f>
        <v>145789.66</v>
      </c>
      <c r="P28" s="127">
        <f>+Actuals!M55</f>
        <v>283350</v>
      </c>
      <c r="Q28" s="128">
        <f>+Actuals!N55</f>
        <v>730191.71</v>
      </c>
      <c r="R28" s="127">
        <f>+Actuals!O55</f>
        <v>-107331</v>
      </c>
      <c r="S28" s="128">
        <f>+Actuals!P55</f>
        <v>-232790.82</v>
      </c>
      <c r="T28" s="127">
        <f>+Actuals!Q55</f>
        <v>325</v>
      </c>
      <c r="U28" s="128">
        <f>+Actuals!R55</f>
        <v>-68782.720000000001</v>
      </c>
      <c r="V28" s="127">
        <f>+Actuals!S55</f>
        <v>0</v>
      </c>
      <c r="W28" s="128">
        <f>+Actuals!T55</f>
        <v>0</v>
      </c>
      <c r="X28" s="127">
        <f>+Actuals!U55</f>
        <v>0</v>
      </c>
      <c r="Y28" s="128">
        <f>+Actuals!V55</f>
        <v>0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-5474842</v>
      </c>
      <c r="E29" s="39">
        <f>SUM(E27:E28)</f>
        <v>-12537112.33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-5574137</v>
      </c>
      <c r="I29" s="39">
        <f t="shared" si="6"/>
        <v>-12825389.250000002</v>
      </c>
      <c r="J29" s="61">
        <f t="shared" si="6"/>
        <v>-30424</v>
      </c>
      <c r="K29" s="148">
        <f t="shared" si="6"/>
        <v>43873.300000000047</v>
      </c>
      <c r="L29" s="61">
        <f t="shared" si="6"/>
        <v>0</v>
      </c>
      <c r="M29" s="39">
        <f t="shared" si="6"/>
        <v>-132098.85000000003</v>
      </c>
      <c r="N29" s="61">
        <f t="shared" ref="N29:S29" si="7">SUM(N27:N28)</f>
        <v>-110966</v>
      </c>
      <c r="O29" s="39">
        <f t="shared" si="7"/>
        <v>-245718.19999999998</v>
      </c>
      <c r="P29" s="61">
        <f t="shared" si="7"/>
        <v>134408</v>
      </c>
      <c r="Q29" s="39">
        <f t="shared" si="7"/>
        <v>313094.06999999995</v>
      </c>
      <c r="R29" s="61">
        <f t="shared" si="7"/>
        <v>76977</v>
      </c>
      <c r="S29" s="39">
        <f t="shared" si="7"/>
        <v>310481.24000000005</v>
      </c>
      <c r="T29" s="61">
        <f>SUM(T27:T28)</f>
        <v>29300</v>
      </c>
      <c r="U29" s="39">
        <f>SUM(U27:U28)</f>
        <v>-1354.6399999999994</v>
      </c>
      <c r="V29" s="61">
        <f>SUM(V27:V28)</f>
        <v>0</v>
      </c>
      <c r="W29" s="39">
        <f>SUM(W27:W28)</f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147531</v>
      </c>
      <c r="E32" s="38">
        <f t="shared" si="8"/>
        <v>455133.13000000006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223541</v>
      </c>
      <c r="K32" s="147">
        <f>+Actuals!H56</f>
        <v>689623.98499999999</v>
      </c>
      <c r="L32" s="127">
        <f>+Actuals!I56</f>
        <v>-80851</v>
      </c>
      <c r="M32" s="128">
        <f>+Actuals!J56</f>
        <v>-249425.33499999999</v>
      </c>
      <c r="N32" s="127">
        <f>+Actuals!K56</f>
        <v>11412</v>
      </c>
      <c r="O32" s="128">
        <f>+Actuals!L56</f>
        <v>35206.019999999997</v>
      </c>
      <c r="P32" s="127">
        <f>+Actuals!M56</f>
        <v>0</v>
      </c>
      <c r="Q32" s="128">
        <f>+Actuals!N56</f>
        <v>0</v>
      </c>
      <c r="R32" s="127">
        <f>+Actuals!O56</f>
        <v>0</v>
      </c>
      <c r="S32" s="128">
        <f>+Actuals!P56</f>
        <v>0</v>
      </c>
      <c r="T32" s="127">
        <f>+Actuals!Q56</f>
        <v>0</v>
      </c>
      <c r="U32" s="128">
        <f>+Actuals!R56</f>
        <v>0</v>
      </c>
      <c r="V32" s="127">
        <f>+Actuals!S56</f>
        <v>0</v>
      </c>
      <c r="W32" s="128">
        <f>+Actuals!T56</f>
        <v>0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v>-6571</v>
      </c>
      <c r="AC32" s="128">
        <v>-20271.54</v>
      </c>
      <c r="AD32" s="127">
        <f>+Actuals!AA56</f>
        <v>0</v>
      </c>
      <c r="AE32" s="128">
        <f>+Actuals!AB56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147531</v>
      </c>
      <c r="E36" s="39">
        <f>SUM(E32:E35)</f>
        <v>455133.13000000006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223541</v>
      </c>
      <c r="K36" s="148">
        <f t="shared" si="9"/>
        <v>689623.98499999999</v>
      </c>
      <c r="L36" s="61">
        <f t="shared" si="9"/>
        <v>-80851</v>
      </c>
      <c r="M36" s="39">
        <f t="shared" si="9"/>
        <v>-249425.33499999999</v>
      </c>
      <c r="N36" s="61">
        <f t="shared" ref="N36:S36" si="10">SUM(N32:N35)</f>
        <v>11412</v>
      </c>
      <c r="O36" s="39">
        <f t="shared" si="10"/>
        <v>35206.019999999997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-6571</v>
      </c>
      <c r="AC36" s="39">
        <f t="shared" si="9"/>
        <v>-20271.54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717156</v>
      </c>
      <c r="E39" s="38">
        <f t="shared" si="11"/>
        <v>1387625.14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717156</v>
      </c>
      <c r="K39" s="147">
        <f>+Actuals!H60</f>
        <v>1387625.14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-1813736</v>
      </c>
      <c r="E40" s="38">
        <f t="shared" si="11"/>
        <v>-3509397.79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-1768095</v>
      </c>
      <c r="K40" s="147">
        <f>+Actuals!H61</f>
        <v>-3421087.02</v>
      </c>
      <c r="L40" s="127">
        <f>+Actuals!I61</f>
        <v>0</v>
      </c>
      <c r="M40" s="128">
        <f>+Actuals!J61</f>
        <v>0</v>
      </c>
      <c r="N40" s="127">
        <f>+Actuals!K61</f>
        <v>21839</v>
      </c>
      <c r="O40" s="128">
        <f>+Actuals!L61</f>
        <v>42256.28</v>
      </c>
      <c r="P40" s="127">
        <f>+Actuals!M61</f>
        <v>0</v>
      </c>
      <c r="Q40" s="128">
        <f>+Actuals!N61</f>
        <v>0</v>
      </c>
      <c r="R40" s="127">
        <f>+Actuals!O61</f>
        <v>-67480</v>
      </c>
      <c r="S40" s="128">
        <f>+Actuals!P61</f>
        <v>-130567.05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-1813736</v>
      </c>
      <c r="E42" s="39">
        <f>SUM(E40:E41)</f>
        <v>-3509397.79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-1768095</v>
      </c>
      <c r="K42" s="148">
        <f t="shared" si="12"/>
        <v>-3421087.02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21839</v>
      </c>
      <c r="O42" s="39">
        <f t="shared" si="13"/>
        <v>42256.28</v>
      </c>
      <c r="P42" s="61">
        <f t="shared" si="13"/>
        <v>0</v>
      </c>
      <c r="Q42" s="39">
        <f t="shared" si="13"/>
        <v>0</v>
      </c>
      <c r="R42" s="61">
        <f t="shared" si="13"/>
        <v>-67480</v>
      </c>
      <c r="S42" s="39">
        <f t="shared" si="13"/>
        <v>-130567.05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-1096580</v>
      </c>
      <c r="E43" s="39">
        <f>E42+E39</f>
        <v>-2121772.6500000004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-1050939</v>
      </c>
      <c r="K43" s="148">
        <f t="shared" si="14"/>
        <v>-2033461.8800000001</v>
      </c>
      <c r="L43" s="61">
        <f t="shared" si="14"/>
        <v>0</v>
      </c>
      <c r="M43" s="39">
        <f t="shared" si="14"/>
        <v>0</v>
      </c>
      <c r="N43" s="61">
        <f t="shared" ref="N43:S43" si="15">N42+N39</f>
        <v>21839</v>
      </c>
      <c r="O43" s="39">
        <f t="shared" si="15"/>
        <v>42256.28</v>
      </c>
      <c r="P43" s="61">
        <f t="shared" si="15"/>
        <v>0</v>
      </c>
      <c r="Q43" s="39">
        <f t="shared" si="15"/>
        <v>0</v>
      </c>
      <c r="R43" s="61">
        <f t="shared" si="15"/>
        <v>-67480</v>
      </c>
      <c r="S43" s="39">
        <f t="shared" si="15"/>
        <v>-130567.05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-5073</v>
      </c>
      <c r="E45" s="38">
        <f>SUM(G45,I45,K45,M45,O45,Q45,S45,U45,W45,Y45,AA45,AC45,AE45)</f>
        <v>-8671.7900000000009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-5073</v>
      </c>
      <c r="K45" s="147">
        <f>+Actuals!H63</f>
        <v>-8671.7900000000009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202496</v>
      </c>
      <c r="E49" s="38">
        <f>SUM(G49,I49,K49,M49,O49,Q49,S49,U49,W49,Y49,AA49,AC49,AE49)</f>
        <v>624700.16999999981</v>
      </c>
      <c r="F49" s="58">
        <f>'TIE-OUT'!L49+RECLASS!J49</f>
        <v>0</v>
      </c>
      <c r="G49" s="15">
        <f>'TIE-OUT'!M49+RECLASS!K49</f>
        <v>0</v>
      </c>
      <c r="H49" s="127">
        <f>+Actuals!E65</f>
        <v>360527</v>
      </c>
      <c r="I49" s="128">
        <f>+Actuals!F65</f>
        <v>1112225.7949999999</v>
      </c>
      <c r="J49" s="127">
        <f>+Actuals!G65</f>
        <v>-81443</v>
      </c>
      <c r="K49" s="147">
        <f>+Actuals!H65</f>
        <v>-251251.65</v>
      </c>
      <c r="L49" s="127">
        <f>+Actuals!I65</f>
        <v>0</v>
      </c>
      <c r="M49" s="128">
        <f>+Actuals!J65</f>
        <v>0</v>
      </c>
      <c r="N49" s="127">
        <f>+Actuals!K65</f>
        <v>90824</v>
      </c>
      <c r="O49" s="128">
        <f>+Actuals!L65</f>
        <v>280192.03999999998</v>
      </c>
      <c r="P49" s="127">
        <f>+Actuals!M65</f>
        <v>-135186</v>
      </c>
      <c r="Q49" s="128">
        <f>+Actuals!N65</f>
        <v>-417048.81</v>
      </c>
      <c r="R49" s="127">
        <f>+Actuals!O65</f>
        <v>-9497</v>
      </c>
      <c r="S49" s="128">
        <f>+Actuals!P65</f>
        <v>-29298.244999999999</v>
      </c>
      <c r="T49" s="127">
        <f>+Actuals!Q65</f>
        <v>-29300</v>
      </c>
      <c r="U49" s="128">
        <f>+Actuals!R65</f>
        <v>-90390.5</v>
      </c>
      <c r="V49" s="127">
        <f>+Actuals!S65</f>
        <v>0</v>
      </c>
      <c r="W49" s="128">
        <f>+Actuals!T65</f>
        <v>0</v>
      </c>
      <c r="X49" s="127">
        <f>+Actuals!U65</f>
        <v>0</v>
      </c>
      <c r="Y49" s="128">
        <f>+Actuals!V65</f>
        <v>0</v>
      </c>
      <c r="Z49" s="127">
        <f>+Actuals!W65</f>
        <v>0</v>
      </c>
      <c r="AA49" s="128">
        <f>+Actuals!X65</f>
        <v>0</v>
      </c>
      <c r="AB49" s="127">
        <v>6571</v>
      </c>
      <c r="AC49" s="128">
        <v>20271.54</v>
      </c>
      <c r="AD49" s="127">
        <f>+Actuals!AA65</f>
        <v>0</v>
      </c>
      <c r="AE49" s="128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-33749</v>
      </c>
      <c r="E51" s="38">
        <f>SUM(G51,I51,K51,M51,O51,Q51,S51,U51,W51,Y51,AA51,AC51,AE51)</f>
        <v>-79118.430000000008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+Actuals!G66-6932</f>
        <v>-35446</v>
      </c>
      <c r="K51" s="147">
        <f>+Actuals!H66-16703</f>
        <v>-82799.16</v>
      </c>
      <c r="L51" s="127">
        <f>+Actuals!I66+1697</f>
        <v>0</v>
      </c>
      <c r="M51" s="128">
        <f>+Actuals!J66+3681</f>
        <v>-0.26999999999998181</v>
      </c>
      <c r="N51" s="127">
        <f>+Actuals!K66+1697</f>
        <v>1697</v>
      </c>
      <c r="O51" s="128">
        <f>+Actuals!L66+3681</f>
        <v>3681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-77209</v>
      </c>
      <c r="E54" s="38">
        <f>SUM(G54,I54,K54,M54,O54,Q54,S54,U54,W54,Y54,AA54,AC54,AE54)</f>
        <v>-2513.4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-83780</v>
      </c>
      <c r="S54" s="128">
        <f>+Actuals!P67</f>
        <v>-2513.4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-24765+31336</f>
        <v>6571</v>
      </c>
      <c r="AC54" s="128">
        <f>-3133.61+3133.61</f>
        <v>0</v>
      </c>
      <c r="AD54" s="127">
        <f>+Actuals!AA67</f>
        <v>0</v>
      </c>
      <c r="AE54" s="128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-77209</v>
      </c>
      <c r="E56" s="39">
        <f>SUM(E54:E55)</f>
        <v>-2513.4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-83780</v>
      </c>
      <c r="S56" s="39">
        <f t="shared" si="17"/>
        <v>-2513.4</v>
      </c>
      <c r="T56" s="61">
        <f>SUM(T54:T55)</f>
        <v>0</v>
      </c>
      <c r="U56" s="39">
        <f>SUM(U54:U55)</f>
        <v>0</v>
      </c>
      <c r="V56" s="61">
        <f>SUM(V54:V55)</f>
        <v>0</v>
      </c>
      <c r="W56" s="39">
        <f>SUM(W54:W55)</f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6571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2707106</v>
      </c>
      <c r="E59" s="38">
        <f>SUM(G59,I59,K59,M59,O59,Q59,S59,U59,W59,Y59,AA59,AC59,AE59)</f>
        <v>92493.88</v>
      </c>
      <c r="F59" s="84">
        <f>'TIE-OUT'!L59+RECLASS!J59</f>
        <v>0</v>
      </c>
      <c r="G59" s="85">
        <f>'TIE-OUT'!M59+RECLASS!K59</f>
        <v>0</v>
      </c>
      <c r="H59" s="127">
        <f>+Actuals!E69</f>
        <v>4364352</v>
      </c>
      <c r="I59" s="128">
        <f>+Actuals!F69</f>
        <v>82526.740000000005</v>
      </c>
      <c r="J59" s="127">
        <f>+Actuals!G69</f>
        <v>-1658028</v>
      </c>
      <c r="K59" s="147">
        <f>+Actuals!H69</f>
        <v>17243.73</v>
      </c>
      <c r="L59" s="127">
        <f>+Actuals!I69</f>
        <v>0</v>
      </c>
      <c r="M59" s="128">
        <f>+Actuals!J69</f>
        <v>-7276.59</v>
      </c>
      <c r="N59" s="127">
        <f>+Actuals!K69</f>
        <v>782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169670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+Actuals!E70+169670</f>
        <v>169670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2876776</v>
      </c>
      <c r="E61" s="39">
        <f>SUM(E59:E60)</f>
        <v>262493.88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4534022</v>
      </c>
      <c r="I61" s="39">
        <f t="shared" si="18"/>
        <v>252526.74</v>
      </c>
      <c r="J61" s="61">
        <f t="shared" si="18"/>
        <v>-1658028</v>
      </c>
      <c r="K61" s="148">
        <f t="shared" si="18"/>
        <v>17243.73</v>
      </c>
      <c r="L61" s="61">
        <f t="shared" si="18"/>
        <v>0</v>
      </c>
      <c r="M61" s="39">
        <f t="shared" si="18"/>
        <v>-7276.59</v>
      </c>
      <c r="N61" s="61">
        <f t="shared" ref="N61:S61" si="19">SUM(N59:N60)</f>
        <v>782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-19819750</v>
      </c>
      <c r="E64" s="38">
        <f>SUM(G64,I64,K64,M64,O64,Q64,S64,U64,W64,Y64,AA64,AC64,AE64)</f>
        <v>-2307498.6999999997</v>
      </c>
      <c r="F64" s="84">
        <f>'TIE-OUT'!L64+RECLASS!J64</f>
        <v>0</v>
      </c>
      <c r="G64" s="85">
        <f>'TIE-OUT'!M64+RECLASS!K64</f>
        <v>0</v>
      </c>
      <c r="H64" s="127">
        <f>+Actuals!E71</f>
        <v>-12542632</v>
      </c>
      <c r="I64" s="128">
        <f>+Actuals!F71</f>
        <v>-2189986.8199999998</v>
      </c>
      <c r="J64" s="127">
        <f>+Actuals!G71</f>
        <v>-7289810</v>
      </c>
      <c r="K64" s="147">
        <f>+Actuals!H71</f>
        <v>-117344.85</v>
      </c>
      <c r="L64" s="127">
        <f>+Actuals!I71</f>
        <v>-18644</v>
      </c>
      <c r="M64" s="128">
        <f>+Actuals!J71</f>
        <v>-3300.63</v>
      </c>
      <c r="N64" s="127">
        <f>+Actuals!K71</f>
        <v>0</v>
      </c>
      <c r="O64" s="128">
        <f>+Actuals!L71</f>
        <v>0</v>
      </c>
      <c r="P64" s="127">
        <f>+Actuals!M71</f>
        <v>31336</v>
      </c>
      <c r="Q64" s="128">
        <f>+Actuals!N71</f>
        <v>3133.6</v>
      </c>
      <c r="R64" s="127">
        <f>+Actuals!O71</f>
        <v>0</v>
      </c>
      <c r="S64" s="128">
        <f>+Actuals!P71</f>
        <v>0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19966444</v>
      </c>
      <c r="E65" s="38">
        <f>SUM(G65,I65,K65,M65,O65,Q65,S65,U65,W65,Y65,AA65,AC65,AE65)</f>
        <v>2310632.2999999993</v>
      </c>
      <c r="F65" s="97">
        <f>'TIE-OUT'!L65+RECLASS!J65</f>
        <v>0</v>
      </c>
      <c r="G65" s="98">
        <f>'TIE-OUT'!M65+RECLASS!K65</f>
        <v>0</v>
      </c>
      <c r="H65" s="127">
        <f>+Actuals!E72+736076</f>
        <v>12514905</v>
      </c>
      <c r="I65" s="128">
        <f>+Actuals!F72+640000</f>
        <v>2187086.4699999997</v>
      </c>
      <c r="J65" s="127">
        <f>+Actuals!G72-18920</f>
        <v>7432895</v>
      </c>
      <c r="K65" s="147">
        <f>+Actuals!H72</f>
        <v>120245.19</v>
      </c>
      <c r="L65" s="127">
        <f>+Actuals!I72</f>
        <v>18644</v>
      </c>
      <c r="M65" s="128">
        <f>+Actuals!J72</f>
        <v>3300.63</v>
      </c>
      <c r="N65" s="127">
        <f>+Actuals!K72</f>
        <v>0</v>
      </c>
      <c r="O65" s="128">
        <f>+Actuals!L72</f>
        <v>0.01</v>
      </c>
      <c r="P65" s="127">
        <f>+Actuals!M72</f>
        <v>0</v>
      </c>
      <c r="Q65" s="128">
        <f>+Actuals!N72</f>
        <v>0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146694</v>
      </c>
      <c r="E66" s="39">
        <f>SUM(E64:E65)</f>
        <v>3133.5999999996275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-27727</v>
      </c>
      <c r="I66" s="39">
        <f t="shared" si="20"/>
        <v>-2900.3500000000931</v>
      </c>
      <c r="J66" s="61">
        <f t="shared" si="20"/>
        <v>143085</v>
      </c>
      <c r="K66" s="148">
        <f t="shared" si="20"/>
        <v>2900.3399999999965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0.01</v>
      </c>
      <c r="P66" s="61">
        <f t="shared" si="21"/>
        <v>31336</v>
      </c>
      <c r="Q66" s="39">
        <f t="shared" si="21"/>
        <v>3133.6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5458490.4999999991</v>
      </c>
      <c r="F82" s="91">
        <f>F16+F24+F29+F36+F43+F45+F47+F49</f>
        <v>0</v>
      </c>
      <c r="G82" s="92">
        <f>SUM(G72:G81)+G16+G24+G29+G36+G43+G45+G47+G49+G51+G56+G61+G66</f>
        <v>369257.45</v>
      </c>
      <c r="H82" s="91">
        <f>H16+H24+H29+H36+H43+H45+H47+H49</f>
        <v>0</v>
      </c>
      <c r="I82" s="92">
        <f>SUM(I72:I81)+I16+I24+I29+I36+I43+I45+I47+I49+I51+I56+I61+I66</f>
        <v>4121492.3849999974</v>
      </c>
      <c r="J82" s="91">
        <f>J16+J24+J29+J36+J43+J45+J47+J49</f>
        <v>0</v>
      </c>
      <c r="K82" s="110">
        <f>SUM(K72:K81)+K16+K24+K29+K36+K43+K45+K47+K49+K51+K56+K61+K66</f>
        <v>1064919.6749999996</v>
      </c>
      <c r="L82" s="91">
        <f>L16+L24+L29+L36+L43+L45+L47+L49</f>
        <v>0</v>
      </c>
      <c r="M82" s="92">
        <f>SUM(M72:M81)+M16+M24+M29+M36+M43+M45+M47+M49+M51+M56+M61+M66</f>
        <v>-135475.62500000003</v>
      </c>
      <c r="N82" s="91">
        <f>N16+N24+N29+N36+N43+N45+N47+N49</f>
        <v>0</v>
      </c>
      <c r="O82" s="92">
        <f>SUM(O72:O81)+O16+O24+O29+O36+O43+O45+O47+O49+O51+O56+O61+O66</f>
        <v>81060.069999999992</v>
      </c>
      <c r="P82" s="91">
        <f>P16+P24+P29+P36+P43+P45+P47+P49</f>
        <v>0</v>
      </c>
      <c r="Q82" s="92">
        <f>SUM(Q72:Q81)+Q16+Q24+Q29+Q36+Q43+Q45+Q47+Q49+Q51+Q56+Q61+Q66</f>
        <v>-99120.860000000015</v>
      </c>
      <c r="R82" s="91">
        <f>R16+R24+R29+R36+R43+R45+R47+R49</f>
        <v>0</v>
      </c>
      <c r="S82" s="92">
        <f>SUM(S72:S81)+S16+S24+S29+S36+S43+S45+S47+S49+S51+S56+S61+S66</f>
        <v>148102.54500000007</v>
      </c>
      <c r="T82" s="91">
        <f>T16+T24+T29+T36+T43+T45+T47+T49</f>
        <v>0</v>
      </c>
      <c r="U82" s="92">
        <f>SUM(U72:U81)+U16+U24+U29+U36+U43+U45+U47+U49+U51+U56+U61+U66</f>
        <v>-91745.14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49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U79" activePane="bottomRight" state="frozen"/>
      <selection activeCell="AB9" sqref="AB9"/>
      <selection pane="topRight" activeCell="AB9" sqref="AB9"/>
      <selection pane="bottomLeft" activeCell="AB9" sqref="AB9"/>
      <selection pane="bottomRight" activeCell="AC79" sqref="AC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101010654</v>
      </c>
      <c r="E11" s="38">
        <f>SUM(G11,I11,K11,M11,O11,Q11,S11,U11,W11,Y11,AA11,AC11,AE11)</f>
        <v>299427556.35999995</v>
      </c>
      <c r="F11" s="60">
        <f>('TIE-OUT'!L11+'TIE-OUT'!J11)+(RECLASS!J11+RECLASS!H11)</f>
        <v>0</v>
      </c>
      <c r="G11" s="38">
        <f>('TIE-OUT'!M11+'TIE-OUT'!K11)+(RECLASS!K11+RECLASS!I11)</f>
        <v>642355</v>
      </c>
      <c r="H11" s="60">
        <f>'EAST-EGM-GL'!H11+'EAST-LRC-GL'!H11</f>
        <v>100477555</v>
      </c>
      <c r="I11" s="38">
        <f>'EAST-EGM-GL'!I11+'EAST-LRC-GL'!I11</f>
        <v>298136284.56</v>
      </c>
      <c r="J11" s="60">
        <f>'EAST-EGM-GL'!J11+'EAST-LRC-GL'!J11</f>
        <v>-519120</v>
      </c>
      <c r="K11" s="38">
        <f>'EAST-EGM-GL'!K11+'EAST-LRC-GL'!K11</f>
        <v>-1889536.61</v>
      </c>
      <c r="L11" s="60">
        <f>'EAST-EGM-GL'!L11+'EAST-LRC-GL'!L11</f>
        <v>546314</v>
      </c>
      <c r="M11" s="38">
        <f>'EAST-EGM-GL'!M11+'EAST-LRC-GL'!M11</f>
        <v>1621448.5699999998</v>
      </c>
      <c r="N11" s="60">
        <f>'EAST-EGM-GL'!N11+'EAST-LRC-GL'!N11</f>
        <v>651</v>
      </c>
      <c r="O11" s="38">
        <f>'EAST-EGM-GL'!O11+'EAST-LRC-GL'!O11</f>
        <v>-908157.45000000007</v>
      </c>
      <c r="P11" s="60">
        <f>'EAST-EGM-GL'!P11+'EAST-LRC-GL'!P11</f>
        <v>858778</v>
      </c>
      <c r="Q11" s="38">
        <f>'EAST-EGM-GL'!Q11+'EAST-LRC-GL'!Q11</f>
        <v>3160799.71</v>
      </c>
      <c r="R11" s="60">
        <f>'EAST-EGM-GL'!R11+'EAST-LRC-GL'!R11</f>
        <v>705</v>
      </c>
      <c r="S11" s="38">
        <f>'EAST-EGM-GL'!S11+'EAST-LRC-GL'!S11</f>
        <v>2413.2399999999998</v>
      </c>
      <c r="T11" s="60">
        <f>'EAST-EGM-GL'!T11+'EAST-LRC-GL'!T11</f>
        <v>-37422</v>
      </c>
      <c r="U11" s="38">
        <f>'EAST-EGM-GL'!U11+'EAST-LRC-GL'!U11</f>
        <v>20232.68</v>
      </c>
      <c r="V11" s="60">
        <f>'EAST-EGM-GL'!V11+'EAST-LRC-GL'!V11</f>
        <v>-182220</v>
      </c>
      <c r="W11" s="38">
        <f>'EAST-EGM-GL'!W11+'EAST-LRC-GL'!W11</f>
        <v>-987685.7</v>
      </c>
      <c r="X11" s="60">
        <f>'EAST-EGM-GL'!X11+'EAST-LRC-GL'!X11</f>
        <v>-58204</v>
      </c>
      <c r="Y11" s="38">
        <f>'EAST-EGM-GL'!Y11+'EAST-LRC-GL'!Y11</f>
        <v>-181724.54</v>
      </c>
      <c r="Z11" s="60">
        <f>'EAST-EGM-GL'!Z11+'EAST-LRC-GL'!Z11</f>
        <v>-76383</v>
      </c>
      <c r="AA11" s="38">
        <f>'EAST-EGM-GL'!AA11+'EAST-LRC-GL'!AA11</f>
        <v>-192468.13</v>
      </c>
      <c r="AB11" s="60">
        <f>'EAST-EGM-GL'!AB11+'EAST-LRC-GL'!AB11</f>
        <v>0</v>
      </c>
      <c r="AC11" s="38">
        <f>'EAST-EGM-GL'!AC11+'EAST-LRC-GL'!AC11</f>
        <v>3595.03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-1855894.5200000003</v>
      </c>
      <c r="F12" s="60">
        <f>('TIE-OUT'!L12+'TIE-OUT'!J12)+(RECLASS!J12+RECLASS!H12)</f>
        <v>0</v>
      </c>
      <c r="G12" s="38">
        <f>('TIE-OUT'!M12+'TIE-OUT'!K12)+(RECLASS!K12+RECLASS!I12)</f>
        <v>-1855894.5200000003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34376354</v>
      </c>
      <c r="E13" s="38">
        <f t="shared" si="0"/>
        <v>87323206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34376354</v>
      </c>
      <c r="I13" s="38">
        <f>'EAST-EGM-GL'!I13+'EAST-LRC-GL'!I13</f>
        <v>87323206</v>
      </c>
      <c r="J13" s="60">
        <f>'EAST-EGM-GL'!J13+'EAST-LRC-GL'!J13</f>
        <v>-19576381</v>
      </c>
      <c r="K13" s="38">
        <f>'EAST-EGM-GL'!K13+'EAST-LRC-GL'!K13</f>
        <v>-47106549</v>
      </c>
      <c r="L13" s="60">
        <f>'EAST-EGM-GL'!L13+'EAST-LRC-GL'!L13</f>
        <v>34376354</v>
      </c>
      <c r="M13" s="38">
        <f>'EAST-EGM-GL'!M13+'EAST-LRC-GL'!M13</f>
        <v>87323206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-34376354</v>
      </c>
      <c r="Q13" s="38">
        <f>'EAST-EGM-GL'!Q13+'EAST-LRC-GL'!Q13</f>
        <v>-87323206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19576381</v>
      </c>
      <c r="W13" s="38">
        <f>'EAST-EGM-GL'!W13+'EAST-LRC-GL'!W13</f>
        <v>47106549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911450.15</v>
      </c>
      <c r="F15" s="81">
        <f>('TIE-OUT'!L15+'TIE-OUT'!J15)+(RECLASS!J15+RECLASS!H15)</f>
        <v>0</v>
      </c>
      <c r="G15" s="82">
        <f>('TIE-OUT'!M15+'TIE-OUT'!K15)+(RECLASS!K15+RECLASS!I15)</f>
        <v>-1689890</v>
      </c>
      <c r="H15" s="60">
        <f>'EAST-EGM-GL'!H15+'EAST-LRC-GL'!H15</f>
        <v>0</v>
      </c>
      <c r="I15" s="38">
        <f>'EAST-EGM-GL'!I15+'EAST-LRC-GL'!I15</f>
        <v>1518046.8</v>
      </c>
      <c r="J15" s="60">
        <f>'EAST-EGM-GL'!J15+'EAST-LRC-GL'!J15</f>
        <v>0</v>
      </c>
      <c r="K15" s="38">
        <f>'EAST-EGM-GL'!K15+'EAST-LRC-GL'!K15</f>
        <v>939836.14</v>
      </c>
      <c r="L15" s="60">
        <f>'EAST-EGM-GL'!L15+'EAST-LRC-GL'!L15</f>
        <v>0</v>
      </c>
      <c r="M15" s="38">
        <f>'EAST-EGM-GL'!M15+'EAST-LRC-GL'!M15</f>
        <v>171933</v>
      </c>
      <c r="N15" s="60">
        <f>'EAST-EGM-GL'!N15+'EAST-LRC-GL'!N15</f>
        <v>0</v>
      </c>
      <c r="O15" s="38">
        <f>'EAST-EGM-GL'!O15+'EAST-LRC-GL'!O15</f>
        <v>-18.239999999999998</v>
      </c>
      <c r="P15" s="60">
        <f>'EAST-EGM-GL'!P15+'EAST-LRC-GL'!P15</f>
        <v>0</v>
      </c>
      <c r="Q15" s="38">
        <f>'EAST-EGM-GL'!Q15+'EAST-LRC-GL'!Q15</f>
        <v>-28310.54</v>
      </c>
      <c r="R15" s="60">
        <f>'EAST-EGM-GL'!R15+'EAST-LRC-GL'!R15</f>
        <v>0</v>
      </c>
      <c r="S15" s="38">
        <f>'EAST-EGM-GL'!S15+'EAST-LRC-GL'!S15</f>
        <v>-147.01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135387008</v>
      </c>
      <c r="E16" s="39">
        <f>SUM(E11:E15)</f>
        <v>385806317.98999995</v>
      </c>
      <c r="F16" s="61">
        <f t="shared" ref="F16:AD16" si="1">SUM(F11:F15)</f>
        <v>0</v>
      </c>
      <c r="G16" s="39">
        <f t="shared" si="1"/>
        <v>-2903429.5200000005</v>
      </c>
      <c r="H16" s="61">
        <f t="shared" si="1"/>
        <v>134853909</v>
      </c>
      <c r="I16" s="39">
        <f t="shared" si="1"/>
        <v>386977537.36000001</v>
      </c>
      <c r="J16" s="61">
        <f t="shared" si="1"/>
        <v>-20095501</v>
      </c>
      <c r="K16" s="39">
        <f t="shared" si="1"/>
        <v>-48056249.469999999</v>
      </c>
      <c r="L16" s="61">
        <f t="shared" si="1"/>
        <v>34922668</v>
      </c>
      <c r="M16" s="39">
        <f t="shared" si="1"/>
        <v>89116587.569999993</v>
      </c>
      <c r="N16" s="61">
        <f t="shared" ref="N16:S16" si="2">SUM(N11:N15)</f>
        <v>651</v>
      </c>
      <c r="O16" s="39">
        <f t="shared" si="2"/>
        <v>-908175.69000000006</v>
      </c>
      <c r="P16" s="61">
        <f t="shared" si="2"/>
        <v>-33517576</v>
      </c>
      <c r="Q16" s="39">
        <f t="shared" si="2"/>
        <v>-84190716.830000013</v>
      </c>
      <c r="R16" s="61">
        <f t="shared" si="2"/>
        <v>705</v>
      </c>
      <c r="S16" s="39">
        <f t="shared" si="2"/>
        <v>2266.2299999999996</v>
      </c>
      <c r="T16" s="61">
        <f>SUM(T11:T15)</f>
        <v>-37422</v>
      </c>
      <c r="U16" s="39">
        <f>SUM(U11:U15)</f>
        <v>20232.68</v>
      </c>
      <c r="V16" s="61">
        <f>SUM(V11:V15)</f>
        <v>19394161</v>
      </c>
      <c r="W16" s="39">
        <f>SUM(W11:W15)</f>
        <v>46118863.299999997</v>
      </c>
      <c r="X16" s="61">
        <f t="shared" si="1"/>
        <v>-58204</v>
      </c>
      <c r="Y16" s="39">
        <f t="shared" si="1"/>
        <v>-181724.54</v>
      </c>
      <c r="Z16" s="61">
        <f t="shared" si="1"/>
        <v>-76383</v>
      </c>
      <c r="AA16" s="39">
        <f t="shared" si="1"/>
        <v>-192468.13</v>
      </c>
      <c r="AB16" s="61">
        <f t="shared" si="1"/>
        <v>0</v>
      </c>
      <c r="AC16" s="39">
        <f t="shared" si="1"/>
        <v>3595.03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-103758321</v>
      </c>
      <c r="E19" s="38">
        <f t="shared" si="3"/>
        <v>-309923208.14000005</v>
      </c>
      <c r="F19" s="64">
        <f>('TIE-OUT'!L19+'TIE-OUT'!J19)+(RECLASS!J19+RECLASS!H19)</f>
        <v>0</v>
      </c>
      <c r="G19" s="68">
        <f>('TIE-OUT'!M19+'TIE-OUT'!K19)+(RECLASS!K19+RECLASS!I19)</f>
        <v>802473</v>
      </c>
      <c r="H19" s="60">
        <f>'EAST-EGM-GL'!H19+'EAST-LRC-GL'!H19</f>
        <v>-102942741</v>
      </c>
      <c r="I19" s="38">
        <f>'EAST-EGM-GL'!I19+'EAST-LRC-GL'!I19</f>
        <v>-308750939.73999995</v>
      </c>
      <c r="J19" s="60">
        <f>'EAST-EGM-GL'!J19+'EAST-LRC-GL'!J19</f>
        <v>-555665</v>
      </c>
      <c r="K19" s="38">
        <f>'EAST-EGM-GL'!K19+'EAST-LRC-GL'!K19</f>
        <v>-1402972.85</v>
      </c>
      <c r="L19" s="60">
        <f>'EAST-EGM-GL'!L19+'EAST-LRC-GL'!L19</f>
        <v>-207714</v>
      </c>
      <c r="M19" s="38">
        <f>'EAST-EGM-GL'!M19+'EAST-LRC-GL'!M19</f>
        <v>-460561.91</v>
      </c>
      <c r="N19" s="60">
        <f>'EAST-EGM-GL'!N19+'EAST-LRC-GL'!N19</f>
        <v>-28338</v>
      </c>
      <c r="O19" s="38">
        <f>'EAST-EGM-GL'!O19+'EAST-LRC-GL'!O19</f>
        <v>-9939.89</v>
      </c>
      <c r="P19" s="60">
        <f>'EAST-EGM-GL'!P19+'EAST-LRC-GL'!P19</f>
        <v>-86825</v>
      </c>
      <c r="Q19" s="38">
        <f>'EAST-EGM-GL'!Q19+'EAST-LRC-GL'!Q19</f>
        <v>-156103.67999999999</v>
      </c>
      <c r="R19" s="60">
        <f>'EAST-EGM-GL'!R19+'EAST-LRC-GL'!R19</f>
        <v>-280344</v>
      </c>
      <c r="S19" s="38">
        <f>'EAST-EGM-GL'!S19+'EAST-LRC-GL'!S19</f>
        <v>-798423.94</v>
      </c>
      <c r="T19" s="60">
        <f>'EAST-EGM-GL'!T19+'EAST-LRC-GL'!T19</f>
        <v>317094</v>
      </c>
      <c r="U19" s="38">
        <f>'EAST-EGM-GL'!U19+'EAST-LRC-GL'!U19</f>
        <v>796596.33</v>
      </c>
      <c r="V19" s="60">
        <f>'EAST-EGM-GL'!V19+'EAST-LRC-GL'!V19</f>
        <v>22885</v>
      </c>
      <c r="W19" s="38">
        <f>'EAST-EGM-GL'!W19+'EAST-LRC-GL'!W19</f>
        <v>54158.02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38.4</v>
      </c>
      <c r="AB19" s="60">
        <f>'EAST-EGM-GL'!AB19+'EAST-LRC-GL'!AB19</f>
        <v>3327</v>
      </c>
      <c r="AC19" s="38">
        <f>'EAST-EGM-GL'!AC19+'EAST-LRC-GL'!AC19</f>
        <v>2468.12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-1893012.96</v>
      </c>
      <c r="F20" s="60">
        <f>('TIE-OUT'!L20+'TIE-OUT'!J20)+(RECLASS!J20+RECLASS!H20)</f>
        <v>0</v>
      </c>
      <c r="G20" s="38">
        <f>('TIE-OUT'!M20+'TIE-OUT'!K20)+(RECLASS!K20+RECLASS!I20)</f>
        <v>-2295775.98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402763.01999999996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-30932657</v>
      </c>
      <c r="E21" s="38">
        <f t="shared" si="3"/>
        <v>-78373609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-30773458</v>
      </c>
      <c r="I21" s="38">
        <f>'EAST-EGM-GL'!I21+'EAST-LRC-GL'!I21</f>
        <v>-78033680</v>
      </c>
      <c r="J21" s="60">
        <f>'EAST-EGM-GL'!J21+'EAST-LRC-GL'!J21</f>
        <v>19171751</v>
      </c>
      <c r="K21" s="38">
        <f>'EAST-EGM-GL'!K21+'EAST-LRC-GL'!K21</f>
        <v>46313617</v>
      </c>
      <c r="L21" s="60">
        <f>'EAST-EGM-GL'!L21+'EAST-LRC-GL'!L21</f>
        <v>-30773458</v>
      </c>
      <c r="M21" s="38">
        <f>'EAST-EGM-GL'!M21+'EAST-LRC-GL'!M21</f>
        <v>-78033680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30773458</v>
      </c>
      <c r="Q21" s="38">
        <f>'EAST-EGM-GL'!Q21+'EAST-LRC-GL'!Q21</f>
        <v>78033680</v>
      </c>
      <c r="R21" s="60">
        <f>'EAST-EGM-GL'!R21+'EAST-LRC-GL'!R21</f>
        <v>-525</v>
      </c>
      <c r="S21" s="38">
        <f>'EAST-EGM-GL'!S21+'EAST-LRC-GL'!S21</f>
        <v>-1312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-19330425</v>
      </c>
      <c r="W21" s="38">
        <f>'EAST-EGM-GL'!W21+'EAST-LRC-GL'!W21</f>
        <v>-46652234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208011</v>
      </c>
      <c r="E23" s="38">
        <f t="shared" si="3"/>
        <v>2307371.7450000001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897680</v>
      </c>
      <c r="I23" s="38">
        <f>'EAST-EGM-GL'!I23+'EAST-LRC-GL'!I23</f>
        <v>2769342.8</v>
      </c>
      <c r="J23" s="60">
        <f>'EAST-EGM-GL'!J23+'EAST-LRC-GL'!J23</f>
        <v>35930</v>
      </c>
      <c r="K23" s="38">
        <f>'EAST-EGM-GL'!K23+'EAST-LRC-GL'!K23</f>
        <v>84292.63</v>
      </c>
      <c r="L23" s="60">
        <f>'EAST-EGM-GL'!L23+'EAST-LRC-GL'!L23</f>
        <v>8444</v>
      </c>
      <c r="M23" s="38">
        <f>'EAST-EGM-GL'!M23+'EAST-LRC-GL'!M23</f>
        <v>24495.764999999999</v>
      </c>
      <c r="N23" s="60">
        <f>'EAST-EGM-GL'!N23+'EAST-LRC-GL'!N23</f>
        <v>-559627</v>
      </c>
      <c r="O23" s="38">
        <f>'EAST-EGM-GL'!O23+'EAST-LRC-GL'!O23</f>
        <v>-32686.089999999997</v>
      </c>
      <c r="P23" s="60">
        <f>'EAST-EGM-GL'!P23+'EAST-LRC-GL'!P23</f>
        <v>2746</v>
      </c>
      <c r="Q23" s="38">
        <f>'EAST-EGM-GL'!Q23+'EAST-LRC-GL'!Q23</f>
        <v>8471.41</v>
      </c>
      <c r="R23" s="60">
        <f>'EAST-EGM-GL'!R23+'EAST-LRC-GL'!R23</f>
        <v>-188208</v>
      </c>
      <c r="S23" s="38">
        <f>'EAST-EGM-GL'!S23+'EAST-LRC-GL'!S23</f>
        <v>-580621.68000000005</v>
      </c>
      <c r="T23" s="60">
        <f>'EAST-EGM-GL'!T23+'EAST-LRC-GL'!T23</f>
        <v>10298</v>
      </c>
      <c r="U23" s="38">
        <f>'EAST-EGM-GL'!U23+'EAST-LRC-GL'!U23</f>
        <v>31769.33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764</v>
      </c>
      <c r="AA23" s="38">
        <f>'EAST-EGM-GL'!AA23+'EAST-LRC-GL'!AA23</f>
        <v>2356.94</v>
      </c>
      <c r="AB23" s="60">
        <f>'EAST-EGM-GL'!AB23+'EAST-LRC-GL'!AB23</f>
        <v>-16</v>
      </c>
      <c r="AC23" s="38">
        <f>'EAST-EGM-GL'!AC23+'EAST-LRC-GL'!AC23</f>
        <v>-49.36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33</v>
      </c>
      <c r="C24" s="6"/>
      <c r="D24" s="61">
        <f>SUM(D19:D23)</f>
        <v>-134482967</v>
      </c>
      <c r="E24" s="39">
        <f>SUM(E19:E23)</f>
        <v>-387882458.35500002</v>
      </c>
      <c r="F24" s="61">
        <f t="shared" ref="F24:AD24" si="4">SUM(F19:F23)</f>
        <v>0</v>
      </c>
      <c r="G24" s="39">
        <f t="shared" si="4"/>
        <v>-1493302.98</v>
      </c>
      <c r="H24" s="61">
        <f t="shared" si="4"/>
        <v>-132818519</v>
      </c>
      <c r="I24" s="39">
        <f t="shared" si="4"/>
        <v>-384015276.93999994</v>
      </c>
      <c r="J24" s="61">
        <f t="shared" si="4"/>
        <v>18652016</v>
      </c>
      <c r="K24" s="39">
        <f t="shared" si="4"/>
        <v>44994936.780000001</v>
      </c>
      <c r="L24" s="61">
        <f t="shared" si="4"/>
        <v>-30972728</v>
      </c>
      <c r="M24" s="39">
        <f t="shared" si="4"/>
        <v>-78066983.125</v>
      </c>
      <c r="N24" s="61">
        <f t="shared" ref="N24:S24" si="5">SUM(N19:N23)</f>
        <v>-587965</v>
      </c>
      <c r="O24" s="39">
        <f t="shared" si="5"/>
        <v>-42625.979999999996</v>
      </c>
      <c r="P24" s="61">
        <f t="shared" si="5"/>
        <v>30689379</v>
      </c>
      <c r="Q24" s="39">
        <f t="shared" si="5"/>
        <v>77886047.729999989</v>
      </c>
      <c r="R24" s="61">
        <f t="shared" si="5"/>
        <v>-469077</v>
      </c>
      <c r="S24" s="39">
        <f t="shared" si="5"/>
        <v>-1380357.62</v>
      </c>
      <c r="T24" s="61">
        <f>SUM(T19:T23)</f>
        <v>327392</v>
      </c>
      <c r="U24" s="39">
        <f>SUM(U19:U23)</f>
        <v>828365.65999999992</v>
      </c>
      <c r="V24" s="61">
        <f>SUM(V19:V23)</f>
        <v>-19307540</v>
      </c>
      <c r="W24" s="39">
        <f>SUM(W19:W23)</f>
        <v>-46598075.979999997</v>
      </c>
      <c r="X24" s="61">
        <f t="shared" si="4"/>
        <v>0</v>
      </c>
      <c r="Y24" s="39">
        <f t="shared" si="4"/>
        <v>0</v>
      </c>
      <c r="Z24" s="61">
        <f t="shared" si="4"/>
        <v>764</v>
      </c>
      <c r="AA24" s="39">
        <f t="shared" si="4"/>
        <v>2395.34</v>
      </c>
      <c r="AB24" s="61">
        <f t="shared" si="4"/>
        <v>3311</v>
      </c>
      <c r="AC24" s="39">
        <f t="shared" si="4"/>
        <v>2418.7599999999998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12482707</v>
      </c>
      <c r="E27" s="38">
        <f>SUM(G27,I27,K27,M27,O27,Q27,S27,U27,W27,Y27,AA27,AC27,AE27)</f>
        <v>29472757.520000003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13053482</v>
      </c>
      <c r="I27" s="38">
        <f>'EAST-EGM-GL'!I27+'EAST-LRC-GL'!I27</f>
        <v>31058687.370000005</v>
      </c>
      <c r="J27" s="60">
        <f>'EAST-EGM-GL'!J27+'EAST-LRC-GL'!J27</f>
        <v>-296225</v>
      </c>
      <c r="K27" s="38">
        <f>'EAST-EGM-GL'!K27+'EAST-LRC-GL'!K27</f>
        <v>-849896.09</v>
      </c>
      <c r="L27" s="60">
        <f>'EAST-EGM-GL'!L27+'EAST-LRC-GL'!L27</f>
        <v>-200549</v>
      </c>
      <c r="M27" s="38">
        <f>'EAST-EGM-GL'!M27+'EAST-LRC-GL'!M27</f>
        <v>-538128.4</v>
      </c>
      <c r="N27" s="60">
        <f>'EAST-EGM-GL'!N27+'EAST-LRC-GL'!N27</f>
        <v>-138342</v>
      </c>
      <c r="O27" s="38">
        <f>'EAST-EGM-GL'!O27+'EAST-LRC-GL'!O27</f>
        <v>-391507.86</v>
      </c>
      <c r="P27" s="60">
        <f>'EAST-EGM-GL'!P27+'EAST-LRC-GL'!P27</f>
        <v>-148942</v>
      </c>
      <c r="Q27" s="38">
        <f>'EAST-EGM-GL'!Q27+'EAST-LRC-GL'!Q27</f>
        <v>-417097.64</v>
      </c>
      <c r="R27" s="60">
        <f>'EAST-EGM-GL'!R27+'EAST-LRC-GL'!R27</f>
        <v>184308</v>
      </c>
      <c r="S27" s="38">
        <f>'EAST-EGM-GL'!S27+'EAST-LRC-GL'!S27</f>
        <v>543272.06000000006</v>
      </c>
      <c r="T27" s="60">
        <f>'EAST-EGM-GL'!T27+'EAST-LRC-GL'!T27</f>
        <v>28975</v>
      </c>
      <c r="U27" s="38">
        <f>'EAST-EGM-GL'!U27+'EAST-LRC-GL'!U27</f>
        <v>67428.08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-12916914</v>
      </c>
      <c r="E28" s="38">
        <f>SUM(G28,I28,K28,M28,O28,Q28,S28,U28,W28,Y28,AA28,AC28,AE28)</f>
        <v>-30430878.250000004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-13594278</v>
      </c>
      <c r="I28" s="38">
        <f>'EAST-EGM-GL'!I28+'EAST-LRC-GL'!I28</f>
        <v>-32321259.140000001</v>
      </c>
      <c r="J28" s="60">
        <f>'EAST-EGM-GL'!J28+'EAST-LRC-GL'!J28</f>
        <v>927049</v>
      </c>
      <c r="K28" s="38">
        <f>'EAST-EGM-GL'!K28+'EAST-LRC-GL'!K28</f>
        <v>2370463.9</v>
      </c>
      <c r="L28" s="60">
        <f>'EAST-EGM-GL'!L28+'EAST-LRC-GL'!L28</f>
        <v>198952</v>
      </c>
      <c r="M28" s="38">
        <f>'EAST-EGM-GL'!M28+'EAST-LRC-GL'!M28</f>
        <v>401533.99</v>
      </c>
      <c r="N28" s="60">
        <f>'EAST-EGM-GL'!N28+'EAST-LRC-GL'!N28</f>
        <v>-633811</v>
      </c>
      <c r="O28" s="38">
        <f>'EAST-EGM-GL'!O28+'EAST-LRC-GL'!O28</f>
        <v>-1278786.58</v>
      </c>
      <c r="P28" s="60">
        <f>'EAST-EGM-GL'!P28+'EAST-LRC-GL'!P28</f>
        <v>403719</v>
      </c>
      <c r="Q28" s="38">
        <f>'EAST-EGM-GL'!Q28+'EAST-LRC-GL'!Q28</f>
        <v>1009835.78</v>
      </c>
      <c r="R28" s="60">
        <f>'EAST-EGM-GL'!R28+'EAST-LRC-GL'!R28</f>
        <v>-107331</v>
      </c>
      <c r="S28" s="38">
        <f>'EAST-EGM-GL'!S28+'EAST-LRC-GL'!S28</f>
        <v>-232790.82</v>
      </c>
      <c r="T28" s="60">
        <f>'EAST-EGM-GL'!T28+'EAST-LRC-GL'!T28</f>
        <v>-111214</v>
      </c>
      <c r="U28" s="38">
        <f>'EAST-EGM-GL'!U28+'EAST-LRC-GL'!U28</f>
        <v>-379875.38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-434207</v>
      </c>
      <c r="E29" s="39">
        <f>SUM(E27:E28)</f>
        <v>-958120.73000000045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-540796</v>
      </c>
      <c r="I29" s="39">
        <f t="shared" si="6"/>
        <v>-1262571.7699999958</v>
      </c>
      <c r="J29" s="61">
        <f t="shared" si="6"/>
        <v>630824</v>
      </c>
      <c r="K29" s="39">
        <f t="shared" si="6"/>
        <v>1520567.81</v>
      </c>
      <c r="L29" s="61">
        <f t="shared" si="6"/>
        <v>-1597</v>
      </c>
      <c r="M29" s="39">
        <f t="shared" si="6"/>
        <v>-136594.41000000003</v>
      </c>
      <c r="N29" s="61">
        <f t="shared" ref="N29:S29" si="7">SUM(N27:N28)</f>
        <v>-772153</v>
      </c>
      <c r="O29" s="39">
        <f t="shared" si="7"/>
        <v>-1670294.44</v>
      </c>
      <c r="P29" s="61">
        <f t="shared" si="7"/>
        <v>254777</v>
      </c>
      <c r="Q29" s="39">
        <f t="shared" si="7"/>
        <v>592738.14</v>
      </c>
      <c r="R29" s="61">
        <f t="shared" si="7"/>
        <v>76977</v>
      </c>
      <c r="S29" s="39">
        <f t="shared" si="7"/>
        <v>310481.24000000005</v>
      </c>
      <c r="T29" s="61">
        <f>SUM(T27:T28)</f>
        <v>-82239</v>
      </c>
      <c r="U29" s="39">
        <f>SUM(U27:U28)</f>
        <v>-312447.3</v>
      </c>
      <c r="V29" s="61">
        <f>SUM(V27:V28)</f>
        <v>0</v>
      </c>
      <c r="W29" s="39">
        <f>SUM(W27:W28)</f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-6407</v>
      </c>
      <c r="E32" s="38">
        <f t="shared" si="8"/>
        <v>-19765.600000000326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-462848</v>
      </c>
      <c r="I32" s="38">
        <f>'EAST-EGM-GL'!I32+'EAST-LRC-GL'!I32</f>
        <v>-1427886.0800000001</v>
      </c>
      <c r="J32" s="60">
        <f>'EAST-EGM-GL'!J32+'EAST-LRC-GL'!J32</f>
        <v>29116</v>
      </c>
      <c r="K32" s="38">
        <f>'EAST-EGM-GL'!K32+'EAST-LRC-GL'!K32</f>
        <v>89822.859999999986</v>
      </c>
      <c r="L32" s="60">
        <f>'EAST-EGM-GL'!L32+'EAST-LRC-GL'!L32</f>
        <v>-65711</v>
      </c>
      <c r="M32" s="38">
        <f>'EAST-EGM-GL'!M32+'EAST-LRC-GL'!M32</f>
        <v>-202718.435</v>
      </c>
      <c r="N32" s="60">
        <f>'EAST-EGM-GL'!N32+'EAST-LRC-GL'!N32</f>
        <v>33400</v>
      </c>
      <c r="O32" s="38">
        <f>'EAST-EGM-GL'!O32+'EAST-LRC-GL'!O32</f>
        <v>103039</v>
      </c>
      <c r="P32" s="60">
        <f>'EAST-EGM-GL'!P32+'EAST-LRC-GL'!P32</f>
        <v>-537</v>
      </c>
      <c r="Q32" s="38">
        <f>'EAST-EGM-GL'!Q32+'EAST-LRC-GL'!Q32</f>
        <v>-1656.645</v>
      </c>
      <c r="R32" s="60">
        <f>'EAST-EGM-GL'!R32+'EAST-LRC-GL'!R32</f>
        <v>188450</v>
      </c>
      <c r="S32" s="38">
        <f>'EAST-EGM-GL'!S32+'EAST-LRC-GL'!S32</f>
        <v>581368.25</v>
      </c>
      <c r="T32" s="60">
        <f>'EAST-EGM-GL'!T32+'EAST-LRC-GL'!T32</f>
        <v>243537</v>
      </c>
      <c r="U32" s="38">
        <f>'EAST-EGM-GL'!U32+'EAST-LRC-GL'!U32</f>
        <v>751311.64500000002</v>
      </c>
      <c r="V32" s="60">
        <f>'EAST-EGM-GL'!V32+'EAST-LRC-GL'!V32</f>
        <v>159153</v>
      </c>
      <c r="W32" s="38">
        <f>'EAST-EGM-GL'!W32+'EAST-LRC-GL'!W32</f>
        <v>490987.005</v>
      </c>
      <c r="X32" s="60">
        <f>'EAST-EGM-GL'!X32+'EAST-LRC-GL'!X32</f>
        <v>55639</v>
      </c>
      <c r="Y32" s="38">
        <f>'EAST-EGM-GL'!Y32+'EAST-LRC-GL'!Y32</f>
        <v>171646.32</v>
      </c>
      <c r="Z32" s="60">
        <f>'EAST-EGM-GL'!Z32+'EAST-LRC-GL'!Z32</f>
        <v>-179309</v>
      </c>
      <c r="AA32" s="38">
        <f>'EAST-EGM-GL'!AA32+'EAST-LRC-GL'!AA32</f>
        <v>-553168.27</v>
      </c>
      <c r="AB32" s="60">
        <f>'EAST-EGM-GL'!AB32+'EAST-LRC-GL'!AB32</f>
        <v>-7297</v>
      </c>
      <c r="AC32" s="38">
        <f>'EAST-EGM-GL'!AC32+'EAST-LRC-GL'!AC32</f>
        <v>-22511.25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-157067</v>
      </c>
      <c r="E33" s="38">
        <f t="shared" si="8"/>
        <v>-591956.32999999996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-154948</v>
      </c>
      <c r="K33" s="38">
        <f>'EAST-EGM-GL'!K33+'EAST-LRC-GL'!K33</f>
        <v>-523240.24</v>
      </c>
      <c r="L33" s="60">
        <f>'EAST-EGM-GL'!L33+'EAST-LRC-GL'!L33</f>
        <v>-1180</v>
      </c>
      <c r="M33" s="38">
        <f>'EAST-EGM-GL'!M33+'EAST-LRC-GL'!M33</f>
        <v>-2919.67</v>
      </c>
      <c r="N33" s="60">
        <f>'EAST-EGM-GL'!N33+'EAST-LRC-GL'!N33</f>
        <v>0</v>
      </c>
      <c r="O33" s="38">
        <f>'EAST-EGM-GL'!O33+'EAST-LRC-GL'!O33</f>
        <v>-31247.57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-32149.71</v>
      </c>
      <c r="T33" s="60">
        <f>'EAST-EGM-GL'!T33+'EAST-LRC-GL'!T33</f>
        <v>-939</v>
      </c>
      <c r="U33" s="38">
        <f>'EAST-EGM-GL'!U33+'EAST-LRC-GL'!U33</f>
        <v>-2399.14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108621</v>
      </c>
      <c r="E34" s="38">
        <f t="shared" si="8"/>
        <v>246712.02000000002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74745</v>
      </c>
      <c r="K34" s="38">
        <f>'EAST-EGM-GL'!K34+'EAST-LRC-GL'!K34</f>
        <v>182871.79</v>
      </c>
      <c r="L34" s="60">
        <f>'EAST-EGM-GL'!L34+'EAST-LRC-GL'!L34</f>
        <v>3894</v>
      </c>
      <c r="M34" s="38">
        <f>'EAST-EGM-GL'!M34+'EAST-LRC-GL'!M34</f>
        <v>8879.93</v>
      </c>
      <c r="N34" s="60">
        <f>'EAST-EGM-GL'!N34+'EAST-LRC-GL'!N34</f>
        <v>4054</v>
      </c>
      <c r="O34" s="38">
        <f>'EAST-EGM-GL'!O34+'EAST-LRC-GL'!O34</f>
        <v>9814.73</v>
      </c>
      <c r="P34" s="60">
        <f>'EAST-EGM-GL'!P34+'EAST-LRC-GL'!P34</f>
        <v>5089</v>
      </c>
      <c r="Q34" s="38">
        <f>'EAST-EGM-GL'!Q34+'EAST-LRC-GL'!Q34</f>
        <v>12529.13</v>
      </c>
      <c r="R34" s="60">
        <f>'EAST-EGM-GL'!R34+'EAST-LRC-GL'!R34</f>
        <v>20657</v>
      </c>
      <c r="S34" s="38">
        <f>'EAST-EGM-GL'!S34+'EAST-LRC-GL'!S34</f>
        <v>32149.71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182</v>
      </c>
      <c r="W34" s="38">
        <f>'EAST-EGM-GL'!W34+'EAST-LRC-GL'!W34</f>
        <v>466.73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507378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507378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452525</v>
      </c>
      <c r="E36" s="39">
        <f>SUM(E32:E35)</f>
        <v>-365009.91000000027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-462848</v>
      </c>
      <c r="I36" s="39">
        <f t="shared" si="9"/>
        <v>-1427886.0800000001</v>
      </c>
      <c r="J36" s="61">
        <f t="shared" si="9"/>
        <v>-51087</v>
      </c>
      <c r="K36" s="39">
        <f t="shared" si="9"/>
        <v>-250545.59</v>
      </c>
      <c r="L36" s="61">
        <f t="shared" si="9"/>
        <v>-62997</v>
      </c>
      <c r="M36" s="39">
        <f t="shared" si="9"/>
        <v>-196758.17500000002</v>
      </c>
      <c r="N36" s="61">
        <f t="shared" ref="N36:S36" si="10">SUM(N32:N35)</f>
        <v>37454</v>
      </c>
      <c r="O36" s="39">
        <f t="shared" si="10"/>
        <v>81606.159999999989</v>
      </c>
      <c r="P36" s="61">
        <f t="shared" si="10"/>
        <v>511930</v>
      </c>
      <c r="Q36" s="39">
        <f t="shared" si="10"/>
        <v>10872.484999999999</v>
      </c>
      <c r="R36" s="61">
        <f t="shared" si="10"/>
        <v>209107</v>
      </c>
      <c r="S36" s="39">
        <f t="shared" si="10"/>
        <v>581368.25</v>
      </c>
      <c r="T36" s="61">
        <f>SUM(T32:T35)</f>
        <v>242598</v>
      </c>
      <c r="U36" s="39">
        <f>SUM(U32:U35)</f>
        <v>748912.505</v>
      </c>
      <c r="V36" s="61">
        <f>SUM(V32:V35)</f>
        <v>159335</v>
      </c>
      <c r="W36" s="39">
        <f>SUM(W32:W35)</f>
        <v>491453.73499999999</v>
      </c>
      <c r="X36" s="61">
        <f t="shared" si="9"/>
        <v>55639</v>
      </c>
      <c r="Y36" s="39">
        <f t="shared" si="9"/>
        <v>171646.32</v>
      </c>
      <c r="Z36" s="61">
        <f t="shared" si="9"/>
        <v>-179309</v>
      </c>
      <c r="AA36" s="39">
        <f t="shared" si="9"/>
        <v>-553168.27</v>
      </c>
      <c r="AB36" s="61">
        <f t="shared" si="9"/>
        <v>-7297</v>
      </c>
      <c r="AC36" s="39">
        <f t="shared" si="9"/>
        <v>-22511.25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717156</v>
      </c>
      <c r="E39" s="38">
        <f t="shared" si="11"/>
        <v>1387625.2699999996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1224534</v>
      </c>
      <c r="K39" s="38">
        <f>'EAST-EGM-GL'!K39+'EAST-LRC-GL'!K39</f>
        <v>2952886.2699999996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-507378</v>
      </c>
      <c r="Q39" s="38">
        <f>'EAST-EGM-GL'!Q39+'EAST-LRC-GL'!Q39</f>
        <v>-1565261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-1840614</v>
      </c>
      <c r="E40" s="38">
        <f t="shared" si="11"/>
        <v>-4537283.88</v>
      </c>
      <c r="F40" s="60">
        <f>('TIE-OUT'!L40+'TIE-OUT'!J40)+(RECLASS!J40+RECLASS!H40)</f>
        <v>0</v>
      </c>
      <c r="G40" s="38">
        <f>('TIE-OUT'!M40+'TIE-OUT'!K40)+(RECLASS!K40+RECLASS!I40)</f>
        <v>-964410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-1803409</v>
      </c>
      <c r="K40" s="38">
        <f>'EAST-EGM-GL'!K40+'EAST-LRC-GL'!K40</f>
        <v>-3510971.81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21839</v>
      </c>
      <c r="O40" s="38">
        <f>'EAST-EGM-GL'!O40+'EAST-LRC-GL'!O40</f>
        <v>42256.28</v>
      </c>
      <c r="P40" s="60">
        <f>'EAST-EGM-GL'!P40+'EAST-LRC-GL'!P40</f>
        <v>9200</v>
      </c>
      <c r="Q40" s="38">
        <f>'EAST-EGM-GL'!Q40+'EAST-LRC-GL'!Q40</f>
        <v>28382</v>
      </c>
      <c r="R40" s="60">
        <f>'EAST-EGM-GL'!R40+'EAST-LRC-GL'!R40</f>
        <v>-67480</v>
      </c>
      <c r="S40" s="38">
        <f>'EAST-EGM-GL'!S40+'EAST-LRC-GL'!S40</f>
        <v>-130567.05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-764</v>
      </c>
      <c r="AA40" s="38">
        <f>'EAST-EGM-GL'!AA40+'EAST-LRC-GL'!AA40</f>
        <v>-1973.3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-1840614</v>
      </c>
      <c r="E42" s="39">
        <f>SUM(E40:E41)</f>
        <v>-4537283.88</v>
      </c>
      <c r="F42" s="61">
        <f t="shared" ref="F42:AD42" si="12">SUM(F40:F41)</f>
        <v>0</v>
      </c>
      <c r="G42" s="39">
        <f t="shared" si="12"/>
        <v>-964410</v>
      </c>
      <c r="H42" s="61">
        <f t="shared" si="12"/>
        <v>0</v>
      </c>
      <c r="I42" s="39">
        <f t="shared" si="12"/>
        <v>0</v>
      </c>
      <c r="J42" s="61">
        <f t="shared" si="12"/>
        <v>-1803409</v>
      </c>
      <c r="K42" s="39">
        <f t="shared" si="12"/>
        <v>-3510971.81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21839</v>
      </c>
      <c r="O42" s="39">
        <f t="shared" si="13"/>
        <v>42256.28</v>
      </c>
      <c r="P42" s="61">
        <f t="shared" si="13"/>
        <v>9200</v>
      </c>
      <c r="Q42" s="39">
        <f t="shared" si="13"/>
        <v>28382</v>
      </c>
      <c r="R42" s="61">
        <f t="shared" si="13"/>
        <v>-67480</v>
      </c>
      <c r="S42" s="39">
        <f t="shared" si="13"/>
        <v>-130567.05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-764</v>
      </c>
      <c r="AA42" s="39">
        <f t="shared" si="12"/>
        <v>-1973.3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-1123458</v>
      </c>
      <c r="E43" s="39">
        <f>E42+E39</f>
        <v>-3149658.6100000003</v>
      </c>
      <c r="F43" s="61">
        <f t="shared" ref="F43:AD43" si="14">F42+F39</f>
        <v>0</v>
      </c>
      <c r="G43" s="39">
        <f t="shared" si="14"/>
        <v>-964410</v>
      </c>
      <c r="H43" s="61">
        <f t="shared" si="14"/>
        <v>0</v>
      </c>
      <c r="I43" s="39">
        <f t="shared" si="14"/>
        <v>0</v>
      </c>
      <c r="J43" s="61">
        <f t="shared" si="14"/>
        <v>-578875</v>
      </c>
      <c r="K43" s="39">
        <f t="shared" si="14"/>
        <v>-558085.5400000005</v>
      </c>
      <c r="L43" s="61">
        <f t="shared" si="14"/>
        <v>0</v>
      </c>
      <c r="M43" s="39">
        <f t="shared" si="14"/>
        <v>0</v>
      </c>
      <c r="N43" s="61">
        <f t="shared" ref="N43:S43" si="15">N42+N39</f>
        <v>21839</v>
      </c>
      <c r="O43" s="39">
        <f t="shared" si="15"/>
        <v>42256.28</v>
      </c>
      <c r="P43" s="61">
        <f t="shared" si="15"/>
        <v>-498178</v>
      </c>
      <c r="Q43" s="39">
        <f t="shared" si="15"/>
        <v>-1536879</v>
      </c>
      <c r="R43" s="61">
        <f t="shared" si="15"/>
        <v>-67480</v>
      </c>
      <c r="S43" s="39">
        <f t="shared" si="15"/>
        <v>-130567.05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-764</v>
      </c>
      <c r="AA43" s="39">
        <f t="shared" si="14"/>
        <v>-1973.3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-5073</v>
      </c>
      <c r="E45" s="38">
        <f>SUM(G45,I45,K45,M45,O45,Q45,S45,U45,W45,Y45,AA45,AC45,AE45)</f>
        <v>-8671.7900000000009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-5073</v>
      </c>
      <c r="K45" s="38">
        <f>'EAST-EGM-GL'!K45+'EAST-LRC-GL'!K45</f>
        <v>-8671.7900000000009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206172</v>
      </c>
      <c r="E49" s="38">
        <f>SUM(G49,I49,K49,M49,O49,Q49,S49,U49,W49,Y49,AA49,AC49,AE49)</f>
        <v>636040.62999999907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-1031746</v>
      </c>
      <c r="I49" s="38">
        <f>'EAST-EGM-GL'!I49+'EAST-LRC-GL'!I49</f>
        <v>-3182936.41</v>
      </c>
      <c r="J49" s="60">
        <f>'EAST-EGM-GL'!J49+'EAST-LRC-GL'!J49</f>
        <v>1447696</v>
      </c>
      <c r="K49" s="38">
        <f>'EAST-EGM-GL'!K49+'EAST-LRC-GL'!K49</f>
        <v>4466142.165</v>
      </c>
      <c r="L49" s="60">
        <f>'EAST-EGM-GL'!L49+'EAST-LRC-GL'!L49</f>
        <v>-3885346</v>
      </c>
      <c r="M49" s="38">
        <f>'EAST-EGM-GL'!M49+'EAST-LRC-GL'!M49</f>
        <v>-11986292.41</v>
      </c>
      <c r="N49" s="60">
        <f>'EAST-EGM-GL'!N49+'EAST-LRC-GL'!N49</f>
        <v>1300174</v>
      </c>
      <c r="O49" s="38">
        <f>'EAST-EGM-GL'!O49+'EAST-LRC-GL'!O49</f>
        <v>4011036.79</v>
      </c>
      <c r="P49" s="60">
        <f>'EAST-EGM-GL'!P49+'EAST-LRC-GL'!P49</f>
        <v>2559668</v>
      </c>
      <c r="Q49" s="38">
        <f>'EAST-EGM-GL'!Q49+'EAST-LRC-GL'!Q49</f>
        <v>7896575.7800000003</v>
      </c>
      <c r="R49" s="60">
        <f>'EAST-EGM-GL'!R49+'EAST-LRC-GL'!R49</f>
        <v>249768</v>
      </c>
      <c r="S49" s="38">
        <f>'EAST-EGM-GL'!S49+'EAST-LRC-GL'!S49</f>
        <v>770534.28</v>
      </c>
      <c r="T49" s="60">
        <f>'EAST-EGM-GL'!T49+'EAST-LRC-GL'!T49</f>
        <v>-450329</v>
      </c>
      <c r="U49" s="38">
        <f>'EAST-EGM-GL'!U49+'EAST-LRC-GL'!U49</f>
        <v>-1389264.9650000001</v>
      </c>
      <c r="V49" s="60">
        <f>'EAST-EGM-GL'!V49+'EAST-LRC-GL'!V49</f>
        <v>-245956</v>
      </c>
      <c r="W49" s="38">
        <f>'EAST-EGM-GL'!W49+'EAST-LRC-GL'!W49</f>
        <v>-758774.26</v>
      </c>
      <c r="X49" s="60">
        <f>'EAST-EGM-GL'!X49+'EAST-LRC-GL'!X49</f>
        <v>2565</v>
      </c>
      <c r="Y49" s="38">
        <f>'EAST-EGM-GL'!Y49+'EAST-LRC-GL'!Y49</f>
        <v>7913.03</v>
      </c>
      <c r="Z49" s="60">
        <f>'EAST-EGM-GL'!Z49+'EAST-LRC-GL'!Z49</f>
        <v>255692</v>
      </c>
      <c r="AA49" s="38">
        <f>'EAST-EGM-GL'!AA49+'EAST-LRC-GL'!AA49</f>
        <v>788809.82</v>
      </c>
      <c r="AB49" s="60">
        <f>'EAST-EGM-GL'!AB49+'EAST-LRC-GL'!AB49</f>
        <v>3986</v>
      </c>
      <c r="AC49" s="38">
        <f>'EAST-EGM-GL'!AC49+'EAST-LRC-GL'!AC49</f>
        <v>12296.810000000001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-764242</v>
      </c>
      <c r="E51" s="38">
        <f>SUM(G51,I51,K51,M51,O51,Q51,S51,U51,W51,Y51,AA51,AC51,AE51)</f>
        <v>-2332689.335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-897680</v>
      </c>
      <c r="I51" s="38">
        <f>'EAST-EGM-GL'!I51+'EAST-LRC-GL'!I51</f>
        <v>-2769342.8</v>
      </c>
      <c r="J51" s="60">
        <f>'EAST-EGM-GL'!J51+'EAST-LRC-GL'!J51</f>
        <v>-35930</v>
      </c>
      <c r="K51" s="38">
        <f>'EAST-EGM-GL'!K51+'EAST-LRC-GL'!K51</f>
        <v>-84292.3</v>
      </c>
      <c r="L51" s="60">
        <f>'EAST-EGM-GL'!L51+'EAST-LRC-GL'!L51</f>
        <v>-6747</v>
      </c>
      <c r="M51" s="38">
        <f>'EAST-EGM-GL'!M51+'EAST-LRC-GL'!M51</f>
        <v>-20814.764999999999</v>
      </c>
      <c r="N51" s="60">
        <f>'EAST-EGM-GL'!N51+'EAST-LRC-GL'!N51</f>
        <v>1699</v>
      </c>
      <c r="O51" s="38">
        <f>'EAST-EGM-GL'!O51+'EAST-LRC-GL'!O51</f>
        <v>3687.17</v>
      </c>
      <c r="P51" s="60">
        <f>'EAST-EGM-GL'!P51+'EAST-LRC-GL'!P51</f>
        <v>-2746</v>
      </c>
      <c r="Q51" s="38">
        <f>'EAST-EGM-GL'!Q51+'EAST-LRC-GL'!Q51</f>
        <v>-8471.41</v>
      </c>
      <c r="R51" s="60">
        <f>'EAST-EGM-GL'!R51+'EAST-LRC-GL'!R51</f>
        <v>188208</v>
      </c>
      <c r="S51" s="38">
        <f>'EAST-EGM-GL'!S51+'EAST-LRC-GL'!S51</f>
        <v>580621.68000000005</v>
      </c>
      <c r="T51" s="60">
        <f>'EAST-EGM-GL'!T51+'EAST-LRC-GL'!T51</f>
        <v>-10298</v>
      </c>
      <c r="U51" s="38">
        <f>'EAST-EGM-GL'!U51+'EAST-LRC-GL'!U51</f>
        <v>-31769.33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-764</v>
      </c>
      <c r="AA51" s="38">
        <f>'EAST-EGM-GL'!AA51+'EAST-LRC-GL'!AA51</f>
        <v>-2356.94</v>
      </c>
      <c r="AB51" s="60">
        <f>'EAST-EGM-GL'!AB51+'EAST-LRC-GL'!AB51</f>
        <v>16</v>
      </c>
      <c r="AC51" s="38">
        <f>'EAST-EGM-GL'!AC51+'EAST-LRC-GL'!AC51</f>
        <v>49.36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-76731356</v>
      </c>
      <c r="E54" s="38">
        <f>SUM(G54,I54,K54,M54,O54,Q54,S54,U54,W54,Y54,AA54,AC54,AE54)</f>
        <v>-344241.79</v>
      </c>
      <c r="F54" s="64">
        <f>('TIE-OUT'!L54+'TIE-OUT'!J54)+(RECLASS!J54+RECLASS!H54)</f>
        <v>0</v>
      </c>
      <c r="G54" s="68">
        <f>('TIE-OUT'!M54+'TIE-OUT'!K54)+(RECLASS!K54+RECLASS!I54)</f>
        <v>299901</v>
      </c>
      <c r="H54" s="60">
        <f>'EAST-EGM-GL'!H54+'EAST-LRC-GL'!H54</f>
        <v>-84584928</v>
      </c>
      <c r="I54" s="38">
        <f>'EAST-EGM-GL'!I54+'EAST-LRC-GL'!I54</f>
        <v>-1119532.8400000001</v>
      </c>
      <c r="J54" s="60">
        <f>'EAST-EGM-GL'!J54+'EAST-LRC-GL'!J54</f>
        <v>13954951</v>
      </c>
      <c r="K54" s="38">
        <f>'EAST-EGM-GL'!K54+'EAST-LRC-GL'!K54</f>
        <v>566162.56000000006</v>
      </c>
      <c r="L54" s="60">
        <f>'EAST-EGM-GL'!L54+'EAST-LRC-GL'!L54</f>
        <v>-9368</v>
      </c>
      <c r="M54" s="38">
        <f>'EAST-EGM-GL'!M54+'EAST-LRC-GL'!M54</f>
        <v>-13078.85</v>
      </c>
      <c r="N54" s="60">
        <f>'EAST-EGM-GL'!N54+'EAST-LRC-GL'!N54</f>
        <v>802981</v>
      </c>
      <c r="O54" s="38">
        <f>'EAST-EGM-GL'!O54+'EAST-LRC-GL'!O54</f>
        <v>31934.06</v>
      </c>
      <c r="P54" s="60">
        <f>'EAST-EGM-GL'!P54+'EAST-LRC-GL'!P54</f>
        <v>283993</v>
      </c>
      <c r="Q54" s="38">
        <f>'EAST-EGM-GL'!Q54+'EAST-LRC-GL'!Q54</f>
        <v>7310.14</v>
      </c>
      <c r="R54" s="60">
        <f>'EAST-EGM-GL'!R54+'EAST-LRC-GL'!R54</f>
        <v>-273386</v>
      </c>
      <c r="S54" s="38">
        <f>'EAST-EGM-GL'!S54+'EAST-LRC-GL'!S54</f>
        <v>11539.460000000001</v>
      </c>
      <c r="T54" s="60">
        <f>'EAST-EGM-GL'!T54+'EAST-LRC-GL'!T54</f>
        <v>-7032647</v>
      </c>
      <c r="U54" s="38">
        <f>'EAST-EGM-GL'!U54+'EAST-LRC-GL'!U54</f>
        <v>100779.64</v>
      </c>
      <c r="V54" s="60">
        <f>'EAST-EGM-GL'!V54+'EAST-LRC-GL'!V54</f>
        <v>6314</v>
      </c>
      <c r="W54" s="38">
        <f>'EAST-EGM-GL'!W54+'EAST-LRC-GL'!W54</f>
        <v>158597.32999999999</v>
      </c>
      <c r="X54" s="60">
        <f>'EAST-EGM-GL'!X54+'EAST-LRC-GL'!X54</f>
        <v>24102</v>
      </c>
      <c r="Y54" s="38">
        <f>'EAST-EGM-GL'!Y54+'EAST-LRC-GL'!Y54</f>
        <v>-388034.44</v>
      </c>
      <c r="Z54" s="60">
        <f>'EAST-EGM-GL'!Z54+'EAST-LRC-GL'!Z54</f>
        <v>111331</v>
      </c>
      <c r="AA54" s="38">
        <f>'EAST-EGM-GL'!AA54+'EAST-LRC-GL'!AA54</f>
        <v>-299.3</v>
      </c>
      <c r="AB54" s="60">
        <f>'EAST-EGM-GL'!AB54+'EAST-LRC-GL'!AB54</f>
        <v>-14699</v>
      </c>
      <c r="AC54" s="38">
        <f>'EAST-EGM-GL'!AC54+'EAST-LRC-GL'!AC54</f>
        <v>479.45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-1278964.78</v>
      </c>
      <c r="F55" s="81">
        <f>('TIE-OUT'!L55+'TIE-OUT'!J55)+(RECLASS!J55+RECLASS!H55)</f>
        <v>0</v>
      </c>
      <c r="G55" s="82">
        <f>('TIE-OUT'!M55+'TIE-OUT'!K55)+(RECLASS!K55+RECLASS!I55)</f>
        <v>40402</v>
      </c>
      <c r="H55" s="60">
        <f>'EAST-EGM-GL'!H55+'EAST-LRC-GL'!H55</f>
        <v>0</v>
      </c>
      <c r="I55" s="38">
        <f>'EAST-EGM-GL'!I55+'EAST-LRC-GL'!I55</f>
        <v>-2632818.08</v>
      </c>
      <c r="J55" s="60">
        <f>'EAST-EGM-GL'!J55+'EAST-LRC-GL'!J55</f>
        <v>0</v>
      </c>
      <c r="K55" s="38">
        <f>'EAST-EGM-GL'!K55+'EAST-LRC-GL'!K55</f>
        <v>1057204.79</v>
      </c>
      <c r="L55" s="60">
        <f>'EAST-EGM-GL'!L55+'EAST-LRC-GL'!L55</f>
        <v>0</v>
      </c>
      <c r="M55" s="38">
        <f>'EAST-EGM-GL'!M55+'EAST-LRC-GL'!M55</f>
        <v>966026.26</v>
      </c>
      <c r="N55" s="60">
        <f>'EAST-EGM-GL'!N55+'EAST-LRC-GL'!N55</f>
        <v>0</v>
      </c>
      <c r="O55" s="38">
        <f>'EAST-EGM-GL'!O55+'EAST-LRC-GL'!O55</f>
        <v>25614.25</v>
      </c>
      <c r="P55" s="60">
        <f>'EAST-EGM-GL'!P55+'EAST-LRC-GL'!P55</f>
        <v>0</v>
      </c>
      <c r="Q55" s="38">
        <f>'EAST-EGM-GL'!Q55+'EAST-LRC-GL'!Q55</f>
        <v>-970875.84</v>
      </c>
      <c r="R55" s="60">
        <f>'EAST-EGM-GL'!R55+'EAST-LRC-GL'!R55</f>
        <v>0</v>
      </c>
      <c r="S55" s="38">
        <f>'EAST-EGM-GL'!S55+'EAST-LRC-GL'!S55</f>
        <v>-75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308550</v>
      </c>
      <c r="X55" s="60">
        <f>'EAST-EGM-GL'!X55+'EAST-LRC-GL'!X55</f>
        <v>0</v>
      </c>
      <c r="Y55" s="38">
        <f>'EAST-EGM-GL'!Y55+'EAST-LRC-GL'!Y55</f>
        <v>-72791</v>
      </c>
      <c r="Z55" s="60">
        <f>'EAST-EGM-GL'!Z55+'EAST-LRC-GL'!Z55</f>
        <v>0</v>
      </c>
      <c r="AA55" s="38">
        <f>'EAST-EGM-GL'!AA55+'EAST-LRC-GL'!AA55</f>
        <v>-25</v>
      </c>
      <c r="AB55" s="60">
        <f>'EAST-EGM-GL'!AB55+'EAST-LRC-GL'!AB55</f>
        <v>0</v>
      </c>
      <c r="AC55" s="38">
        <f>'EAST-EGM-GL'!AC55+'EAST-LRC-GL'!AC55</f>
        <v>-177.16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57</v>
      </c>
      <c r="C56" s="6"/>
      <c r="D56" s="61">
        <f>SUM(D54:D55)</f>
        <v>-76731356</v>
      </c>
      <c r="E56" s="39">
        <f>SUM(E54:E55)</f>
        <v>-1623206.57</v>
      </c>
      <c r="F56" s="61">
        <f t="shared" ref="F56:AD56" si="16">SUM(F54:F55)</f>
        <v>0</v>
      </c>
      <c r="G56" s="39">
        <f t="shared" si="16"/>
        <v>340303</v>
      </c>
      <c r="H56" s="61">
        <f t="shared" si="16"/>
        <v>-84584928</v>
      </c>
      <c r="I56" s="39">
        <f t="shared" si="16"/>
        <v>-3752350.92</v>
      </c>
      <c r="J56" s="61">
        <f t="shared" si="16"/>
        <v>13954951</v>
      </c>
      <c r="K56" s="39">
        <f t="shared" si="16"/>
        <v>1623367.35</v>
      </c>
      <c r="L56" s="61">
        <f t="shared" si="16"/>
        <v>-9368</v>
      </c>
      <c r="M56" s="39">
        <f t="shared" si="16"/>
        <v>952947.41</v>
      </c>
      <c r="N56" s="61">
        <f t="shared" ref="N56:S56" si="17">SUM(N54:N55)</f>
        <v>802981</v>
      </c>
      <c r="O56" s="39">
        <f t="shared" si="17"/>
        <v>57548.31</v>
      </c>
      <c r="P56" s="61">
        <f t="shared" si="17"/>
        <v>283993</v>
      </c>
      <c r="Q56" s="39">
        <f t="shared" si="17"/>
        <v>-963565.7</v>
      </c>
      <c r="R56" s="61">
        <f t="shared" si="17"/>
        <v>-273386</v>
      </c>
      <c r="S56" s="39">
        <f t="shared" si="17"/>
        <v>11464.460000000001</v>
      </c>
      <c r="T56" s="61">
        <f>SUM(T54:T55)</f>
        <v>-7032647</v>
      </c>
      <c r="U56" s="39">
        <f>SUM(U54:U55)</f>
        <v>100779.64</v>
      </c>
      <c r="V56" s="61">
        <f>SUM(V54:V55)</f>
        <v>6314</v>
      </c>
      <c r="W56" s="39">
        <f>SUM(W54:W55)</f>
        <v>467147.32999999996</v>
      </c>
      <c r="X56" s="61">
        <f t="shared" si="16"/>
        <v>24102</v>
      </c>
      <c r="Y56" s="39">
        <f t="shared" si="16"/>
        <v>-460825.44</v>
      </c>
      <c r="Z56" s="61">
        <f t="shared" si="16"/>
        <v>111331</v>
      </c>
      <c r="AA56" s="39">
        <f t="shared" si="16"/>
        <v>-324.3</v>
      </c>
      <c r="AB56" s="61">
        <f t="shared" si="16"/>
        <v>-14699</v>
      </c>
      <c r="AC56" s="39">
        <f t="shared" si="16"/>
        <v>302.28999999999996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2707106</v>
      </c>
      <c r="E59" s="38">
        <f>SUM(G59,I59,K59,M59,O59,Q59,S59,U59,W59,Y59,AA59,AC59,AE59)</f>
        <v>162988.67000000001</v>
      </c>
      <c r="F59" s="64">
        <f>('TIE-OUT'!L59+'TIE-OUT'!J59)+(RECLASS!J59+RECLASS!H59)</f>
        <v>0</v>
      </c>
      <c r="G59" s="68">
        <f>('TIE-OUT'!M59+'TIE-OUT'!K59)+(RECLASS!K59+RECLASS!I59)</f>
        <v>24021</v>
      </c>
      <c r="H59" s="60">
        <f>'EAST-EGM-GL'!H59+'EAST-LRC-GL'!H59</f>
        <v>4364352</v>
      </c>
      <c r="I59" s="38">
        <f>'EAST-EGM-GL'!I59+'EAST-LRC-GL'!I59</f>
        <v>150686.74</v>
      </c>
      <c r="J59" s="60">
        <f>'EAST-EGM-GL'!J59+'EAST-LRC-GL'!J59</f>
        <v>-1658028</v>
      </c>
      <c r="K59" s="38">
        <f>'EAST-EGM-GL'!K59+'EAST-LRC-GL'!K59</f>
        <v>-6777.2999999999993</v>
      </c>
      <c r="L59" s="60">
        <f>'EAST-EGM-GL'!L59+'EAST-LRC-GL'!L59</f>
        <v>0</v>
      </c>
      <c r="M59" s="38">
        <f>'EAST-EGM-GL'!M59+'EAST-LRC-GL'!M59</f>
        <v>-4941.7700000000004</v>
      </c>
      <c r="N59" s="60">
        <f>'EAST-EGM-GL'!N59+'EAST-LRC-GL'!N59</f>
        <v>782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169670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169670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2876776</v>
      </c>
      <c r="E61" s="39">
        <f>SUM(E59:E60)</f>
        <v>332988.67000000004</v>
      </c>
      <c r="F61" s="61">
        <f t="shared" ref="F61:AD61" si="18">SUM(F59:F60)</f>
        <v>0</v>
      </c>
      <c r="G61" s="39">
        <f t="shared" si="18"/>
        <v>24021</v>
      </c>
      <c r="H61" s="61">
        <f t="shared" si="18"/>
        <v>4534022</v>
      </c>
      <c r="I61" s="39">
        <f t="shared" si="18"/>
        <v>320686.74</v>
      </c>
      <c r="J61" s="61">
        <f t="shared" si="18"/>
        <v>-1658028</v>
      </c>
      <c r="K61" s="39">
        <f t="shared" si="18"/>
        <v>-6777.2999999999993</v>
      </c>
      <c r="L61" s="61">
        <f t="shared" si="18"/>
        <v>0</v>
      </c>
      <c r="M61" s="39">
        <f t="shared" si="18"/>
        <v>-4941.7700000000004</v>
      </c>
      <c r="N61" s="61">
        <f t="shared" ref="N61:S61" si="19">SUM(N59:N60)</f>
        <v>782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-19801106</v>
      </c>
      <c r="E64" s="38">
        <f>SUM(G64,I64,K64,M64,O64,Q64,S64,U64,W64,Y64,AA64,AC64,AE64)</f>
        <v>-2304198.0699999998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-12542632</v>
      </c>
      <c r="I64" s="38">
        <f>'EAST-EGM-GL'!I64+'EAST-LRC-GL'!I64</f>
        <v>-2189986.8199999998</v>
      </c>
      <c r="J64" s="60">
        <f>'EAST-EGM-GL'!J64+'EAST-LRC-GL'!J64</f>
        <v>-7289810</v>
      </c>
      <c r="K64" s="38">
        <f>'EAST-EGM-GL'!K64+'EAST-LRC-GL'!K64</f>
        <v>-117344.85</v>
      </c>
      <c r="L64" s="60"/>
      <c r="M64" s="38"/>
      <c r="N64" s="60">
        <f>'EAST-EGM-GL'!N64+'EAST-LRC-GL'!N64</f>
        <v>0</v>
      </c>
      <c r="O64" s="38">
        <f>'EAST-EGM-GL'!O64+'EAST-LRC-GL'!O64</f>
        <v>0</v>
      </c>
      <c r="P64" s="60">
        <f>'EAST-EGM-GL'!P64+'EAST-LRC-GL'!P64</f>
        <v>31336</v>
      </c>
      <c r="Q64" s="38">
        <f>'EAST-EGM-GL'!Q64+'EAST-LRC-GL'!Q64</f>
        <v>3133.6</v>
      </c>
      <c r="R64" s="60">
        <f>'EAST-EGM-GL'!R64+'EAST-LRC-GL'!R64</f>
        <v>0</v>
      </c>
      <c r="S64" s="38">
        <f>'EAST-EGM-GL'!S64+'EAST-LRC-GL'!S64</f>
        <v>0</v>
      </c>
      <c r="T64" s="60">
        <f>'EAST-EGM-GL'!T64+'EAST-LRC-GL'!T64</f>
        <v>0</v>
      </c>
      <c r="U64" s="38">
        <f>'EAST-EGM-GL'!U64+'EAST-LRC-GL'!U64</f>
        <v>0</v>
      </c>
      <c r="V64" s="60">
        <f>'EAST-EGM-GL'!V64+'EAST-LRC-GL'!V64</f>
        <v>0</v>
      </c>
      <c r="W64" s="38">
        <f>'EAST-EGM-GL'!W64+'EAST-LRC-GL'!W64</f>
        <v>0</v>
      </c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19947800</v>
      </c>
      <c r="E65" s="38">
        <f>SUM(G65,I65,K65,M65,O65,Q65,S65,U65,W65,Y65,AA65,AC65,AE65)</f>
        <v>2307331.6599999997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12514905</v>
      </c>
      <c r="I65" s="38">
        <f>'EAST-EGM-GL'!I65+'EAST-LRC-GL'!I65</f>
        <v>2187086.4699999997</v>
      </c>
      <c r="J65" s="60">
        <f>'EAST-EGM-GL'!J65+'EAST-LRC-GL'!J65</f>
        <v>7432895</v>
      </c>
      <c r="K65" s="38">
        <f>'EAST-EGM-GL'!K65+'EAST-LRC-GL'!K65</f>
        <v>120245.19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146694</v>
      </c>
      <c r="E66" s="39">
        <f>SUM(E64:E65)</f>
        <v>3133.589999999851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-27727</v>
      </c>
      <c r="I66" s="39">
        <f t="shared" si="20"/>
        <v>-2900.3500000000931</v>
      </c>
      <c r="J66" s="61">
        <f t="shared" si="20"/>
        <v>143085</v>
      </c>
      <c r="K66" s="39">
        <f t="shared" si="20"/>
        <v>2900.3399999999965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31336</v>
      </c>
      <c r="Q66" s="39">
        <f t="shared" si="21"/>
        <v>3133.6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15355188.300000001</v>
      </c>
      <c r="F70" s="64">
        <f>('TIE-OUT'!L70+'TIE-OUT'!J70)+(RECLASS!J70+RECLASS!H70)</f>
        <v>0</v>
      </c>
      <c r="G70" s="68">
        <f>('TIE-OUT'!M70+'TIE-OUT'!K70)+(RECLASS!K70+RECLASS!I70)</f>
        <v>15355188.300000001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-6851832</v>
      </c>
      <c r="F71" s="81">
        <f>('TIE-OUT'!L71+'TIE-OUT'!J71)+(RECLASS!J71+RECLASS!H71)</f>
        <v>0</v>
      </c>
      <c r="G71" s="82">
        <f>('TIE-OUT'!M71+'TIE-OUT'!K71)+(RECLASS!K71+RECLASS!I71)</f>
        <v>-6851832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8503356.3000000007</v>
      </c>
      <c r="F72" s="61">
        <f t="shared" ref="F72:AD72" si="22">SUM(F70:F71)</f>
        <v>0</v>
      </c>
      <c r="G72" s="39">
        <f t="shared" si="22"/>
        <v>8503356.3000000007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5123513</v>
      </c>
      <c r="F74" s="60">
        <f>('TIE-OUT'!L74+'TIE-OUT'!J74)+(RECLASS!J74+RECLASS!H74)</f>
        <v>0</v>
      </c>
      <c r="G74" s="60">
        <f>('TIE-OUT'!M74+'TIE-OUT'!K74)+(RECLASS!K74+RECLASS!I74)</f>
        <v>5123513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14500</v>
      </c>
      <c r="F75" s="60">
        <f>('TIE-OUT'!L75+'TIE-OUT'!J75)+(RECLASS!J75+RECLASS!H75)</f>
        <v>0</v>
      </c>
      <c r="G75" s="60">
        <f>('TIE-OUT'!M75+'TIE-OUT'!K75)+(RECLASS!K75+RECLASS!I75)</f>
        <v>14500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-10298.57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-17755.3</v>
      </c>
      <c r="J76" s="60">
        <f>'EAST-EGM-GL'!J76+'EAST-LRC-GL'!J76</f>
        <v>0</v>
      </c>
      <c r="K76" s="38">
        <f>'EAST-EGM-GL'!K76+'EAST-LRC-GL'!K76</f>
        <v>205.75</v>
      </c>
      <c r="L76" s="60">
        <f>'EAST-EGM-GL'!L76+'EAST-LRC-GL'!L76</f>
        <v>0</v>
      </c>
      <c r="M76" s="38">
        <f>'EAST-EGM-GL'!M76+'EAST-LRC-GL'!M76</f>
        <v>6074.51</v>
      </c>
      <c r="N76" s="60">
        <f>'EAST-EGM-GL'!N76+'EAST-LRC-GL'!N76</f>
        <v>0</v>
      </c>
      <c r="O76" s="38">
        <f>'EAST-EGM-GL'!O76+'EAST-LRC-GL'!O76</f>
        <v>5.38</v>
      </c>
      <c r="P76" s="60">
        <f>'EAST-EGM-GL'!P76+'EAST-LRC-GL'!P76</f>
        <v>0</v>
      </c>
      <c r="Q76" s="38">
        <f>'EAST-EGM-GL'!Q76+'EAST-LRC-GL'!Q76</f>
        <v>848.07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316.24</v>
      </c>
      <c r="V76" s="60">
        <f>'EAST-EGM-GL'!V76+'EAST-LRC-GL'!V76</f>
        <v>0</v>
      </c>
      <c r="W76" s="38">
        <f>'EAST-EGM-GL'!W76+'EAST-LRC-GL'!W76</f>
        <v>6.78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26963</v>
      </c>
      <c r="F78" s="60">
        <f>('TIE-OUT'!L78+'TIE-OUT'!J78)+(RECLASS!J78+RECLASS!H78)</f>
        <v>0</v>
      </c>
      <c r="G78" s="60">
        <f>('TIE-OUT'!M78+'TIE-OUT'!K78)+(RECLASS!K78+RECLASS!I78)</f>
        <v>26963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-7726.7699999999895</v>
      </c>
      <c r="F81" s="60">
        <f>('TIE-OUT'!L81+'TIE-OUT'!J81)+(RECLASS!J81+RECLASS!H81)</f>
        <v>0</v>
      </c>
      <c r="G81" s="60">
        <f>('TIE-OUT'!M81+'TIE-OUT'!K81)+(RECLASS!K81+RECLASS!I81)</f>
        <v>-254997</v>
      </c>
      <c r="H81" s="60">
        <f>'EAST-EGM-GL'!H81+'EAST-LRC-GL'!H81</f>
        <v>0</v>
      </c>
      <c r="I81" s="38">
        <f>'EAST-EGM-GL'!I81+'EAST-LRC-GL'!I81</f>
        <v>220307.45</v>
      </c>
      <c r="J81" s="60">
        <f>'EAST-EGM-GL'!J81+'EAST-LRC-GL'!J81</f>
        <v>0</v>
      </c>
      <c r="K81" s="38">
        <f>'EAST-EGM-GL'!K81+'EAST-LRC-GL'!K81</f>
        <v>26962.78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175163.53999990725</v>
      </c>
      <c r="F82" s="91">
        <f>F16+F24+F29+F36+F43+F45+F47+F49</f>
        <v>0</v>
      </c>
      <c r="G82" s="92">
        <f>SUM(G72:G81)+G16+G24+G29+G36+G43+G45+G47+G49+G51+G56+G61+G66</f>
        <v>4482707.8000000007</v>
      </c>
      <c r="H82" s="91">
        <f>H16+H24+H29+H36+H43+H45+H47+H49</f>
        <v>0</v>
      </c>
      <c r="I82" s="92">
        <f>SUM(I72:I81)+I16+I24+I29+I36+I43+I45+I47+I49+I51+I56+I61+I66</f>
        <v>-8912489.0199999437</v>
      </c>
      <c r="J82" s="91">
        <f>J16+J24+J29+J36+J43+J45+J47+J49</f>
        <v>0</v>
      </c>
      <c r="K82" s="92">
        <f>SUM(K72:K81)+K16+K24+K29+K36+K43+K45+K47+K49+K51+K56+K61+K66</f>
        <v>3670460.9850000031</v>
      </c>
      <c r="L82" s="91">
        <f>L16+L24+L29+L36+L43+L45+L47+L49</f>
        <v>0</v>
      </c>
      <c r="M82" s="92">
        <f>SUM(M72:M81)+M16+M24+M29+M36+M43+M45+M47+M49+M51+M56+M61+M66</f>
        <v>-336775.16500000271</v>
      </c>
      <c r="N82" s="91">
        <f>N16+N24+N29+N36+N43+N45+N47+N49</f>
        <v>0</v>
      </c>
      <c r="O82" s="92">
        <f>SUM(O72:O81)+O16+O24+O29+O36+O43+O45+O47+O49+O51+O56+O61+O66</f>
        <v>1575043.98</v>
      </c>
      <c r="P82" s="91">
        <f>P16+P24+P29+P36+P43+P45+P47+P49</f>
        <v>0</v>
      </c>
      <c r="Q82" s="92">
        <f>SUM(Q72:Q81)+Q16+Q24+Q29+Q36+Q43+Q45+Q47+Q49+Q51+Q56+Q61+Q66</f>
        <v>-309417.13500003074</v>
      </c>
      <c r="R82" s="91">
        <f>R16+R24+R29+R36+R43+R45+R47+R49</f>
        <v>0</v>
      </c>
      <c r="S82" s="92">
        <f>SUM(S72:S81)+S16+S24+S29+S36+S43+S45+S47+S49+S51+S56+S61+S66</f>
        <v>745811.46999999986</v>
      </c>
      <c r="T82" s="91">
        <f>T16+T24+T29+T36+T43+T45+T47+T49</f>
        <v>0</v>
      </c>
      <c r="U82" s="92">
        <f>SUM(U72:U81)+U16+U24+U29+U36+U43+U45+U47+U49+U51+U56+U61+U66</f>
        <v>-34874.869999999952</v>
      </c>
      <c r="V82" s="91">
        <f>V16+V24+V29+V36+V43+V45+V47+V49</f>
        <v>0</v>
      </c>
      <c r="W82" s="92">
        <f>SUM(W72:W81)+W16+W24+W29+W36+W43+W45+W47+W49+W51+W56+W61+W66</f>
        <v>-279379.09499999858</v>
      </c>
      <c r="X82" s="91">
        <f>X16+X24+X29+X36+X43+X45+X47+X49</f>
        <v>0</v>
      </c>
      <c r="Y82" s="92">
        <f>SUM(Y72:Y81)+Y16+Y24+Y29+Y36+Y43+Y45+Y47+Y49+Y51+Y56+Y61+Y66</f>
        <v>-462990.63</v>
      </c>
      <c r="Z82" s="91">
        <f>Z16+Z24+Z29+Z36+Z43+Z45+Z47+Z49</f>
        <v>0</v>
      </c>
      <c r="AA82" s="92">
        <f>SUM(AA72:AA81)+AA16+AA24+AA29+AA36+AA43+AA45+AA47+AA49+AA51+AA56+AA61+AA66</f>
        <v>40914.219999999841</v>
      </c>
      <c r="AB82" s="91">
        <f>AB16+AB24+AB29+AB36+AB43+AB45+AB47+AB49</f>
        <v>0</v>
      </c>
      <c r="AC82" s="92">
        <f>SUM(AC72:AC81)+AC16+AC24+AC29+AC36+AC43+AC45+AC47+AC49+AC51+AC56+AC61+AC66</f>
        <v>-3848.9999999999982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175163.54999985918</v>
      </c>
      <c r="G84" s="14">
        <f>+'EAST-LRC-GL'!G82+'EAST-EGM-GL'!G82</f>
        <v>4482707.8</v>
      </c>
      <c r="I84" s="14">
        <f>+'EAST-LRC-GL'!I82+'EAST-EGM-GL'!I82</f>
        <v>-8912489.0199999344</v>
      </c>
      <c r="K84" s="14">
        <f>+'EAST-LRC-GL'!K82+'EAST-EGM-GL'!K82</f>
        <v>3670460.9849999985</v>
      </c>
    </row>
    <row r="85" spans="1:67" x14ac:dyDescent="0.2">
      <c r="A85" s="4" t="s">
        <v>173</v>
      </c>
      <c r="B85" s="3"/>
      <c r="F85" s="31"/>
      <c r="G85" s="31"/>
      <c r="H85" s="31"/>
      <c r="I85" s="31"/>
      <c r="L85" s="45"/>
    </row>
    <row r="86" spans="1:67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580328</v>
      </c>
      <c r="F86" s="169">
        <f>'EAST-EGM-GL'!F86+'EAST-LRC-GL'!F86</f>
        <v>0</v>
      </c>
      <c r="G86" s="169">
        <f>'EAST-EGM-GL'!G86+'EAST-LRC-GL'!G86</f>
        <v>580328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'EAST-EGM-GL'!F88+'EAST-LRC-GL'!F88</f>
        <v>0</v>
      </c>
      <c r="G88" s="171">
        <f>'EAST-EGM-GL'!G88+'EAST-LRC-GL'!G88</f>
        <v>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580328</v>
      </c>
      <c r="F89" s="179">
        <f t="shared" si="26"/>
        <v>0</v>
      </c>
      <c r="G89" s="179">
        <f t="shared" si="26"/>
        <v>580328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>SUM(V86:V88)</f>
        <v>0</v>
      </c>
      <c r="W89" s="179">
        <f>SUM(W86:W88)</f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3" customFormat="1" ht="20.25" customHeight="1" x14ac:dyDescent="0.2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755491.53999990725</v>
      </c>
      <c r="F91" s="184">
        <f t="shared" si="28"/>
        <v>0</v>
      </c>
      <c r="G91" s="184">
        <f t="shared" si="28"/>
        <v>5063035.8000000007</v>
      </c>
      <c r="H91" s="184">
        <f t="shared" si="28"/>
        <v>0</v>
      </c>
      <c r="I91" s="184">
        <f t="shared" si="28"/>
        <v>-8912489.0199999437</v>
      </c>
      <c r="J91" s="184">
        <f t="shared" si="28"/>
        <v>0</v>
      </c>
      <c r="K91" s="184">
        <f t="shared" si="28"/>
        <v>3670460.9850000031</v>
      </c>
      <c r="L91" s="184">
        <f t="shared" si="28"/>
        <v>0</v>
      </c>
      <c r="M91" s="184">
        <f t="shared" si="28"/>
        <v>-336775.16500000271</v>
      </c>
      <c r="N91" s="184">
        <f t="shared" ref="N91:AE91" si="29">+N82+N89</f>
        <v>0</v>
      </c>
      <c r="O91" s="184">
        <f t="shared" si="29"/>
        <v>1575043.98</v>
      </c>
      <c r="P91" s="184">
        <f t="shared" si="29"/>
        <v>0</v>
      </c>
      <c r="Q91" s="184">
        <f t="shared" si="29"/>
        <v>-309417.13500003074</v>
      </c>
      <c r="R91" s="184">
        <f t="shared" si="29"/>
        <v>0</v>
      </c>
      <c r="S91" s="184">
        <f t="shared" si="29"/>
        <v>745811.46999999986</v>
      </c>
      <c r="T91" s="184">
        <f t="shared" si="29"/>
        <v>0</v>
      </c>
      <c r="U91" s="184">
        <f t="shared" si="29"/>
        <v>-34874.869999999952</v>
      </c>
      <c r="V91" s="184">
        <f>+V82+V89</f>
        <v>0</v>
      </c>
      <c r="W91" s="184">
        <f>+W82+W89</f>
        <v>-279379.09499999858</v>
      </c>
      <c r="X91" s="184">
        <f t="shared" si="29"/>
        <v>0</v>
      </c>
      <c r="Y91" s="184">
        <f t="shared" si="29"/>
        <v>-462990.63</v>
      </c>
      <c r="Z91" s="184">
        <f t="shared" si="29"/>
        <v>0</v>
      </c>
      <c r="AA91" s="184">
        <f t="shared" si="29"/>
        <v>40914.219999999841</v>
      </c>
      <c r="AB91" s="184">
        <f t="shared" si="29"/>
        <v>0</v>
      </c>
      <c r="AC91" s="184">
        <f t="shared" si="29"/>
        <v>-3848.9999999999982</v>
      </c>
      <c r="AD91" s="184">
        <f t="shared" si="29"/>
        <v>0</v>
      </c>
      <c r="AE91" s="184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79"/>
  <sheetViews>
    <sheetView zoomScale="75" workbookViewId="0">
      <pane xSplit="3" ySplit="9" topLeftCell="D10" activePane="bottomRight" state="frozen"/>
      <selection activeCell="AB9" sqref="AB9"/>
      <selection pane="topRight" activeCell="AB9" sqref="AB9"/>
      <selection pane="bottomLeft" activeCell="AB9" sqref="AB9"/>
      <selection pane="bottomRight" activeCell="AB9" sqref="AB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>SUM(V11:V15)</f>
        <v>0</v>
      </c>
      <c r="W16" s="39">
        <f>SUM(W11:W15)</f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S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>SUM(V19:V23)</f>
        <v>0</v>
      </c>
      <c r="W24" s="39">
        <f>SUM(W19:W23)</f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>SUM(W27:W28)</f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>SUM(V54:V55)</f>
        <v>0</v>
      </c>
      <c r="W56" s="39">
        <f>SUM(W54:W55)</f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U44" activePane="bottomRight" state="frozen"/>
      <selection activeCell="AB9" sqref="AB9"/>
      <selection pane="topRight" activeCell="AB9" sqref="AB9"/>
      <selection pane="bottomLeft" activeCell="AB9" sqref="AB9"/>
      <selection pane="bottomRight" activeCell="AC50" sqref="AC5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9366943</v>
      </c>
      <c r="E11" s="38">
        <f>SUM(G11,I11,K11,M11,O11,Q11,S11,U11,W11,Y11,AA11,AC11,AE11)</f>
        <v>29387533.439999998</v>
      </c>
      <c r="F11" s="60">
        <f>'TIE-OUT'!T11+RECLASS!R11</f>
        <v>0</v>
      </c>
      <c r="G11" s="38">
        <f>'TIE-OUT'!U11+RECLASS!S11</f>
        <v>0</v>
      </c>
      <c r="H11" s="127">
        <f>+Actuals!E244</f>
        <v>8075719</v>
      </c>
      <c r="I11" s="128">
        <f>+Actuals!F244</f>
        <v>23996454.079999998</v>
      </c>
      <c r="J11" s="127">
        <f>+Actuals!G244</f>
        <v>915493</v>
      </c>
      <c r="K11" s="147">
        <f>+Actuals!H244</f>
        <v>4721977.47</v>
      </c>
      <c r="L11" s="127">
        <f>+Actuals!I444</f>
        <v>300020</v>
      </c>
      <c r="M11" s="128">
        <f>+Actuals!J444</f>
        <v>1549978.98</v>
      </c>
      <c r="N11" s="127">
        <f>+Actuals!K444</f>
        <v>0</v>
      </c>
      <c r="O11" s="128">
        <f>+Actuals!L444</f>
        <v>0</v>
      </c>
      <c r="P11" s="127">
        <f>+Actuals!M444</f>
        <v>67920</v>
      </c>
      <c r="Q11" s="128">
        <f>+Actuals!N444</f>
        <v>239095.55</v>
      </c>
      <c r="R11" s="127">
        <f>+Actuals!O444</f>
        <v>-16</v>
      </c>
      <c r="S11" s="128">
        <f>+Actuals!P444</f>
        <v>18872.21</v>
      </c>
      <c r="T11" s="127">
        <f>+Actuals!Q444</f>
        <v>-551</v>
      </c>
      <c r="U11" s="128">
        <f>+Actuals!R444</f>
        <v>-1162348.25</v>
      </c>
      <c r="V11" s="127">
        <f>+Actuals!S444</f>
        <v>132</v>
      </c>
      <c r="W11" s="128">
        <f>+Actuals!T444</f>
        <v>501.47</v>
      </c>
      <c r="X11" s="127">
        <v>8219</v>
      </c>
      <c r="Y11" s="128">
        <v>26147.57</v>
      </c>
      <c r="Z11" s="127">
        <v>7</v>
      </c>
      <c r="AA11" s="128">
        <v>-3145.64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-958963.55</v>
      </c>
      <c r="F12" s="60">
        <f>'TIE-OUT'!T12+RECLASS!R12</f>
        <v>0</v>
      </c>
      <c r="G12" s="38">
        <f>'TIE-OUT'!U12+RECLASS!S12</f>
        <v>-958963.55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+Actuals!I445</f>
        <v>0</v>
      </c>
      <c r="M12" s="128">
        <f>+Actuals!J445</f>
        <v>0</v>
      </c>
      <c r="N12" s="127">
        <f>+Actuals!K445</f>
        <v>0</v>
      </c>
      <c r="O12" s="128">
        <f>+Actuals!L445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3725247</v>
      </c>
      <c r="E13" s="38">
        <f t="shared" si="0"/>
        <v>8162482</v>
      </c>
      <c r="F13" s="60">
        <f>'TIE-OUT'!T13+RECLASS!R13</f>
        <v>0</v>
      </c>
      <c r="G13" s="38">
        <f>'TIE-OUT'!U13+RECLASS!S13</f>
        <v>0</v>
      </c>
      <c r="H13" s="127">
        <f>+Actuals!E246</f>
        <v>3725247</v>
      </c>
      <c r="I13" s="128">
        <f>+Actuals!F246</f>
        <v>8162482</v>
      </c>
      <c r="J13" s="127">
        <f>+Actuals!G246</f>
        <v>-3725247</v>
      </c>
      <c r="K13" s="147">
        <f>+Actuals!H246</f>
        <v>-8162482</v>
      </c>
      <c r="L13" s="127">
        <f>+Actuals!I446</f>
        <v>3725247</v>
      </c>
      <c r="M13" s="128">
        <f>+Actuals!J446</f>
        <v>8162482</v>
      </c>
      <c r="N13" s="127">
        <f>+Actuals!K446</f>
        <v>0</v>
      </c>
      <c r="O13" s="128">
        <f>+Actuals!L446</f>
        <v>0</v>
      </c>
      <c r="P13" s="127">
        <f>+Actuals!M446</f>
        <v>-3725247</v>
      </c>
      <c r="Q13" s="128">
        <f>+Actuals!N446</f>
        <v>-8162482</v>
      </c>
      <c r="R13" s="127">
        <f>+Actuals!O446</f>
        <v>0</v>
      </c>
      <c r="S13" s="128">
        <f>+Actuals!P446</f>
        <v>0</v>
      </c>
      <c r="T13" s="127">
        <f>+Actuals!Q446</f>
        <v>0</v>
      </c>
      <c r="U13" s="128">
        <f>+Actuals!R446</f>
        <v>0</v>
      </c>
      <c r="V13" s="127">
        <f>+Actuals!S446</f>
        <v>3725247</v>
      </c>
      <c r="W13" s="128">
        <f>+Actuals!T446</f>
        <v>8162482</v>
      </c>
      <c r="X13" s="127">
        <f>+Actuals!U246</f>
        <v>0</v>
      </c>
      <c r="Y13" s="128">
        <f>+Actuals!V246</f>
        <v>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+Actuals!I447</f>
        <v>0</v>
      </c>
      <c r="M14" s="128">
        <f>+Actuals!J447</f>
        <v>0</v>
      </c>
      <c r="N14" s="127">
        <f>+Actuals!K447</f>
        <v>0</v>
      </c>
      <c r="O14" s="128">
        <f>+Actuals!L447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+Actuals!I448</f>
        <v>0</v>
      </c>
      <c r="M15" s="128">
        <f>+Actuals!J448</f>
        <v>0</v>
      </c>
      <c r="N15" s="127">
        <f>+Actuals!K448</f>
        <v>0</v>
      </c>
      <c r="O15" s="128">
        <f>+Actuals!L448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13092190</v>
      </c>
      <c r="E16" s="39">
        <f t="shared" si="1"/>
        <v>36591051.890000001</v>
      </c>
      <c r="F16" s="61">
        <f t="shared" si="1"/>
        <v>0</v>
      </c>
      <c r="G16" s="39">
        <f t="shared" si="1"/>
        <v>-958963.55</v>
      </c>
      <c r="H16" s="61">
        <f t="shared" si="1"/>
        <v>11800966</v>
      </c>
      <c r="I16" s="39">
        <f t="shared" si="1"/>
        <v>32158936.079999998</v>
      </c>
      <c r="J16" s="61">
        <f t="shared" si="1"/>
        <v>-2809754</v>
      </c>
      <c r="K16" s="148">
        <f t="shared" si="1"/>
        <v>-3440504.5300000003</v>
      </c>
      <c r="L16" s="61">
        <f t="shared" si="1"/>
        <v>4025267</v>
      </c>
      <c r="M16" s="39">
        <f t="shared" si="1"/>
        <v>9712460.9800000004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-3657327</v>
      </c>
      <c r="Q16" s="39">
        <f t="shared" si="2"/>
        <v>-7923386.4500000002</v>
      </c>
      <c r="R16" s="61">
        <f t="shared" si="2"/>
        <v>-16</v>
      </c>
      <c r="S16" s="39">
        <f t="shared" si="2"/>
        <v>18872.21</v>
      </c>
      <c r="T16" s="61">
        <f>SUM(T11:T15)</f>
        <v>-551</v>
      </c>
      <c r="U16" s="39">
        <f>SUM(U11:U15)</f>
        <v>-1162348.25</v>
      </c>
      <c r="V16" s="61">
        <f>SUM(V11:V15)</f>
        <v>3725379</v>
      </c>
      <c r="W16" s="39">
        <f>SUM(W11:W15)</f>
        <v>8162983.4699999997</v>
      </c>
      <c r="X16" s="61">
        <f t="shared" si="1"/>
        <v>8219</v>
      </c>
      <c r="Y16" s="39">
        <f t="shared" si="1"/>
        <v>26147.57</v>
      </c>
      <c r="Z16" s="61">
        <f t="shared" si="1"/>
        <v>7</v>
      </c>
      <c r="AA16" s="39">
        <f t="shared" si="1"/>
        <v>-3145.64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-1230669</v>
      </c>
      <c r="E19" s="38">
        <f t="shared" si="3"/>
        <v>-2550959.94</v>
      </c>
      <c r="F19" s="64">
        <f>'TIE-OUT'!T19+RECLASS!R19</f>
        <v>0</v>
      </c>
      <c r="G19" s="68">
        <f>'TIE-OUT'!U19+RECLASS!S19</f>
        <v>0</v>
      </c>
      <c r="H19" s="127">
        <f>+Actuals!E249</f>
        <v>-928373</v>
      </c>
      <c r="I19" s="128">
        <f>+Actuals!F249</f>
        <v>-1871450.16</v>
      </c>
      <c r="J19" s="127">
        <f>+Actuals!G249</f>
        <v>-1509</v>
      </c>
      <c r="K19" s="147">
        <f>+Actuals!H249</f>
        <v>-3067.86</v>
      </c>
      <c r="L19" s="127">
        <f>+Actuals!I449</f>
        <v>331219</v>
      </c>
      <c r="M19" s="128">
        <f>+Actuals!J449</f>
        <v>517273.4</v>
      </c>
      <c r="N19" s="127">
        <f>+Actuals!K449</f>
        <v>0</v>
      </c>
      <c r="O19" s="128">
        <f>+Actuals!L449</f>
        <v>0</v>
      </c>
      <c r="P19" s="127">
        <f>+Actuals!M449</f>
        <v>-631219</v>
      </c>
      <c r="Q19" s="128">
        <f>+Actuals!N449</f>
        <v>-1192307.18</v>
      </c>
      <c r="R19" s="127">
        <f>+Actuals!O449</f>
        <v>0</v>
      </c>
      <c r="S19" s="128">
        <f>+Actuals!P449</f>
        <v>0</v>
      </c>
      <c r="T19" s="127">
        <f>+Actuals!Q449</f>
        <v>0</v>
      </c>
      <c r="U19" s="128">
        <f>+Actuals!R449</f>
        <v>0</v>
      </c>
      <c r="V19" s="127">
        <f>+Actuals!S449</f>
        <v>-787</v>
      </c>
      <c r="W19" s="128">
        <f>+Actuals!T449</f>
        <v>-1408.14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2020180</v>
      </c>
      <c r="F20" s="60">
        <f>'TIE-OUT'!T20+RECLASS!R20</f>
        <v>0</v>
      </c>
      <c r="G20" s="38">
        <f>'TIE-OUT'!U20+RECLASS!S20</f>
        <v>2020180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+Actuals!I450</f>
        <v>0</v>
      </c>
      <c r="M20" s="155">
        <v>0</v>
      </c>
      <c r="N20" s="127">
        <f>+Actuals!K450</f>
        <v>0</v>
      </c>
      <c r="O20" s="155">
        <v>0</v>
      </c>
      <c r="P20" s="127">
        <f>+Actuals!M450</f>
        <v>0</v>
      </c>
      <c r="Q20" s="128">
        <v>0</v>
      </c>
      <c r="R20" s="127">
        <f>+Actuals!O450</f>
        <v>0</v>
      </c>
      <c r="S20" s="128">
        <v>0</v>
      </c>
      <c r="T20" s="127">
        <f>+Actuals!Q450</f>
        <v>0</v>
      </c>
      <c r="U20" s="128">
        <v>0</v>
      </c>
      <c r="V20" s="127">
        <f>+Actuals!S450</f>
        <v>0</v>
      </c>
      <c r="W20" s="128"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-3725247</v>
      </c>
      <c r="E21" s="38">
        <f t="shared" si="3"/>
        <v>-8162482</v>
      </c>
      <c r="F21" s="60">
        <f>'TIE-OUT'!T21+RECLASS!R21</f>
        <v>0</v>
      </c>
      <c r="G21" s="38">
        <f>'TIE-OUT'!U21+RECLASS!S21</f>
        <v>0</v>
      </c>
      <c r="H21" s="127">
        <f>+Actuals!E251</f>
        <v>-3725247</v>
      </c>
      <c r="I21" s="128">
        <f>+Actuals!F251</f>
        <v>-8162482</v>
      </c>
      <c r="J21" s="127">
        <f>+Actuals!G251</f>
        <v>3725247</v>
      </c>
      <c r="K21" s="147">
        <f>+Actuals!H251</f>
        <v>8162482</v>
      </c>
      <c r="L21" s="127">
        <f>+Actuals!I451</f>
        <v>-3725247</v>
      </c>
      <c r="M21" s="128">
        <f>+Actuals!J451</f>
        <v>-8162482</v>
      </c>
      <c r="N21" s="127">
        <f>+Actuals!K451</f>
        <v>0</v>
      </c>
      <c r="O21" s="128">
        <f>+Actuals!L451</f>
        <v>0</v>
      </c>
      <c r="P21" s="127">
        <f>+Actuals!M451</f>
        <v>3725247</v>
      </c>
      <c r="Q21" s="128">
        <f>+Actuals!N451</f>
        <v>8162482</v>
      </c>
      <c r="R21" s="127">
        <f>+Actuals!O451</f>
        <v>0</v>
      </c>
      <c r="S21" s="128">
        <f>+Actuals!P451</f>
        <v>0</v>
      </c>
      <c r="T21" s="127">
        <f>+Actuals!Q451</f>
        <v>0</v>
      </c>
      <c r="U21" s="128">
        <f>+Actuals!R451</f>
        <v>0</v>
      </c>
      <c r="V21" s="127">
        <f>+Actuals!S451</f>
        <v>-3725247</v>
      </c>
      <c r="W21" s="128">
        <f>+Actuals!T451</f>
        <v>-8162482</v>
      </c>
      <c r="X21" s="127">
        <f>+Actuals!U251</f>
        <v>0</v>
      </c>
      <c r="Y21" s="128">
        <f>+Actuals!V251</f>
        <v>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+Actuals!I452</f>
        <v>0</v>
      </c>
      <c r="M22" s="128">
        <f>+Actuals!J452</f>
        <v>0</v>
      </c>
      <c r="N22" s="127">
        <f>+Actuals!K452</f>
        <v>0</v>
      </c>
      <c r="O22" s="128">
        <f>+Actuals!L452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18416</v>
      </c>
      <c r="E23" s="38">
        <f t="shared" si="3"/>
        <v>53535.311999999998</v>
      </c>
      <c r="F23" s="81">
        <f>'TIE-OUT'!T23+RECLASS!R23</f>
        <v>0</v>
      </c>
      <c r="G23" s="82">
        <f>'TIE-OUT'!U23+RECLASS!S23</f>
        <v>0</v>
      </c>
      <c r="H23" s="127">
        <f>+Actuals!E253</f>
        <v>17906</v>
      </c>
      <c r="I23" s="128">
        <f>+Actuals!F253</f>
        <v>52052.741999999998</v>
      </c>
      <c r="J23" s="127">
        <f>+Actuals!G253</f>
        <v>235</v>
      </c>
      <c r="K23" s="147">
        <f>+Actuals!H253</f>
        <v>683.14499999999998</v>
      </c>
      <c r="L23" s="127">
        <f>+Actuals!I453</f>
        <v>353</v>
      </c>
      <c r="M23" s="128">
        <f>+Actuals!J453</f>
        <v>1026.171</v>
      </c>
      <c r="N23" s="127">
        <f>+Actuals!K453</f>
        <v>-78</v>
      </c>
      <c r="O23" s="128">
        <f>+Actuals!L453</f>
        <v>-226.74600000000001</v>
      </c>
      <c r="P23" s="127">
        <f>+Actuals!M453</f>
        <v>0</v>
      </c>
      <c r="Q23" s="128">
        <f>+Actuals!N453</f>
        <v>0</v>
      </c>
      <c r="R23" s="127">
        <f>+Actuals!O453</f>
        <v>0</v>
      </c>
      <c r="S23" s="128">
        <f>+Actuals!P453</f>
        <v>0</v>
      </c>
      <c r="T23" s="127">
        <f>+Actuals!Q453</f>
        <v>0</v>
      </c>
      <c r="U23" s="128">
        <f>+Actuals!R453</f>
        <v>0</v>
      </c>
      <c r="V23" s="127">
        <f>+Actuals!S453</f>
        <v>0</v>
      </c>
      <c r="W23" s="128">
        <f>+Actuals!T453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-4937500</v>
      </c>
      <c r="E24" s="39">
        <f t="shared" si="4"/>
        <v>-8639726.6279999986</v>
      </c>
      <c r="F24" s="61">
        <f t="shared" si="4"/>
        <v>0</v>
      </c>
      <c r="G24" s="39">
        <f t="shared" si="4"/>
        <v>2020180</v>
      </c>
      <c r="H24" s="61">
        <f t="shared" si="4"/>
        <v>-4635714</v>
      </c>
      <c r="I24" s="39">
        <f t="shared" si="4"/>
        <v>-9981879.4179999996</v>
      </c>
      <c r="J24" s="61">
        <f t="shared" si="4"/>
        <v>3723973</v>
      </c>
      <c r="K24" s="148">
        <f t="shared" si="4"/>
        <v>8160097.2849999992</v>
      </c>
      <c r="L24" s="61">
        <f t="shared" si="4"/>
        <v>-3393675</v>
      </c>
      <c r="M24" s="39">
        <f t="shared" si="4"/>
        <v>-7644182.4289999995</v>
      </c>
      <c r="N24" s="61">
        <f t="shared" ref="N24:S24" si="5">SUM(N19:N23)</f>
        <v>-78</v>
      </c>
      <c r="O24" s="39">
        <f t="shared" si="5"/>
        <v>-226.74600000000001</v>
      </c>
      <c r="P24" s="61">
        <f t="shared" si="5"/>
        <v>3094028</v>
      </c>
      <c r="Q24" s="39">
        <f t="shared" si="5"/>
        <v>6970174.8200000003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>SUM(V19:V23)</f>
        <v>-3726034</v>
      </c>
      <c r="W24" s="39">
        <f>SUM(W19:W23)</f>
        <v>-8163890.1399999997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3322910</v>
      </c>
      <c r="E27" s="38">
        <f>SUM(G27,I27,K27,M27,O27,Q27,S27,U27,W27,Y27,AA27,AC27,AE27)</f>
        <v>7474871.04</v>
      </c>
      <c r="F27" s="64">
        <f>'TIE-OUT'!T27+RECLASS!R27</f>
        <v>0</v>
      </c>
      <c r="G27" s="68">
        <f>'TIE-OUT'!U27+RECLASS!S27</f>
        <v>0</v>
      </c>
      <c r="H27" s="127">
        <f>+Actuals!E254</f>
        <v>3320425</v>
      </c>
      <c r="I27" s="128">
        <f>+Actuals!F254</f>
        <v>7467335.5199999996</v>
      </c>
      <c r="J27" s="127">
        <f>+Actuals!G254</f>
        <v>2491</v>
      </c>
      <c r="K27" s="147">
        <f>+Actuals!H254</f>
        <v>7547.73</v>
      </c>
      <c r="L27" s="127">
        <f>+Actuals!I454</f>
        <v>-6</v>
      </c>
      <c r="M27" s="128">
        <f>+Actuals!J454</f>
        <v>-12.21</v>
      </c>
      <c r="N27" s="127">
        <f>+Actuals!K454</f>
        <v>0</v>
      </c>
      <c r="O27" s="128">
        <f>+Actuals!L454</f>
        <v>0</v>
      </c>
      <c r="P27" s="127">
        <f>+Actuals!M454</f>
        <v>0</v>
      </c>
      <c r="Q27" s="128">
        <f>+Actuals!N454</f>
        <v>0</v>
      </c>
      <c r="R27" s="127">
        <f>+Actuals!O454</f>
        <v>0</v>
      </c>
      <c r="S27" s="128">
        <f>+Actuals!P454</f>
        <v>0</v>
      </c>
      <c r="T27" s="127">
        <f>+Actuals!Q454</f>
        <v>0</v>
      </c>
      <c r="U27" s="128">
        <f>+Actuals!R454</f>
        <v>0</v>
      </c>
      <c r="V27" s="127">
        <f>+Actuals!S454</f>
        <v>0</v>
      </c>
      <c r="W27" s="128">
        <f>+Actuals!T454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-11489106</v>
      </c>
      <c r="E28" s="38">
        <f>SUM(G28,I28,K28,M28,O28,Q28,S28,U28,W28,Y28,AA28,AC28,AE28)</f>
        <v>-26402020.759999998</v>
      </c>
      <c r="F28" s="81">
        <f>'TIE-OUT'!T28+RECLASS!R28</f>
        <v>0</v>
      </c>
      <c r="G28" s="82">
        <f>'TIE-OUT'!U28+RECLASS!S28</f>
        <v>0</v>
      </c>
      <c r="H28" s="127">
        <f>+Actuals!E255</f>
        <v>-6268640</v>
      </c>
      <c r="I28" s="128">
        <f>+Actuals!F255</f>
        <v>-14549831.98</v>
      </c>
      <c r="J28" s="127">
        <f>+Actuals!G255</f>
        <v>-5167382</v>
      </c>
      <c r="K28" s="147">
        <f>+Actuals!H255</f>
        <v>-11734077.939999999</v>
      </c>
      <c r="L28" s="127">
        <f>+Actuals!I455</f>
        <v>21840</v>
      </c>
      <c r="M28" s="128">
        <f>+Actuals!J455</f>
        <v>53616.6</v>
      </c>
      <c r="N28" s="127">
        <f>+Actuals!K455</f>
        <v>-631219</v>
      </c>
      <c r="O28" s="128">
        <f>+Actuals!L455</f>
        <v>-1446754.06</v>
      </c>
      <c r="P28" s="127">
        <f>+Actuals!M455</f>
        <v>563299</v>
      </c>
      <c r="Q28" s="128">
        <f>+Actuals!N455</f>
        <v>1291082.75</v>
      </c>
      <c r="R28" s="127">
        <f>+Actuals!O455</f>
        <v>16</v>
      </c>
      <c r="S28" s="128">
        <f>+Actuals!P455</f>
        <v>36.770000000000003</v>
      </c>
      <c r="T28" s="127">
        <f>+Actuals!Q455</f>
        <v>551</v>
      </c>
      <c r="U28" s="128">
        <f>+Actuals!R455</f>
        <v>1260.5</v>
      </c>
      <c r="V28" s="127">
        <f>+Actuals!S455</f>
        <v>655</v>
      </c>
      <c r="W28" s="128">
        <f>+Actuals!T455</f>
        <v>1505.6</v>
      </c>
      <c r="X28" s="127">
        <v>-12660</v>
      </c>
      <c r="Y28" s="128">
        <v>-29016.720000000001</v>
      </c>
      <c r="Z28" s="127">
        <v>4434</v>
      </c>
      <c r="AA28" s="128">
        <v>10157.719999999999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-8166196</v>
      </c>
      <c r="E29" s="39">
        <f t="shared" si="6"/>
        <v>-18927149.719999999</v>
      </c>
      <c r="F29" s="61">
        <f t="shared" si="6"/>
        <v>0</v>
      </c>
      <c r="G29" s="39">
        <f t="shared" si="6"/>
        <v>0</v>
      </c>
      <c r="H29" s="61">
        <f t="shared" si="6"/>
        <v>-2948215</v>
      </c>
      <c r="I29" s="39">
        <f t="shared" si="6"/>
        <v>-7082496.4600000009</v>
      </c>
      <c r="J29" s="61">
        <f t="shared" si="6"/>
        <v>-5164891</v>
      </c>
      <c r="K29" s="148">
        <f t="shared" si="6"/>
        <v>-11726530.209999999</v>
      </c>
      <c r="L29" s="61">
        <f t="shared" si="6"/>
        <v>21834</v>
      </c>
      <c r="M29" s="39">
        <f t="shared" si="6"/>
        <v>53604.39</v>
      </c>
      <c r="N29" s="61">
        <f t="shared" ref="N29:S29" si="7">SUM(N27:N28)</f>
        <v>-631219</v>
      </c>
      <c r="O29" s="39">
        <f t="shared" si="7"/>
        <v>-1446754.06</v>
      </c>
      <c r="P29" s="61">
        <f t="shared" si="7"/>
        <v>563299</v>
      </c>
      <c r="Q29" s="39">
        <f t="shared" si="7"/>
        <v>1291082.75</v>
      </c>
      <c r="R29" s="61">
        <f t="shared" si="7"/>
        <v>16</v>
      </c>
      <c r="S29" s="39">
        <f t="shared" si="7"/>
        <v>36.770000000000003</v>
      </c>
      <c r="T29" s="61">
        <f>SUM(T27:T28)</f>
        <v>551</v>
      </c>
      <c r="U29" s="39">
        <f>SUM(U27:U28)</f>
        <v>1260.5</v>
      </c>
      <c r="V29" s="61">
        <f>SUM(V27:V28)</f>
        <v>655</v>
      </c>
      <c r="W29" s="39">
        <f>SUM(W27:W28)</f>
        <v>1505.6</v>
      </c>
      <c r="X29" s="61">
        <f t="shared" si="6"/>
        <v>-12660</v>
      </c>
      <c r="Y29" s="39">
        <f t="shared" si="6"/>
        <v>-29016.720000000001</v>
      </c>
      <c r="Z29" s="61">
        <f t="shared" si="6"/>
        <v>4434</v>
      </c>
      <c r="AA29" s="39">
        <f t="shared" si="6"/>
        <v>10157.719999999999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-32800</v>
      </c>
      <c r="E32" s="38">
        <f t="shared" si="8"/>
        <v>-95349.599999999162</v>
      </c>
      <c r="F32" s="64">
        <f>'TIE-OUT'!T32+RECLASS!R32</f>
        <v>0</v>
      </c>
      <c r="G32" s="68">
        <f>'TIE-OUT'!U32+RECLASS!S32</f>
        <v>0</v>
      </c>
      <c r="H32" s="127">
        <f>+Actuals!E256</f>
        <v>-4282910</v>
      </c>
      <c r="I32" s="128">
        <f>+Actuals!F256</f>
        <v>-12450419.369999999</v>
      </c>
      <c r="J32" s="127">
        <f>+Actuals!G256</f>
        <v>4272239</v>
      </c>
      <c r="K32" s="147">
        <f>+Actuals!H256</f>
        <v>12419398.773</v>
      </c>
      <c r="L32" s="127">
        <f>+Actuals!I456</f>
        <v>-653426</v>
      </c>
      <c r="M32" s="128">
        <f>+Actuals!J456</f>
        <v>-1899509.382</v>
      </c>
      <c r="N32" s="127">
        <f>+Actuals!K456</f>
        <v>631297</v>
      </c>
      <c r="O32" s="128">
        <f>+Actuals!L456</f>
        <v>1835180.379</v>
      </c>
      <c r="P32" s="127">
        <f>+Actuals!M456</f>
        <v>-1</v>
      </c>
      <c r="Q32" s="128">
        <f>+Actuals!N456</f>
        <v>-2.907</v>
      </c>
      <c r="R32" s="127">
        <f>+Actuals!O456</f>
        <v>1</v>
      </c>
      <c r="S32" s="128">
        <f>+Actuals!P456</f>
        <v>2.907</v>
      </c>
      <c r="T32" s="127">
        <f>+Actuals!Q456</f>
        <v>0</v>
      </c>
      <c r="U32" s="128">
        <f>+Actuals!R456</f>
        <v>0</v>
      </c>
      <c r="V32" s="127">
        <f>+Actuals!S456</f>
        <v>0</v>
      </c>
      <c r="W32" s="128">
        <f>+Actuals!T456</f>
        <v>0</v>
      </c>
      <c r="X32" s="127">
        <v>4441</v>
      </c>
      <c r="Y32" s="128">
        <v>12909.99</v>
      </c>
      <c r="Z32" s="127">
        <v>-4441</v>
      </c>
      <c r="AA32" s="128">
        <v>-12909.99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+Actuals!I457</f>
        <v>0</v>
      </c>
      <c r="M33" s="128">
        <f>+Actuals!J457</f>
        <v>0</v>
      </c>
      <c r="N33" s="127">
        <f>+Actuals!K457</f>
        <v>0</v>
      </c>
      <c r="O33" s="128">
        <f>+Actuals!L457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+Actuals!I458</f>
        <v>0</v>
      </c>
      <c r="M34" s="128">
        <f>+Actuals!J458</f>
        <v>0</v>
      </c>
      <c r="N34" s="127">
        <f>+Actuals!K458</f>
        <v>0</v>
      </c>
      <c r="O34" s="128">
        <f>+Actuals!L458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+Actuals!I459</f>
        <v>0</v>
      </c>
      <c r="M35" s="128">
        <f>+Actuals!J459</f>
        <v>0</v>
      </c>
      <c r="N35" s="127">
        <f>+Actuals!K459</f>
        <v>0</v>
      </c>
      <c r="O35" s="128">
        <f>+Actuals!L459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-32800</v>
      </c>
      <c r="E36" s="39">
        <f t="shared" si="9"/>
        <v>-95349.599999999162</v>
      </c>
      <c r="F36" s="61">
        <f t="shared" si="9"/>
        <v>0</v>
      </c>
      <c r="G36" s="39">
        <f t="shared" si="9"/>
        <v>0</v>
      </c>
      <c r="H36" s="61">
        <f t="shared" si="9"/>
        <v>-4282910</v>
      </c>
      <c r="I36" s="39">
        <f t="shared" si="9"/>
        <v>-12450419.369999999</v>
      </c>
      <c r="J36" s="61">
        <f t="shared" si="9"/>
        <v>4272239</v>
      </c>
      <c r="K36" s="148">
        <f t="shared" si="9"/>
        <v>12419398.773</v>
      </c>
      <c r="L36" s="61">
        <f t="shared" si="9"/>
        <v>-653426</v>
      </c>
      <c r="M36" s="39">
        <f t="shared" si="9"/>
        <v>-1899509.382</v>
      </c>
      <c r="N36" s="61">
        <f t="shared" ref="N36:S36" si="10">SUM(N32:N35)</f>
        <v>631297</v>
      </c>
      <c r="O36" s="39">
        <f t="shared" si="10"/>
        <v>1835180.379</v>
      </c>
      <c r="P36" s="61">
        <f t="shared" si="10"/>
        <v>-1</v>
      </c>
      <c r="Q36" s="39">
        <f t="shared" si="10"/>
        <v>-2.907</v>
      </c>
      <c r="R36" s="61">
        <f t="shared" si="10"/>
        <v>1</v>
      </c>
      <c r="S36" s="39">
        <f t="shared" si="10"/>
        <v>2.907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9"/>
        <v>4441</v>
      </c>
      <c r="Y36" s="39">
        <f t="shared" si="9"/>
        <v>12909.99</v>
      </c>
      <c r="Z36" s="61">
        <f t="shared" si="9"/>
        <v>-4441</v>
      </c>
      <c r="AA36" s="39">
        <f t="shared" si="9"/>
        <v>-12909.99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44550</v>
      </c>
      <c r="E39" s="38">
        <f t="shared" si="11"/>
        <v>129506.85</v>
      </c>
      <c r="F39" s="64">
        <f>'TIE-OUT'!T39+RECLASS!R39</f>
        <v>0</v>
      </c>
      <c r="G39" s="68">
        <f>'TIE-OUT'!U39+RECLASS!S39</f>
        <v>0</v>
      </c>
      <c r="H39" s="127">
        <f>+Actuals!E260</f>
        <v>45000</v>
      </c>
      <c r="I39" s="128">
        <f>+Actuals!F260</f>
        <v>130815</v>
      </c>
      <c r="J39" s="127">
        <f>+Actuals!G260</f>
        <v>0</v>
      </c>
      <c r="K39" s="147">
        <f>+Actuals!H260</f>
        <v>0</v>
      </c>
      <c r="L39" s="127">
        <f>+Actuals!I460</f>
        <v>0</v>
      </c>
      <c r="M39" s="128">
        <f>+Actuals!J460</f>
        <v>0</v>
      </c>
      <c r="N39" s="127">
        <f>+Actuals!K460</f>
        <v>0</v>
      </c>
      <c r="O39" s="128">
        <f>+Actuals!L460</f>
        <v>0</v>
      </c>
      <c r="P39" s="127">
        <f>+Actuals!M460</f>
        <v>-450</v>
      </c>
      <c r="Q39" s="128">
        <f>+Actuals!N460</f>
        <v>-1308.1500000000001</v>
      </c>
      <c r="R39" s="127">
        <f>+Actuals!O460</f>
        <v>0</v>
      </c>
      <c r="S39" s="128">
        <f>+Actuals!P460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'TIE-OUT'!T40+RECLASS!R40</f>
        <v>0</v>
      </c>
      <c r="G40" s="38">
        <f>'TIE-OUT'!U40+RECLASS!S40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+Actuals!I461</f>
        <v>0</v>
      </c>
      <c r="M40" s="128">
        <f>+Actuals!J461</f>
        <v>0</v>
      </c>
      <c r="N40" s="127">
        <f>+Actuals!K461</f>
        <v>0</v>
      </c>
      <c r="O40" s="128">
        <f>+Actuals!L461</f>
        <v>0</v>
      </c>
      <c r="P40" s="127">
        <f>+Actuals!M461</f>
        <v>0</v>
      </c>
      <c r="Q40" s="128">
        <f>+Actuals!N461</f>
        <v>0</v>
      </c>
      <c r="R40" s="127">
        <f>+Actuals!O461</f>
        <v>0</v>
      </c>
      <c r="S40" s="128">
        <f>+Actuals!P461</f>
        <v>0</v>
      </c>
      <c r="T40" s="127">
        <f>+Actuals!Q461</f>
        <v>0</v>
      </c>
      <c r="U40" s="128">
        <f>+Actuals!R461</f>
        <v>0</v>
      </c>
      <c r="V40" s="127">
        <f>+Actuals!S461</f>
        <v>0</v>
      </c>
      <c r="W40" s="128">
        <f>+Actuals!T461</f>
        <v>0</v>
      </c>
      <c r="X40" s="127">
        <f>+Actuals!U261</f>
        <v>0</v>
      </c>
      <c r="Y40" s="128"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'TIE-OUT'!T41+RECLASS!R41</f>
        <v>0</v>
      </c>
      <c r="G41" s="82">
        <f>'TIE-OUT'!U41+RECLASS!S41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+Actuals!I462</f>
        <v>0</v>
      </c>
      <c r="M41" s="128">
        <f>+Actuals!J462</f>
        <v>0</v>
      </c>
      <c r="N41" s="127">
        <f>+Actuals!K462</f>
        <v>0</v>
      </c>
      <c r="O41" s="128">
        <f>+Actuals!L462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44550</v>
      </c>
      <c r="E43" s="39">
        <f t="shared" si="14"/>
        <v>129506.85</v>
      </c>
      <c r="F43" s="61">
        <f t="shared" si="14"/>
        <v>0</v>
      </c>
      <c r="G43" s="39">
        <f t="shared" si="14"/>
        <v>0</v>
      </c>
      <c r="H43" s="61">
        <f t="shared" si="14"/>
        <v>45000</v>
      </c>
      <c r="I43" s="39">
        <f t="shared" si="14"/>
        <v>130815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-450</v>
      </c>
      <c r="Q43" s="39">
        <f t="shared" si="15"/>
        <v>-1308.1500000000001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+Actuals!I463</f>
        <v>0</v>
      </c>
      <c r="M45" s="128">
        <f>+Actuals!J463</f>
        <v>0</v>
      </c>
      <c r="N45" s="127">
        <f>+Actuals!K463</f>
        <v>0</v>
      </c>
      <c r="O45" s="128">
        <f>+Actuals!L463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+Actuals!I464</f>
        <v>0</v>
      </c>
      <c r="M47" s="128">
        <f>+Actuals!J464</f>
        <v>0</v>
      </c>
      <c r="N47" s="127">
        <f>+Actuals!K464</f>
        <v>0</v>
      </c>
      <c r="O47" s="128">
        <f>+Actuals!L464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-244</v>
      </c>
      <c r="E49" s="38">
        <f>SUM(G49,I49,K49,M49,O49,Q49,S49,U49,W49,Y49,AA49,AC49,AE49)</f>
        <v>-702.83799999999871</v>
      </c>
      <c r="F49" s="60">
        <f>'TIE-OUT'!T49+RECLASS!R49</f>
        <v>0</v>
      </c>
      <c r="G49" s="38">
        <f>'TIE-OUT'!U49+RECLASS!S49</f>
        <v>0</v>
      </c>
      <c r="H49" s="127">
        <f>+Actuals!E265</f>
        <v>20873</v>
      </c>
      <c r="I49" s="128">
        <f>+Actuals!F265</f>
        <v>60677.811000000002</v>
      </c>
      <c r="J49" s="127">
        <f>+Actuals!G265</f>
        <v>-21567</v>
      </c>
      <c r="K49" s="147">
        <f>+Actuals!H265</f>
        <v>-62695.269</v>
      </c>
      <c r="L49" s="127">
        <f>+Actuals!I465</f>
        <v>0</v>
      </c>
      <c r="M49" s="128">
        <f>+Actuals!J465</f>
        <v>0</v>
      </c>
      <c r="N49" s="127">
        <f>+Actuals!K465</f>
        <v>0</v>
      </c>
      <c r="O49" s="128">
        <f>+Actuals!L465</f>
        <v>0</v>
      </c>
      <c r="P49" s="127">
        <f>+Actuals!M465</f>
        <v>451</v>
      </c>
      <c r="Q49" s="128">
        <f>+Actuals!N465</f>
        <v>1311.057</v>
      </c>
      <c r="R49" s="127">
        <f>+Actuals!O465</f>
        <v>-1</v>
      </c>
      <c r="S49" s="128">
        <f>+Actuals!P465</f>
        <v>-2.907</v>
      </c>
      <c r="T49" s="127">
        <f>+Actuals!Q465</f>
        <v>0</v>
      </c>
      <c r="U49" s="128">
        <f>+Actuals!R465</f>
        <v>0</v>
      </c>
      <c r="V49" s="127">
        <f>+Actuals!S465</f>
        <v>0</v>
      </c>
      <c r="W49" s="128">
        <f>+Actuals!T465</f>
        <v>0</v>
      </c>
      <c r="X49" s="127">
        <v>0</v>
      </c>
      <c r="Y49" s="128">
        <v>0</v>
      </c>
      <c r="Z49" s="127">
        <f>+Actuals!W265</f>
        <v>0</v>
      </c>
      <c r="AA49" s="128">
        <f>+Actuals!X265</f>
        <v>0</v>
      </c>
      <c r="AB49" s="127">
        <f>+Actuals!Y265</f>
        <v>0</v>
      </c>
      <c r="AC49" s="128">
        <v>6.47</v>
      </c>
      <c r="AD49" s="127">
        <f>+Actuals!AA265</f>
        <v>0</v>
      </c>
      <c r="AE49" s="128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-18416</v>
      </c>
      <c r="E51" s="38">
        <f>SUM(G51,I51,K51,M51,O51,Q51,S51,U51,W51,Y51,AA51,AC51,AE51)</f>
        <v>-53535.311999999998</v>
      </c>
      <c r="F51" s="60">
        <f>'TIE-OUT'!T51+RECLASS!R51</f>
        <v>0</v>
      </c>
      <c r="G51" s="38">
        <f>'TIE-OUT'!U51+RECLASS!S51</f>
        <v>0</v>
      </c>
      <c r="H51" s="127">
        <f>+Actuals!E266</f>
        <v>-17906</v>
      </c>
      <c r="I51" s="128">
        <f>+Actuals!F266</f>
        <v>-52052.741999999998</v>
      </c>
      <c r="J51" s="127">
        <f>+Actuals!G266</f>
        <v>-235</v>
      </c>
      <c r="K51" s="147">
        <f>+Actuals!H266</f>
        <v>-683.14499999999998</v>
      </c>
      <c r="L51" s="127">
        <f>+Actuals!I466</f>
        <v>-353</v>
      </c>
      <c r="M51" s="128">
        <f>+Actuals!J466</f>
        <v>-1026.171</v>
      </c>
      <c r="N51" s="127">
        <f>+Actuals!K466</f>
        <v>78</v>
      </c>
      <c r="O51" s="128">
        <f>+Actuals!L466</f>
        <v>226.74600000000001</v>
      </c>
      <c r="P51" s="127">
        <f>+Actuals!M466</f>
        <v>0</v>
      </c>
      <c r="Q51" s="128">
        <f>+Actuals!N466</f>
        <v>0</v>
      </c>
      <c r="R51" s="127">
        <f>+Actuals!O466</f>
        <v>0</v>
      </c>
      <c r="S51" s="128">
        <f>+Actuals!P466</f>
        <v>0</v>
      </c>
      <c r="T51" s="127">
        <f>+Actuals!Q466</f>
        <v>0</v>
      </c>
      <c r="U51" s="128">
        <f>+Actuals!R466</f>
        <v>0</v>
      </c>
      <c r="V51" s="127">
        <f>+Actuals!S466</f>
        <v>0</v>
      </c>
      <c r="W51" s="128">
        <f>+Actuals!T466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-11635016</v>
      </c>
      <c r="E54" s="38">
        <f>SUM(G54,I54,K54,M54,O54,Q54,S54,U54,W54,Y54,AA54,AC54,AE54)</f>
        <v>-350252.59000000008</v>
      </c>
      <c r="F54" s="64">
        <f>'TIE-OUT'!T54+RECLASS!R54</f>
        <v>0</v>
      </c>
      <c r="G54" s="68">
        <f>'TIE-OUT'!U54+RECLASS!S54</f>
        <v>0</v>
      </c>
      <c r="H54" s="127">
        <f>+Actuals!E267</f>
        <v>-5251604</v>
      </c>
      <c r="I54" s="128">
        <f>+Actuals!F267</f>
        <v>-157868.81</v>
      </c>
      <c r="J54" s="127">
        <f>+Actuals!G267</f>
        <v>-6271518</v>
      </c>
      <c r="K54" s="147">
        <f>+Actuals!H267</f>
        <v>-188591.73</v>
      </c>
      <c r="L54" s="127">
        <f>+Actuals!I467</f>
        <v>586669</v>
      </c>
      <c r="M54" s="128">
        <f>+Actuals!J467</f>
        <v>27959.42</v>
      </c>
      <c r="N54" s="127">
        <f>+Actuals!K467</f>
        <v>-631219</v>
      </c>
      <c r="O54" s="128">
        <f>+Actuals!L467</f>
        <v>-13477.3</v>
      </c>
      <c r="P54" s="127">
        <f>+Actuals!M467</f>
        <v>-67904</v>
      </c>
      <c r="Q54" s="128">
        <f>+Actuals!N467</f>
        <v>-18296.509999999998</v>
      </c>
      <c r="R54" s="127">
        <f>+Actuals!O467</f>
        <v>16</v>
      </c>
      <c r="S54" s="128">
        <f>+Actuals!P467</f>
        <v>-3.06</v>
      </c>
      <c r="T54" s="127">
        <f>+Actuals!Q467</f>
        <v>537</v>
      </c>
      <c r="U54" s="128">
        <f>+Actuals!R467</f>
        <v>13.42</v>
      </c>
      <c r="V54" s="127">
        <f>+Actuals!S467</f>
        <v>7</v>
      </c>
      <c r="W54" s="128">
        <f>+Actuals!T467</f>
        <v>11.98</v>
      </c>
      <c r="X54" s="127">
        <v>0</v>
      </c>
      <c r="Y54" s="128"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-8219</v>
      </c>
      <c r="E55" s="38">
        <f>SUM(G55,I55,K55,M55,O55,Q55,S55,U55,W55,Y55,AA55,AC55,AE55)</f>
        <v>-143818.53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-143684</v>
      </c>
      <c r="J55" s="127">
        <f>+Actuals!G268</f>
        <v>0</v>
      </c>
      <c r="K55" s="147">
        <f>+Actuals!H268</f>
        <v>-93300</v>
      </c>
      <c r="L55" s="127">
        <f>+Actuals!I468</f>
        <v>0</v>
      </c>
      <c r="M55" s="128">
        <f>+Actuals!J468</f>
        <v>92916</v>
      </c>
      <c r="N55" s="127">
        <f>+Actuals!K468</f>
        <v>0</v>
      </c>
      <c r="O55" s="128">
        <f>+Actuals!L468</f>
        <v>0</v>
      </c>
      <c r="P55" s="127">
        <f>+Actuals!M468</f>
        <v>0</v>
      </c>
      <c r="Q55" s="128">
        <f>+Actuals!N468</f>
        <v>384</v>
      </c>
      <c r="R55" s="127">
        <f>+Actuals!O468</f>
        <v>0</v>
      </c>
      <c r="S55" s="128">
        <f>+Actuals!P468</f>
        <v>0</v>
      </c>
      <c r="T55" s="127">
        <f>+Actuals!Q468</f>
        <v>0</v>
      </c>
      <c r="U55" s="128">
        <f>+Actuals!R468</f>
        <v>0</v>
      </c>
      <c r="V55" s="127">
        <f>+Actuals!S468</f>
        <v>0</v>
      </c>
      <c r="W55" s="128">
        <f>+Actuals!T468</f>
        <v>0</v>
      </c>
      <c r="X55" s="127">
        <v>-12660</v>
      </c>
      <c r="Y55" s="128">
        <v>-178.95</v>
      </c>
      <c r="Z55" s="127">
        <v>4441</v>
      </c>
      <c r="AA55" s="128">
        <v>44.42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-11643235</v>
      </c>
      <c r="E56" s="39">
        <f t="shared" si="16"/>
        <v>-494071.12000000011</v>
      </c>
      <c r="F56" s="61">
        <f t="shared" si="16"/>
        <v>0</v>
      </c>
      <c r="G56" s="39">
        <f t="shared" si="16"/>
        <v>0</v>
      </c>
      <c r="H56" s="61">
        <f t="shared" si="16"/>
        <v>-5251604</v>
      </c>
      <c r="I56" s="39">
        <f t="shared" si="16"/>
        <v>-301552.81</v>
      </c>
      <c r="J56" s="61">
        <f t="shared" si="16"/>
        <v>-6271518</v>
      </c>
      <c r="K56" s="148">
        <f t="shared" si="16"/>
        <v>-281891.73</v>
      </c>
      <c r="L56" s="61">
        <f t="shared" si="16"/>
        <v>586669</v>
      </c>
      <c r="M56" s="39">
        <f t="shared" si="16"/>
        <v>120875.42</v>
      </c>
      <c r="N56" s="61">
        <f t="shared" ref="N56:S56" si="17">SUM(N54:N55)</f>
        <v>-631219</v>
      </c>
      <c r="O56" s="39">
        <f t="shared" si="17"/>
        <v>-13477.3</v>
      </c>
      <c r="P56" s="61">
        <f t="shared" si="17"/>
        <v>-67904</v>
      </c>
      <c r="Q56" s="39">
        <f t="shared" si="17"/>
        <v>-17912.509999999998</v>
      </c>
      <c r="R56" s="61">
        <f t="shared" si="17"/>
        <v>16</v>
      </c>
      <c r="S56" s="39">
        <f t="shared" si="17"/>
        <v>-3.06</v>
      </c>
      <c r="T56" s="61">
        <f>SUM(T54:T55)</f>
        <v>537</v>
      </c>
      <c r="U56" s="39">
        <f>SUM(U54:U55)</f>
        <v>13.42</v>
      </c>
      <c r="V56" s="61">
        <f>SUM(V54:V55)</f>
        <v>7</v>
      </c>
      <c r="W56" s="39">
        <f>SUM(W54:W55)</f>
        <v>11.98</v>
      </c>
      <c r="X56" s="61">
        <f t="shared" si="16"/>
        <v>-12660</v>
      </c>
      <c r="Y56" s="39">
        <f t="shared" si="16"/>
        <v>-178.95</v>
      </c>
      <c r="Z56" s="61">
        <f t="shared" si="16"/>
        <v>4441</v>
      </c>
      <c r="AA56" s="39">
        <f t="shared" si="16"/>
        <v>44.42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+Actuals!I469</f>
        <v>0</v>
      </c>
      <c r="M59" s="128">
        <f>+Actuals!J469</f>
        <v>0</v>
      </c>
      <c r="N59" s="127">
        <f>+Actuals!K469</f>
        <v>0</v>
      </c>
      <c r="O59" s="128">
        <f>+Actuals!L469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+Actuals!I470</f>
        <v>0</v>
      </c>
      <c r="M60" s="128">
        <f>+Actuals!J470</f>
        <v>0</v>
      </c>
      <c r="N60" s="127">
        <f>+Actuals!K470</f>
        <v>0</v>
      </c>
      <c r="O60" s="128">
        <f>+Actuals!L470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-22452.809999999998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-10000</v>
      </c>
      <c r="J64" s="127">
        <f>+Actuals!G271</f>
        <v>0</v>
      </c>
      <c r="K64" s="147">
        <f>+Actuals!H271</f>
        <v>-886.91</v>
      </c>
      <c r="L64" s="127">
        <f>+Actuals!I471</f>
        <v>0</v>
      </c>
      <c r="M64" s="128">
        <f>+Actuals!J471</f>
        <v>0</v>
      </c>
      <c r="N64" s="127">
        <f>+Actuals!K471</f>
        <v>0</v>
      </c>
      <c r="O64" s="128">
        <f>+Actuals!L471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+Actuals!Q471</f>
        <v>0</v>
      </c>
      <c r="U64" s="128">
        <f>+Actuals!R471</f>
        <v>7.0000000000000007E-2</v>
      </c>
      <c r="V64" s="127">
        <f>+Actuals!S471</f>
        <v>0</v>
      </c>
      <c r="W64" s="128">
        <f>+Actuals!T471</f>
        <v>-11565.97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+Actuals!I472</f>
        <v>0</v>
      </c>
      <c r="M65" s="128">
        <f>+Actuals!J472</f>
        <v>0</v>
      </c>
      <c r="N65" s="127">
        <f>+Actuals!K472</f>
        <v>0</v>
      </c>
      <c r="O65" s="128">
        <f>+Actuals!L472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-22452.809999999998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-10000</v>
      </c>
      <c r="J66" s="61">
        <f t="shared" si="20"/>
        <v>0</v>
      </c>
      <c r="K66" s="148">
        <f t="shared" si="20"/>
        <v>-886.91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7.0000000000000007E-2</v>
      </c>
      <c r="V66" s="61">
        <f>SUM(V64:V65)</f>
        <v>0</v>
      </c>
      <c r="W66" s="39">
        <f>SUM(W64:W65)</f>
        <v>-11565.97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-1210108.6200000001</v>
      </c>
      <c r="F70" s="64">
        <f>'TIE-OUT'!T70+RECLASS!R70</f>
        <v>0</v>
      </c>
      <c r="G70" s="68">
        <f>'TIE-OUT'!U70+RECLASS!S70</f>
        <v>-1210108.6200000001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+Actuals!I473</f>
        <v>0</v>
      </c>
      <c r="M70" s="128">
        <f>+Actuals!J473</f>
        <v>0</v>
      </c>
      <c r="N70" s="127">
        <f>+Actuals!K473</f>
        <v>0</v>
      </c>
      <c r="O70" s="128">
        <f>+Actuals!L473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876739.35</v>
      </c>
      <c r="F71" s="81">
        <f>'TIE-OUT'!T71+RECLASS!R71</f>
        <v>0</v>
      </c>
      <c r="G71" s="82">
        <f>'TIE-OUT'!U71+RECLASS!S71</f>
        <v>876739.35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+Actuals!I474</f>
        <v>0</v>
      </c>
      <c r="M71" s="128">
        <f>+Actuals!J474</f>
        <v>0</v>
      </c>
      <c r="N71" s="127">
        <f>+Actuals!K474</f>
        <v>0</v>
      </c>
      <c r="O71" s="128">
        <f>+Actuals!L474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-333369.27000000014</v>
      </c>
      <c r="F72" s="61">
        <f t="shared" si="22"/>
        <v>0</v>
      </c>
      <c r="G72" s="39">
        <f t="shared" si="22"/>
        <v>-333369.27000000014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+Actuals!I475</f>
        <v>0</v>
      </c>
      <c r="M73" s="128">
        <f>+Actuals!J475</f>
        <v>0</v>
      </c>
      <c r="N73" s="127">
        <f>+Actuals!K475</f>
        <v>0</v>
      </c>
      <c r="O73" s="128">
        <f>+Actuals!L475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'TIE-OUT'!T74+RECLASS!R74</f>
        <v>0</v>
      </c>
      <c r="G74" s="60">
        <f>'TIE-OUT'!U74+RECLASS!S74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0</v>
      </c>
      <c r="L74" s="127">
        <f>+Actuals!I476</f>
        <v>0</v>
      </c>
      <c r="M74" s="128">
        <f>+Actuals!J476</f>
        <v>0</v>
      </c>
      <c r="N74" s="127">
        <f>+Actuals!K476</f>
        <v>0</v>
      </c>
      <c r="O74" s="128">
        <f>+Actuals!L476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'TIE-OUT'!T75+RECLASS!R75</f>
        <v>0</v>
      </c>
      <c r="G75" s="60">
        <f>'TIE-OUT'!U75+RECLASS!S75</f>
        <v>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+Actuals!I477</f>
        <v>0</v>
      </c>
      <c r="M75" s="128">
        <f>+Actuals!J477</f>
        <v>0</v>
      </c>
      <c r="N75" s="127">
        <f>+Actuals!K477</f>
        <v>0</v>
      </c>
      <c r="O75" s="128">
        <f>+Actuals!L477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-6296.3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-6296.3</v>
      </c>
      <c r="J76" s="127">
        <f>+Actuals!G278</f>
        <v>0</v>
      </c>
      <c r="K76" s="147">
        <f>+Actuals!H278</f>
        <v>0</v>
      </c>
      <c r="L76" s="127">
        <f>+Actuals!I478</f>
        <v>0</v>
      </c>
      <c r="M76" s="128">
        <f>+Actuals!J478</f>
        <v>0</v>
      </c>
      <c r="N76" s="127">
        <f>+Actuals!K478</f>
        <v>0</v>
      </c>
      <c r="O76" s="128">
        <f>+Actuals!L478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+Actuals!I479</f>
        <v>0</v>
      </c>
      <c r="M77" s="128">
        <f>+Actuals!J479</f>
        <v>0</v>
      </c>
      <c r="N77" s="127">
        <f>+Actuals!K479</f>
        <v>0</v>
      </c>
      <c r="O77" s="128">
        <f>+Actuals!L479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+Actuals!I480</f>
        <v>0</v>
      </c>
      <c r="M78" s="128">
        <f>+Actuals!J480</f>
        <v>0</v>
      </c>
      <c r="N78" s="127">
        <f>+Actuals!K480</f>
        <v>0</v>
      </c>
      <c r="O78" s="128">
        <f>+Actuals!L480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+Actuals!I481</f>
        <v>0</v>
      </c>
      <c r="M79" s="128">
        <f>+Actuals!J481</f>
        <v>0</v>
      </c>
      <c r="N79" s="127">
        <f>+Actuals!K481</f>
        <v>0</v>
      </c>
      <c r="O79" s="128">
        <f>+Actuals!L481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+Actuals!I482</f>
        <v>0</v>
      </c>
      <c r="M80" s="128">
        <f>+Actuals!J482</f>
        <v>0</v>
      </c>
      <c r="N80" s="127">
        <f>+Actuals!K482</f>
        <v>0</v>
      </c>
      <c r="O80" s="128">
        <f>+Actuals!L482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+Actuals!I483</f>
        <v>0</v>
      </c>
      <c r="M81" s="128">
        <f>+Actuals!J483</f>
        <v>0</v>
      </c>
      <c r="N81" s="127">
        <f>+Actuals!K483</f>
        <v>0</v>
      </c>
      <c r="O81" s="128">
        <f>+Actuals!L483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8147905.1420000028</v>
      </c>
      <c r="F82" s="91">
        <f>F16+F24+F29+F36+F43+F45+F47+F49</f>
        <v>0</v>
      </c>
      <c r="G82" s="92">
        <f>SUM(G72:G81)+G16+G24+G29+G36+G43+G45+G47+G49+G51+G56+G61+G66</f>
        <v>727847.1799999997</v>
      </c>
      <c r="H82" s="91">
        <f>H16+H24+H29+H36+H43+H45+H47+H49</f>
        <v>0</v>
      </c>
      <c r="I82" s="92">
        <f>SUM(I72:I81)+I16+I24+I29+I36+I43+I45+I47+I49+I51+I56+I61+I66</f>
        <v>2465731.790999996</v>
      </c>
      <c r="J82" s="91">
        <f>J16+J24+J29+J36+J43+J45+J47+J49</f>
        <v>0</v>
      </c>
      <c r="K82" s="161">
        <f>SUM(K72:K81)+K16+K24+K29+K36+K43+K45+K47+K49+K51+K56+K61+K66</f>
        <v>5066304.2640000004</v>
      </c>
      <c r="L82" s="91">
        <f>L16+L24+L29+L36+L43+L45+L47+L49</f>
        <v>0</v>
      </c>
      <c r="M82" s="92">
        <f>SUM(M72:M81)+M16+M24+M29+M36+M43+M45+M47+M49+M51+M56+M61+M66</f>
        <v>342222.80800000107</v>
      </c>
      <c r="N82" s="91">
        <f>N16+N24+N29+N36+N43+N45+N47+N49</f>
        <v>0</v>
      </c>
      <c r="O82" s="92">
        <f>SUM(O72:O81)+O16+O24+O29+O36+O43+O45+O47+O49+O51+O56+O61+O66</f>
        <v>374949.01899999985</v>
      </c>
      <c r="P82" s="91">
        <f>P16+P24+P29+P36+P43+P45+P47+P49</f>
        <v>0</v>
      </c>
      <c r="Q82" s="92">
        <f>SUM(Q72:Q81)+Q16+Q24+Q29+Q36+Q43+Q45+Q47+Q49+Q51+Q56+Q61+Q66</f>
        <v>319958.61000000004</v>
      </c>
      <c r="R82" s="91">
        <f>R16+R24+R29+R36+R43+R45+R47+R49</f>
        <v>0</v>
      </c>
      <c r="S82" s="92">
        <f>SUM(S72:S81)+S16+S24+S29+S36+S43+S45+S47+S49+S51+S56+S61+S66</f>
        <v>18905.919999999998</v>
      </c>
      <c r="T82" s="91">
        <f>T16+T24+T29+T36+T43+T45+T47+T49</f>
        <v>0</v>
      </c>
      <c r="U82" s="92">
        <f>SUM(U72:U81)+U16+U24+U29+U36+U43+U45+U47+U49+U51+U56+U61+U66</f>
        <v>-1161074.26</v>
      </c>
      <c r="V82" s="91">
        <f>V16+V24+V29+V36+V43+V45+V47+V49</f>
        <v>0</v>
      </c>
      <c r="W82" s="92">
        <f>SUM(W72:W81)+W16+W24+W29+W36+W43+W45+W47+W49+W51+W56+W61+W66</f>
        <v>-10955.059999999925</v>
      </c>
      <c r="X82" s="91">
        <f>X16+X24+X29+X36+X43+X45+X47+X49</f>
        <v>0</v>
      </c>
      <c r="Y82" s="92">
        <f>SUM(Y72:Y81)+Y16+Y24+Y29+Y36+Y43+Y45+Y47+Y49+Y51+Y56+Y61+Y66</f>
        <v>9861.8899999999976</v>
      </c>
      <c r="Z82" s="91">
        <f>Z16+Z24+Z29+Z36+Z43+Z45+Z47+Z49</f>
        <v>0</v>
      </c>
      <c r="AA82" s="92">
        <f>SUM(AA72:AA81)+AA16+AA24+AA29+AA36+AA43+AA45+AA47+AA49+AA51+AA56+AA61+AA66</f>
        <v>-5853.49</v>
      </c>
      <c r="AB82" s="91">
        <f>AB16+AB24+AB29+AB36+AB43+AB45+AB47+AB49</f>
        <v>0</v>
      </c>
      <c r="AC82" s="92">
        <f>SUM(AC72:AC81)+AC16+AC24+AC29+AC36+AC43+AC45+AC47+AC49+AC51+AC56+AC61+AC66</f>
        <v>6.47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>SUM(V86:V88)</f>
        <v>0</v>
      </c>
      <c r="W89" s="179">
        <f>SUM(W86:W88)</f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28">+E82+E89</f>
        <v>8147905.1420000028</v>
      </c>
      <c r="F91" s="179">
        <f t="shared" si="28"/>
        <v>0</v>
      </c>
      <c r="G91" s="179">
        <f t="shared" si="28"/>
        <v>727847.1799999997</v>
      </c>
      <c r="H91" s="179">
        <f t="shared" si="28"/>
        <v>0</v>
      </c>
      <c r="I91" s="179">
        <f t="shared" si="28"/>
        <v>2465731.790999996</v>
      </c>
      <c r="J91" s="179">
        <f t="shared" si="28"/>
        <v>0</v>
      </c>
      <c r="K91" s="179">
        <f t="shared" si="28"/>
        <v>5066304.2640000004</v>
      </c>
      <c r="L91" s="179">
        <f t="shared" si="28"/>
        <v>0</v>
      </c>
      <c r="M91" s="179">
        <f t="shared" si="28"/>
        <v>342222.80800000107</v>
      </c>
      <c r="N91" s="179">
        <f t="shared" ref="N91:AE91" si="29">+N82+N89</f>
        <v>0</v>
      </c>
      <c r="O91" s="179">
        <f t="shared" si="29"/>
        <v>374949.01899999985</v>
      </c>
      <c r="P91" s="179">
        <f t="shared" si="29"/>
        <v>0</v>
      </c>
      <c r="Q91" s="179">
        <f t="shared" si="29"/>
        <v>319958.61000000004</v>
      </c>
      <c r="R91" s="179">
        <f t="shared" si="29"/>
        <v>0</v>
      </c>
      <c r="S91" s="179">
        <f t="shared" si="29"/>
        <v>18905.919999999998</v>
      </c>
      <c r="T91" s="179">
        <f t="shared" si="29"/>
        <v>0</v>
      </c>
      <c r="U91" s="179">
        <f t="shared" si="29"/>
        <v>-1161074.26</v>
      </c>
      <c r="V91" s="179">
        <f>+V82+V89</f>
        <v>0</v>
      </c>
      <c r="W91" s="179">
        <f>+W82+W89</f>
        <v>-10955.059999999925</v>
      </c>
      <c r="X91" s="179">
        <f t="shared" si="29"/>
        <v>0</v>
      </c>
      <c r="Y91" s="179">
        <f t="shared" si="29"/>
        <v>9861.8899999999976</v>
      </c>
      <c r="Z91" s="179">
        <f t="shared" si="29"/>
        <v>0</v>
      </c>
      <c r="AA91" s="179">
        <f t="shared" si="29"/>
        <v>-5853.49</v>
      </c>
      <c r="AB91" s="179">
        <f t="shared" si="29"/>
        <v>0</v>
      </c>
      <c r="AC91" s="179">
        <f t="shared" si="29"/>
        <v>6.47</v>
      </c>
      <c r="AD91" s="179">
        <f t="shared" si="29"/>
        <v>0</v>
      </c>
      <c r="AE91" s="179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J176"/>
  <sheetViews>
    <sheetView zoomScale="75" workbookViewId="0">
      <pane xSplit="3" ySplit="9" topLeftCell="T10" activePane="bottomRight" state="frozen"/>
      <selection activeCell="AB9" sqref="AB9"/>
      <selection pane="topRight" activeCell="AB9" sqref="AB9"/>
      <selection pane="bottomLeft" activeCell="AB9" sqref="AB9"/>
      <selection pane="bottomRight" activeCell="AB9" sqref="AB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106752</v>
      </c>
      <c r="E11" s="38">
        <f>SUM(G11,I11,K11,M11,O11,Q11,S11,U11,W11,Y11,AA11,AC11,AE11)</f>
        <v>325700.34999999998</v>
      </c>
      <c r="F11" s="60">
        <f>'TIE-OUT'!R11+RECLASS!P11</f>
        <v>0</v>
      </c>
      <c r="G11" s="38">
        <f>'TIE-OUT'!S11+RECLASS!Q11</f>
        <v>0</v>
      </c>
      <c r="H11" s="127">
        <f>+Actuals!E4</f>
        <v>127489</v>
      </c>
      <c r="I11" s="128">
        <f>+Actuals!F4</f>
        <v>383348.94</v>
      </c>
      <c r="J11" s="127">
        <f>+Actuals!G4</f>
        <v>-10737</v>
      </c>
      <c r="K11" s="147">
        <f>+Actuals!H4</f>
        <v>-29948.59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-10000</v>
      </c>
      <c r="W11" s="128">
        <f>+Actuals!T4</f>
        <v>-27700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-3888</v>
      </c>
      <c r="F12" s="60">
        <f>'TIE-OUT'!R12+RECLASS!P12</f>
        <v>0</v>
      </c>
      <c r="G12" s="38">
        <f>'TIE-OUT'!S12+RECLASS!Q12</f>
        <v>-3888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106752</v>
      </c>
      <c r="E16" s="39">
        <f>SUM(E11:E15)</f>
        <v>321812.34999999998</v>
      </c>
      <c r="F16" s="61">
        <f t="shared" ref="F16:AE16" si="1">SUM(F11:F15)</f>
        <v>0</v>
      </c>
      <c r="G16" s="39">
        <f t="shared" si="1"/>
        <v>-3888</v>
      </c>
      <c r="H16" s="61">
        <f t="shared" si="1"/>
        <v>127489</v>
      </c>
      <c r="I16" s="39">
        <f t="shared" si="1"/>
        <v>383348.94</v>
      </c>
      <c r="J16" s="61">
        <f t="shared" si="1"/>
        <v>-10737</v>
      </c>
      <c r="K16" s="148">
        <f t="shared" si="1"/>
        <v>-29948.59</v>
      </c>
      <c r="L16" s="61">
        <f t="shared" si="1"/>
        <v>0</v>
      </c>
      <c r="M16" s="39">
        <f t="shared" si="1"/>
        <v>0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>SUM(V11:V15)</f>
        <v>-10000</v>
      </c>
      <c r="W16" s="39">
        <f>SUM(W11:W15)</f>
        <v>-27700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926.26</v>
      </c>
      <c r="F19" s="64">
        <f>'TIE-OUT'!R19+RECLASS!P19</f>
        <v>0</v>
      </c>
      <c r="G19" s="68">
        <f>'TIE-OUT'!S19+RECLASS!Q19</f>
        <v>0</v>
      </c>
      <c r="H19" s="127">
        <f>+Actuals!E9</f>
        <v>-20000</v>
      </c>
      <c r="I19" s="128">
        <f>+Actuals!F9</f>
        <v>-58140</v>
      </c>
      <c r="J19" s="127">
        <f>+Actuals!G9</f>
        <v>20000</v>
      </c>
      <c r="K19" s="147">
        <f>+Actuals!H9</f>
        <v>58140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+Actuals!R9+618</f>
        <v>618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v>-308.27999999999997</v>
      </c>
      <c r="Z19" s="127">
        <f>+Actuals!W9</f>
        <v>0</v>
      </c>
      <c r="AA19" s="128">
        <v>616.54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926.26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-20000</v>
      </c>
      <c r="I24" s="39">
        <f t="shared" si="4"/>
        <v>-58140</v>
      </c>
      <c r="J24" s="61">
        <f t="shared" si="4"/>
        <v>20000</v>
      </c>
      <c r="K24" s="148">
        <f t="shared" si="4"/>
        <v>58140</v>
      </c>
      <c r="L24" s="61">
        <f t="shared" si="4"/>
        <v>0</v>
      </c>
      <c r="M24" s="39">
        <f t="shared" si="4"/>
        <v>0</v>
      </c>
      <c r="N24" s="61">
        <f t="shared" ref="N24:S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618</v>
      </c>
      <c r="V24" s="61">
        <f>SUM(V19:V23)</f>
        <v>0</v>
      </c>
      <c r="W24" s="39">
        <f>SUM(W19:W23)</f>
        <v>0</v>
      </c>
      <c r="X24" s="61">
        <f t="shared" si="4"/>
        <v>0</v>
      </c>
      <c r="Y24" s="39">
        <f t="shared" si="4"/>
        <v>-308.27999999999997</v>
      </c>
      <c r="Z24" s="61">
        <f t="shared" si="4"/>
        <v>0</v>
      </c>
      <c r="AA24" s="39">
        <f t="shared" si="4"/>
        <v>616.54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3054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-10000</v>
      </c>
      <c r="K27" s="147">
        <f>+Actuals!H14</f>
        <v>-27246</v>
      </c>
      <c r="L27" s="127">
        <f>+Actuals!I14</f>
        <v>0</v>
      </c>
      <c r="M27" s="128">
        <f>+Actuals!J14</f>
        <v>0</v>
      </c>
      <c r="N27" s="127">
        <f>+Actuals!K14</f>
        <v>0</v>
      </c>
      <c r="O27" s="128">
        <f>+Actuals!L14</f>
        <v>0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10000</v>
      </c>
      <c r="W27" s="128">
        <f>+Actuals!T14</f>
        <v>30300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-106752</v>
      </c>
      <c r="E28" s="38">
        <f>SUM(G28,I28,K28,M28,O28,Q28,S28,U28,W28,Y28,AA28,AC28,AE28)</f>
        <v>-323458.56</v>
      </c>
      <c r="F28" s="81">
        <f>'TIE-OUT'!R28+RECLASS!P28</f>
        <v>0</v>
      </c>
      <c r="G28" s="82">
        <f>'TIE-OUT'!S28+RECLASS!Q28</f>
        <v>0</v>
      </c>
      <c r="H28" s="127">
        <f>+Actuals!E15</f>
        <v>-107489</v>
      </c>
      <c r="I28" s="128">
        <f>+Actuals!F15</f>
        <v>-325691.67</v>
      </c>
      <c r="J28" s="127">
        <f>+Actuals!G15</f>
        <v>737</v>
      </c>
      <c r="K28" s="147">
        <f>+Actuals!H15</f>
        <v>2233.11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-106752</v>
      </c>
      <c r="E29" s="39">
        <f>SUM(E27:E28)</f>
        <v>-320404.56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-107489</v>
      </c>
      <c r="I29" s="39">
        <f t="shared" si="6"/>
        <v>-325691.67</v>
      </c>
      <c r="J29" s="61">
        <f t="shared" si="6"/>
        <v>-9263</v>
      </c>
      <c r="K29" s="148">
        <f t="shared" si="6"/>
        <v>-25012.89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>SUM(V27:V28)</f>
        <v>10000</v>
      </c>
      <c r="W29" s="39">
        <f>SUM(W27:W28)</f>
        <v>30300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ref="N36:S36" si="10">SUM(N32:N35)</f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9099.619999999999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9717.56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-617.94000000000005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S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>SUM(V54:V55)</f>
        <v>0</v>
      </c>
      <c r="W56" s="39">
        <f>SUM(W54:W55)</f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'TIE-OUT'!R64+RECLASS!P64</f>
        <v>0</v>
      </c>
      <c r="G64" s="68">
        <f>'TIE-OUT'!S64+RECLASS!Q64</f>
        <v>0</v>
      </c>
      <c r="H64" s="127">
        <f>+Actuals!E31</f>
        <v>0</v>
      </c>
      <c r="I64" s="128">
        <f>+Actuals!F31</f>
        <v>0</v>
      </c>
      <c r="J64" s="127">
        <f>+Actuals!G31</f>
        <v>0</v>
      </c>
      <c r="K64" s="147">
        <f>+Actuals!H31</f>
        <v>0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58">
        <f>+Actuals!J43</f>
        <v>0</v>
      </c>
      <c r="N81" s="127">
        <f>+Actuals!K43</f>
        <v>0</v>
      </c>
      <c r="O81" s="15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11433.669999999987</v>
      </c>
      <c r="F82" s="91">
        <f>F16+F24+F29+F36+F43+F45+F47+F49</f>
        <v>0</v>
      </c>
      <c r="G82" s="92">
        <f>SUM(G72:G81)+G16+G24+G29+G36+G43+G45+G47+G49+G51+G56+G61+G66</f>
        <v>-3888</v>
      </c>
      <c r="H82" s="91">
        <f>H16+H24+H29+H36+H43+H45+H47+H49</f>
        <v>0</v>
      </c>
      <c r="I82" s="92">
        <f>SUM(I72:I81)+I16+I24+I29+I36+I43+I45+I47+I49+I51+I56+I61+I66</f>
        <v>-482.72999999998137</v>
      </c>
      <c r="J82" s="91">
        <f>J16+J24+J29+J36+J43+J45+J47+J49</f>
        <v>0</v>
      </c>
      <c r="K82" s="110">
        <f>SUM(K72:K81)+K16+K24+K29+K36+K43+K45+K47+K49+K51+K56+K61+K66</f>
        <v>3178.5200000000004</v>
      </c>
      <c r="L82" s="91">
        <f>L16+L24+L29+L36+L43+L45+L47+L49</f>
        <v>0</v>
      </c>
      <c r="M82" s="92">
        <f>SUM(M72:M81)+M16+M24+M29+M36+M43+M45+M47+M49+M51+M56+M61+M66</f>
        <v>9717.56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-617.94000000000005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618</v>
      </c>
      <c r="V82" s="91">
        <f>V16+V24+V29+V36+V43+V45+V47+V49</f>
        <v>0</v>
      </c>
      <c r="W82" s="92">
        <f>SUM(W72:W81)+W16+W24+W29+W36+W43+W45+W47+W49+W51+W56+W61+W66</f>
        <v>2600</v>
      </c>
      <c r="X82" s="91">
        <f>X16+X24+X29+X36+X43+X45+X47+X49</f>
        <v>0</v>
      </c>
      <c r="Y82" s="92">
        <f>SUM(Y72:Y81)+Y16+Y24+Y29+Y36+Y43+Y45+Y47+Y49+Y51+Y56+Y61+Y66</f>
        <v>-308.27999999999997</v>
      </c>
      <c r="Z82" s="91">
        <f>Z16+Z24+Z29+Z36+Z43+Z45+Z47+Z49</f>
        <v>0</v>
      </c>
      <c r="AA82" s="92">
        <f>SUM(AA72:AA81)+AA16+AA24+AA29+AA36+AA43+AA45+AA47+AA49+AA51+AA56+AA61+AA66</f>
        <v>616.54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45" sqref="B4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'!D11+'WE-VAR'!D11+BUG_VAR!D11+'TX-HPLC-VAR'!D11+'ARUBA-VAR'!D11+'SITHE-VAR'!D11</f>
        <v>336611240</v>
      </c>
      <c r="E11" s="65">
        <f>STG_VAR!E11+ONT_VAR!E11+'CE-VAR'!E11+'EAST-EGM-VAR'!E11+'BGC-EGM-VAR'!E11+'EAST-LRC-VAR'!E11+'TX-EGM-VAR'!E11+'TX-HPLR-VAR '!E11+'WE-VAR'!E11+BUG_VAR!E11+'TX-HPLC-VAR'!E11+'ARUBA-VAR'!E11+'SITHE-VAR'!E11</f>
        <v>951295787</v>
      </c>
      <c r="F11" s="65">
        <f>STG_VAR!F11+ONT_VAR!F11+'CE-VAR'!F11+'EAST-EGM-VAR'!F11+'BGC-EGM-VAR'!F11+'EAST-LRC-VAR'!F11+'TX-EGM-VAR'!F11+'TX-HPLR-VAR '!F11+'WE-VAR'!F11+BUG_VAR!F11+'TX-HPLC-VAR'!F11+'ARUBA-VAR'!F11+'SITHE-VAR'!F11</f>
        <v>285551925</v>
      </c>
      <c r="G11" s="65">
        <f>STG_VAR!G11+ONT_VAR!G11+'CE-VAR'!G11+'EAST-EGM-VAR'!G11+'BGC-EGM-VAR'!G11+'EAST-LRC-VAR'!G11+'TX-EGM-VAR'!G11+'TX-HPLR-VAR '!G11+'WE-VAR'!G11+BUG_VAR!G11+'TX-HPLC-VAR'!G11+'ARUBA-VAR'!G11+'SITHE-VAR'!G11</f>
        <v>827305550.98000026</v>
      </c>
      <c r="H11" s="60">
        <f>F11-D11</f>
        <v>-51059315</v>
      </c>
      <c r="I11" s="38">
        <f>G11-E11</f>
        <v>-123990236.01999974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'!D12+'WE-VAR'!D12+BUG_VAR!D12+'TX-HPLC-VAR'!D12+'ARUBA-VAR'!D12+'SITHE-VAR'!D12</f>
        <v>0</v>
      </c>
      <c r="E12" s="65">
        <f>STG_VAR!E12+ONT_VAR!E12+'CE-VAR'!E12+'EAST-EGM-VAR'!E12+'BGC-EGM-VAR'!E12+'EAST-LRC-VAR'!E12+'TX-EGM-VAR'!E12+'TX-HPLR-VAR '!E12+'WE-VAR'!E12+BUG_VAR!E12+'TX-HPLC-VAR'!E12+'ARUBA-VAR'!E12+'SITHE-VAR'!E12</f>
        <v>530625</v>
      </c>
      <c r="F12" s="65">
        <f>STG_VAR!F12+ONT_VAR!F12+'CE-VAR'!F12+'EAST-EGM-VAR'!F12+'BGC-EGM-VAR'!F12+'EAST-LRC-VAR'!F12+'TX-EGM-VAR'!F12+'TX-HPLR-VAR '!F12+'WE-VAR'!F12+BUG_VAR!F12+'TX-HPLC-VAR'!F12+'ARUBA-VAR'!F12+'SITHE-VAR'!F12</f>
        <v>0</v>
      </c>
      <c r="G12" s="65">
        <f>STG_VAR!G12+ONT_VAR!G12+'CE-VAR'!G12+'EAST-EGM-VAR'!G12+'BGC-EGM-VAR'!G12+'EAST-LRC-VAR'!G12+'TX-EGM-VAR'!G12+'TX-HPLR-VAR '!G12+'WE-VAR'!G12+BUG_VAR!G12+'TX-HPLC-VAR'!G12+'ARUBA-VAR'!G12+'SITHE-VAR'!G12</f>
        <v>1882196.2500000009</v>
      </c>
      <c r="H12" s="60">
        <f>F12-D12</f>
        <v>0</v>
      </c>
      <c r="I12" s="38">
        <f>G12-E12</f>
        <v>1351571.2500000009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'!D13+'WE-VAR'!D13+BUG_VAR!D13+'TX-HPLC-VAR'!D13+'ARUBA-VAR'!D13+'SITHE-VAR'!D13</f>
        <v>141836478</v>
      </c>
      <c r="E13" s="65">
        <f>STG_VAR!E13+ONT_VAR!E13+'CE-VAR'!E13+'EAST-EGM-VAR'!E13+'BGC-EGM-VAR'!E13+'EAST-LRC-VAR'!E13+'TX-EGM-VAR'!E13+'TX-HPLR-VAR '!E13+'WE-VAR'!E13+BUG_VAR!E13+'TX-HPLC-VAR'!E13+'ARUBA-VAR'!E13+'SITHE-VAR'!E13</f>
        <v>364809331</v>
      </c>
      <c r="F13" s="65">
        <f>STG_VAR!F13+ONT_VAR!F13+'CE-VAR'!F13+'EAST-EGM-VAR'!F13+'BGC-EGM-VAR'!F13+'EAST-LRC-VAR'!F13+'TX-EGM-VAR'!F13+'TX-HPLR-VAR '!F13+'WE-VAR'!F13+BUG_VAR!F13+'TX-HPLC-VAR'!F13+'ARUBA-VAR'!F13+'SITHE-VAR'!F13</f>
        <v>144013940</v>
      </c>
      <c r="G13" s="65">
        <f>STG_VAR!G13+ONT_VAR!G13+'CE-VAR'!G13+'EAST-EGM-VAR'!G13+'BGC-EGM-VAR'!G13+'EAST-LRC-VAR'!G13+'TX-EGM-VAR'!G13+'TX-HPLR-VAR '!G13+'WE-VAR'!G13+BUG_VAR!G13+'TX-HPLC-VAR'!G13+'ARUBA-VAR'!G13+'SITHE-VAR'!G13</f>
        <v>368936942</v>
      </c>
      <c r="H13" s="60">
        <f t="shared" ref="H13:I15" si="0">F13-D13</f>
        <v>2177462</v>
      </c>
      <c r="I13" s="38">
        <f t="shared" si="0"/>
        <v>4127611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'!D14+'WE-VAR'!D14+BUG_VAR!D14+'TX-HPLC-VAR'!D14+'ARUBA-VAR'!D14+'SITHE-VAR'!D14</f>
        <v>0</v>
      </c>
      <c r="E14" s="65">
        <f>STG_VAR!E14+ONT_VAR!E14+'CE-VAR'!E14+'EAST-EGM-VAR'!E14+'BGC-EGM-VAR'!E14+'EAST-LRC-VAR'!E14+'TX-EGM-VAR'!E14+'TX-HPLR-VAR '!E14+'WE-VAR'!E14+BUG_VAR!E14+'TX-HPLC-VAR'!E14+'ARUBA-VAR'!E14+'SITHE-VAR'!E14</f>
        <v>-481</v>
      </c>
      <c r="F14" s="65">
        <f>STG_VAR!F14+ONT_VAR!F14+'CE-VAR'!F14+'EAST-EGM-VAR'!F14+'BGC-EGM-VAR'!F14+'EAST-LRC-VAR'!F14+'TX-EGM-VAR'!F14+'TX-HPLR-VAR '!F14+'WE-VAR'!F14+BUG_VAR!F14+'TX-HPLC-VAR'!F14+'ARUBA-VAR'!F14+'SITHE-VAR'!F14</f>
        <v>0</v>
      </c>
      <c r="G14" s="65">
        <f>STG_VAR!G14+ONT_VAR!G14+'CE-VAR'!G14+'EAST-EGM-VAR'!G14+'BGC-EGM-VAR'!G14+'EAST-LRC-VAR'!G14+'TX-EGM-VAR'!G14+'TX-HPLR-VAR '!G14+'WE-VAR'!G14+BUG_VAR!G14+'TX-HPLC-VAR'!G14+'ARUBA-VAR'!G14+'SITHE-VAR'!G14</f>
        <v>0</v>
      </c>
      <c r="H14" s="60">
        <f t="shared" si="0"/>
        <v>0</v>
      </c>
      <c r="I14" s="38">
        <f t="shared" si="0"/>
        <v>481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'!D15+'WE-VAR'!D15+BUG_VAR!D15+'TX-HPLC-VAR'!D15+'ARUBA-VAR'!D15+'SITHE-VAR'!D15</f>
        <v>16</v>
      </c>
      <c r="E15" s="65">
        <f>STG_VAR!E15+ONT_VAR!E15+'CE-VAR'!E15+'EAST-EGM-VAR'!E15+'BGC-EGM-VAR'!E15+'EAST-LRC-VAR'!E15+'TX-EGM-VAR'!E15+'TX-HPLR-VAR '!E15+'WE-VAR'!E15+BUG_VAR!E15+'TX-HPLC-VAR'!E15+'ARUBA-VAR'!E15+'SITHE-VAR'!E15</f>
        <v>11664657.66</v>
      </c>
      <c r="F15" s="65">
        <f>STG_VAR!F15+ONT_VAR!F15+'CE-VAR'!F15+'EAST-EGM-VAR'!F15+'BGC-EGM-VAR'!F15+'EAST-LRC-VAR'!F15+'TX-EGM-VAR'!F15+'TX-HPLR-VAR '!F15+'WE-VAR'!F15+BUG_VAR!F15+'TX-HPLC-VAR'!F15+'ARUBA-VAR'!F15+'SITHE-VAR'!F15</f>
        <v>0</v>
      </c>
      <c r="G15" s="65">
        <f>STG_VAR!G15+ONT_VAR!G15+'CE-VAR'!G15+'EAST-EGM-VAR'!G15+'BGC-EGM-VAR'!G15+'EAST-LRC-VAR'!G15+'TX-EGM-VAR'!G15+'TX-HPLR-VAR '!G15+'WE-VAR'!G15+BUG_VAR!G15+'TX-HPLC-VAR'!G15+'ARUBA-VAR'!G15+'SITHE-VAR'!G15</f>
        <v>16970832.68</v>
      </c>
      <c r="H15" s="60">
        <f t="shared" si="0"/>
        <v>-16</v>
      </c>
      <c r="I15" s="38">
        <f t="shared" si="0"/>
        <v>5306175.0199999996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478447734</v>
      </c>
      <c r="E16" s="39">
        <f t="shared" si="1"/>
        <v>1328299919.6600001</v>
      </c>
      <c r="F16" s="61">
        <f>SUM(F11:F15)</f>
        <v>429565865</v>
      </c>
      <c r="G16" s="39">
        <f>SUM(G11:G15)</f>
        <v>1215095521.9100003</v>
      </c>
      <c r="H16" s="61">
        <f t="shared" si="1"/>
        <v>-48881869</v>
      </c>
      <c r="I16" s="39">
        <f t="shared" si="1"/>
        <v>-113204397.74999975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'!D19+'WE-VAR'!D19+BUG_VAR!D19+'TX-HPLC-VAR'!D19+'ARUBA-VAR'!D19+'SITHE-VAR'!D19</f>
        <v>-337307279</v>
      </c>
      <c r="E19" s="65">
        <f>STG_VAR!E19+ONT_VAR!E19+'CE-VAR'!E19+'EAST-EGM-VAR'!E19+'BGC-EGM-VAR'!E19+'EAST-LRC-VAR'!E19+'TX-EGM-VAR'!E19+'TX-HPLR-VAR '!E19+'WE-VAR'!E19+BUG_VAR!E19+'TX-HPLC-VAR'!E19+'ARUBA-VAR'!E19+'SITHE-VAR'!E19</f>
        <v>-958763386.99999988</v>
      </c>
      <c r="F19" s="65">
        <f>STG_VAR!F19+ONT_VAR!F19+'CE-VAR'!F19+'EAST-EGM-VAR'!F19+'BGC-EGM-VAR'!F19+'EAST-LRC-VAR'!F19+'TX-EGM-VAR'!F19+'TX-HPLR-VAR '!F19+'WE-VAR'!F19+BUG_VAR!F19+'TX-HPLC-VAR'!F19+'ARUBA-VAR'!F19+'SITHE-VAR'!F19</f>
        <v>-283374837</v>
      </c>
      <c r="G19" s="65">
        <f>STG_VAR!G19+ONT_VAR!G19+'CE-VAR'!G19+'EAST-EGM-VAR'!G19+'BGC-EGM-VAR'!G19+'EAST-LRC-VAR'!G19+'TX-EGM-VAR'!G19+'TX-HPLR-VAR '!G19+'WE-VAR'!G19+BUG_VAR!G19+'TX-HPLC-VAR'!G19+'ARUBA-VAR'!G19+'SITHE-VAR'!G19</f>
        <v>-818776792.97000003</v>
      </c>
      <c r="H19" s="60">
        <f>F19-D19</f>
        <v>53932442</v>
      </c>
      <c r="I19" s="38">
        <f>G19-E19</f>
        <v>139986594.02999985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'!D20+'WE-VAR'!D20+BUG_VAR!D20+'TX-HPLC-VAR'!D20+'ARUBA-VAR'!D20+'SITHE-VAR'!D20</f>
        <v>0</v>
      </c>
      <c r="E20" s="65">
        <f>STG_VAR!E20+ONT_VAR!E20+'CE-VAR'!E20+'EAST-EGM-VAR'!E20+'BGC-EGM-VAR'!E20+'EAST-LRC-VAR'!E20+'TX-EGM-VAR'!E20+'TX-HPLR-VAR '!E20+'WE-VAR'!E20+BUG_VAR!E20+'TX-HPLC-VAR'!E20+'ARUBA-VAR'!E20+'SITHE-VAR'!E20</f>
        <v>0</v>
      </c>
      <c r="F20" s="65">
        <f>STG_VAR!F20+ONT_VAR!F20+'CE-VAR'!F20+'EAST-EGM-VAR'!F20+'BGC-EGM-VAR'!F20+'EAST-LRC-VAR'!F20+'TX-EGM-VAR'!F20+'TX-HPLR-VAR '!F20+'WE-VAR'!F20+BUG_VAR!F20+'TX-HPLC-VAR'!F20+'ARUBA-VAR'!F20+'SITHE-VAR'!F20</f>
        <v>0</v>
      </c>
      <c r="G20" s="65">
        <f>STG_VAR!G20+ONT_VAR!G20+'CE-VAR'!G20+'EAST-EGM-VAR'!G20+'BGC-EGM-VAR'!G20+'EAST-LRC-VAR'!G20+'TX-EGM-VAR'!G20+'TX-HPLR-VAR '!G20+'WE-VAR'!G20+BUG_VAR!G20+'TX-HPLC-VAR'!G20+'ARUBA-VAR'!G20+'SITHE-VAR'!G20</f>
        <v>-14398278.810000002</v>
      </c>
      <c r="H20" s="60">
        <f>F20-D20</f>
        <v>0</v>
      </c>
      <c r="I20" s="38">
        <f>G20-E20</f>
        <v>-14398278.810000002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'!D21+'WE-VAR'!D21+BUG_VAR!D21+'TX-HPLC-VAR'!D21+'ARUBA-VAR'!D21+'SITHE-VAR'!D21</f>
        <v>-142165213</v>
      </c>
      <c r="E21" s="65">
        <f>STG_VAR!E21+ONT_VAR!E21+'CE-VAR'!E21+'EAST-EGM-VAR'!E21+'BGC-EGM-VAR'!E21+'EAST-LRC-VAR'!E21+'TX-EGM-VAR'!E21+'TX-HPLR-VAR '!E21+'WE-VAR'!E21+BUG_VAR!E21+'TX-HPLC-VAR'!E21+'ARUBA-VAR'!E21+'SITHE-VAR'!E21</f>
        <v>-365542966</v>
      </c>
      <c r="F21" s="65">
        <f>STG_VAR!F21+ONT_VAR!F21+'CE-VAR'!F21+'EAST-EGM-VAR'!F21+'BGC-EGM-VAR'!F21+'EAST-LRC-VAR'!F21+'TX-EGM-VAR'!F21+'TX-HPLR-VAR '!F21+'WE-VAR'!F21+BUG_VAR!F21+'TX-HPLC-VAR'!F21+'ARUBA-VAR'!F21+'SITHE-VAR'!F21</f>
        <v>-144013940</v>
      </c>
      <c r="G21" s="65">
        <f>STG_VAR!G21+ONT_VAR!G21+'CE-VAR'!G21+'EAST-EGM-VAR'!G21+'BGC-EGM-VAR'!G21+'EAST-LRC-VAR'!G21+'TX-EGM-VAR'!G21+'TX-HPLR-VAR '!G21+'WE-VAR'!G21+BUG_VAR!G21+'TX-HPLC-VAR'!G21+'ARUBA-VAR'!G21+'SITHE-VAR'!G21</f>
        <v>-368074299</v>
      </c>
      <c r="H21" s="60">
        <f t="shared" ref="H21:I23" si="2">F21-D21</f>
        <v>-1848727</v>
      </c>
      <c r="I21" s="38">
        <f t="shared" si="2"/>
        <v>-2531333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'!D22+'WE-VAR'!D22+BUG_VAR!D22+'TX-HPLC-VAR'!D22+'ARUBA-VAR'!D22+'SITHE-VAR'!D22</f>
        <v>0</v>
      </c>
      <c r="E22" s="65">
        <f>STG_VAR!E22+ONT_VAR!E22+'CE-VAR'!E22+'EAST-EGM-VAR'!E22+'BGC-EGM-VAR'!E22+'EAST-LRC-VAR'!E22+'TX-EGM-VAR'!E22+'TX-HPLR-VAR '!E22+'WE-VAR'!E22+BUG_VAR!E22+'TX-HPLC-VAR'!E22+'ARUBA-VAR'!E22+'SITHE-VAR'!E22</f>
        <v>0</v>
      </c>
      <c r="F22" s="65">
        <f>STG_VAR!F22+ONT_VAR!F22+'CE-VAR'!F22+'EAST-EGM-VAR'!F22+'BGC-EGM-VAR'!F22+'EAST-LRC-VAR'!F22+'TX-EGM-VAR'!F22+'TX-HPLR-VAR '!F22+'WE-VAR'!F22+BUG_VAR!F22+'TX-HPLC-VAR'!F22+'ARUBA-VAR'!F22+'SITHE-VAR'!F22</f>
        <v>0</v>
      </c>
      <c r="G22" s="65">
        <f>STG_VAR!G22+ONT_VAR!G22+'CE-VAR'!G22+'EAST-EGM-VAR'!G22+'BGC-EGM-VAR'!G22+'EAST-LRC-VAR'!G22+'TX-EGM-VAR'!G22+'TX-HPLR-VAR '!G22+'WE-VAR'!G22+BUG_VAR!G22+'TX-HPLC-VAR'!G22+'ARUBA-VAR'!G22+'SITHE-VAR'!G22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'!D23+'WE-VAR'!D23+BUG_VAR!D23+'TX-HPLC-VAR'!D23+'ARUBA-VAR'!D23+'SITHE-VAR'!D23</f>
        <v>1513813</v>
      </c>
      <c r="E23" s="65">
        <f>STG_VAR!E23+ONT_VAR!E23+'CE-VAR'!E23+'EAST-EGM-VAR'!E23+'BGC-EGM-VAR'!E23+'EAST-LRC-VAR'!E23+'TX-EGM-VAR'!E23+'TX-HPLR-VAR '!E23+'WE-VAR'!E23+BUG_VAR!E23+'TX-HPLC-VAR'!E23+'ARUBA-VAR'!E23+'SITHE-VAR'!E23</f>
        <v>3446955</v>
      </c>
      <c r="F23" s="65">
        <f>STG_VAR!F23+ONT_VAR!F23+'CE-VAR'!F23+'EAST-EGM-VAR'!F23+'BGC-EGM-VAR'!F23+'EAST-LRC-VAR'!F23+'TX-EGM-VAR'!F23+'TX-HPLR-VAR '!F23+'WE-VAR'!F23+BUG_VAR!F23+'TX-HPLC-VAR'!F23+'ARUBA-VAR'!F23+'SITHE-VAR'!F23</f>
        <v>1572572</v>
      </c>
      <c r="G23" s="65">
        <f>STG_VAR!G23+ONT_VAR!G23+'CE-VAR'!G23+'EAST-EGM-VAR'!G23+'BGC-EGM-VAR'!G23+'EAST-LRC-VAR'!G23+'TX-EGM-VAR'!G23+'TX-HPLR-VAR '!G23+'WE-VAR'!G23+BUG_VAR!G23+'TX-HPLC-VAR'!G23+'ARUBA-VAR'!G23+'SITHE-VAR'!G23</f>
        <v>4733752.5834999997</v>
      </c>
      <c r="H23" s="60">
        <f t="shared" si="2"/>
        <v>58759</v>
      </c>
      <c r="I23" s="38">
        <f t="shared" si="2"/>
        <v>1286797.5834999997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-477958679</v>
      </c>
      <c r="E24" s="39">
        <f t="shared" si="3"/>
        <v>-1320859398</v>
      </c>
      <c r="F24" s="61">
        <f>SUM(F19:F23)</f>
        <v>-425816205</v>
      </c>
      <c r="G24" s="39">
        <f>SUM(G19:G23)</f>
        <v>-1196515618.1965001</v>
      </c>
      <c r="H24" s="61">
        <f t="shared" si="3"/>
        <v>52142474</v>
      </c>
      <c r="I24" s="39">
        <f t="shared" si="3"/>
        <v>124343779.80349985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'!D27+'WE-VAR'!D27+BUG_VAR!D27+'TX-HPLC-VAR'!D27+'ARUBA-VAR'!D27+'SITHE-VAR'!D27</f>
        <v>10289666</v>
      </c>
      <c r="E27" s="65">
        <f>STG_VAR!E27+ONT_VAR!E27+'CE-VAR'!E27+'EAST-EGM-VAR'!E27+'BGC-EGM-VAR'!E27+'EAST-LRC-VAR'!E27+'TX-EGM-VAR'!E27+'TX-HPLR-VAR '!E27+'WE-VAR'!E27+BUG_VAR!E27+'TX-HPLC-VAR'!E27+'ARUBA-VAR'!E27+'SITHE-VAR'!E27</f>
        <v>23405182</v>
      </c>
      <c r="F27" s="65">
        <f>STG_VAR!F27+ONT_VAR!F27+'CE-VAR'!F27+'EAST-EGM-VAR'!F27+'BGC-EGM-VAR'!F27+'EAST-LRC-VAR'!F27+'TX-EGM-VAR'!F27+'TX-HPLR-VAR '!F27+'WE-VAR'!F27+BUG_VAR!F27+'TX-HPLC-VAR'!F27+'ARUBA-VAR'!F27+'SITHE-VAR'!F27</f>
        <v>29276595</v>
      </c>
      <c r="G27" s="65">
        <f>STG_VAR!G27+ONT_VAR!G27+'CE-VAR'!G27+'EAST-EGM-VAR'!G27+'BGC-EGM-VAR'!G27+'EAST-LRC-VAR'!G27+'TX-EGM-VAR'!G27+'TX-HPLR-VAR '!G27+'WE-VAR'!G27+BUG_VAR!G27+'TX-HPLC-VAR'!G27+'ARUBA-VAR'!G27+'SITHE-VAR'!G27</f>
        <v>67687329.360000014</v>
      </c>
      <c r="H27" s="60">
        <f>F27-D27</f>
        <v>18986929</v>
      </c>
      <c r="I27" s="38">
        <f>G27-E27</f>
        <v>44282147.360000014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'!D28+'WE-VAR'!D28+BUG_VAR!D28+'TX-HPLC-VAR'!D28+'ARUBA-VAR'!D28+'SITHE-VAR'!D28</f>
        <v>-7045435</v>
      </c>
      <c r="E28" s="65">
        <f>STG_VAR!E28+ONT_VAR!E28+'CE-VAR'!E28+'EAST-EGM-VAR'!E28+'BGC-EGM-VAR'!E28+'EAST-LRC-VAR'!E28+'TX-EGM-VAR'!E28+'TX-HPLR-VAR '!E28+'WE-VAR'!E28+BUG_VAR!E28+'TX-HPLC-VAR'!E28+'ARUBA-VAR'!E28+'SITHE-VAR'!E28</f>
        <v>-15629357</v>
      </c>
      <c r="F28" s="65">
        <f>STG_VAR!F28+ONT_VAR!F28+'CE-VAR'!F28+'EAST-EGM-VAR'!F28+'BGC-EGM-VAR'!F28+'EAST-LRC-VAR'!F28+'TX-EGM-VAR'!F28+'TX-HPLR-VAR '!F28+'WE-VAR'!F28+BUG_VAR!F28+'TX-HPLC-VAR'!F28+'ARUBA-VAR'!F28+'SITHE-VAR'!F28</f>
        <v>-29274697</v>
      </c>
      <c r="G28" s="65">
        <f>STG_VAR!G28+ONT_VAR!G28+'CE-VAR'!G28+'EAST-EGM-VAR'!G28+'BGC-EGM-VAR'!G28+'EAST-LRC-VAR'!G28+'TX-EGM-VAR'!G28+'TX-HPLR-VAR '!G28+'WE-VAR'!G28+BUG_VAR!G28+'TX-HPLC-VAR'!G28+'ARUBA-VAR'!G28+'SITHE-VAR'!G28</f>
        <v>-67687561.439999998</v>
      </c>
      <c r="H28" s="60">
        <f>F28-D28</f>
        <v>-22229262</v>
      </c>
      <c r="I28" s="38">
        <f>G28-E28</f>
        <v>-52058204.439999998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3244231</v>
      </c>
      <c r="E29" s="70">
        <f t="shared" si="4"/>
        <v>7775825</v>
      </c>
      <c r="F29" s="69">
        <f>SUM(F27:F28)</f>
        <v>1898</v>
      </c>
      <c r="G29" s="70">
        <f>SUM(G27:G28)</f>
        <v>-232.0799999833107</v>
      </c>
      <c r="H29" s="69">
        <f t="shared" si="4"/>
        <v>-3242333</v>
      </c>
      <c r="I29" s="70">
        <f t="shared" si="4"/>
        <v>-7776057.0799999833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'!D32+'WE-VAR'!D32+BUG_VAR!D32+'TX-HPLC-VAR'!D32+'ARUBA-VAR'!D32+'SITHE-VAR'!D32</f>
        <v>-77833</v>
      </c>
      <c r="E32" s="65">
        <f>STG_VAR!E32+ONT_VAR!E32+'CE-VAR'!E32+'EAST-EGM-VAR'!E32+'BGC-EGM-VAR'!E32+'EAST-LRC-VAR'!E32+'TX-EGM-VAR'!E32+'TX-HPLR-VAR '!E32+'WE-VAR'!E32+BUG_VAR!E32+'TX-HPLC-VAR'!E32+'ARUBA-VAR'!E32+'SITHE-VAR'!E32</f>
        <v>-34723</v>
      </c>
      <c r="F32" s="65">
        <f>STG_VAR!F32+ONT_VAR!F32+'CE-VAR'!F32+'EAST-EGM-VAR'!F32+'BGC-EGM-VAR'!F32+'EAST-LRC-VAR'!F32+'TX-EGM-VAR'!F32+'TX-HPLR-VAR '!F32+'WE-VAR'!F32+BUG_VAR!F32+'TX-HPLC-VAR'!F32+'ARUBA-VAR'!F32+'SITHE-VAR'!F32</f>
        <v>89527</v>
      </c>
      <c r="G32" s="65">
        <f>STG_VAR!G32+ONT_VAR!G32+'CE-VAR'!G32+'EAST-EGM-VAR'!G32+'BGC-EGM-VAR'!G32+'EAST-LRC-VAR'!G32+'TX-EGM-VAR'!G32+'TX-HPLR-VAR '!G32+'WE-VAR'!G32+BUG_VAR!G32+'TX-HPLC-VAR'!G32+'ARUBA-VAR'!G32+'SITHE-VAR'!G32</f>
        <v>318080.79399999976</v>
      </c>
      <c r="H32" s="60">
        <f>F32-D32</f>
        <v>167360</v>
      </c>
      <c r="I32" s="38">
        <f>G32-E32</f>
        <v>352803.79399999976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'!D33+'WE-VAR'!D33+BUG_VAR!D33+'TX-HPLC-VAR'!D33+'ARUBA-VAR'!D33+'SITHE-VAR'!D33</f>
        <v>830902</v>
      </c>
      <c r="E33" s="65">
        <f>STG_VAR!E33+ONT_VAR!E33+'CE-VAR'!E33+'EAST-EGM-VAR'!E33+'BGC-EGM-VAR'!E33+'EAST-LRC-VAR'!E33+'TX-EGM-VAR'!E33+'TX-HPLR-VAR '!E33+'WE-VAR'!E33+BUG_VAR!E33+'TX-HPLC-VAR'!E33+'ARUBA-VAR'!E33+'SITHE-VAR'!E33</f>
        <v>2045437</v>
      </c>
      <c r="F33" s="65">
        <f>STG_VAR!F33+ONT_VAR!F33+'CE-VAR'!F33+'EAST-EGM-VAR'!F33+'BGC-EGM-VAR'!F33+'EAST-LRC-VAR'!F33+'TX-EGM-VAR'!F33+'TX-HPLR-VAR '!F33+'WE-VAR'!F33+BUG_VAR!F33+'TX-HPLC-VAR'!F33+'ARUBA-VAR'!F33+'SITHE-VAR'!F33</f>
        <v>-183897</v>
      </c>
      <c r="G33" s="65">
        <f>STG_VAR!G33+ONT_VAR!G33+'CE-VAR'!G33+'EAST-EGM-VAR'!G33+'BGC-EGM-VAR'!G33+'EAST-LRC-VAR'!G33+'TX-EGM-VAR'!G33+'TX-HPLR-VAR '!G33+'WE-VAR'!G33+BUG_VAR!G33+'TX-HPLC-VAR'!G33+'ARUBA-VAR'!G33+'SITHE-VAR'!G33</f>
        <v>-640759.73</v>
      </c>
      <c r="H33" s="60">
        <f t="shared" ref="H33:I35" si="5">F33-D33</f>
        <v>-1014799</v>
      </c>
      <c r="I33" s="38">
        <f t="shared" si="5"/>
        <v>-2686196.73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'!D34+'WE-VAR'!D34+BUG_VAR!D34+'TX-HPLC-VAR'!D34+'ARUBA-VAR'!D34+'SITHE-VAR'!D34</f>
        <v>-844605</v>
      </c>
      <c r="E34" s="65">
        <f>STG_VAR!E34+ONT_VAR!E34+'CE-VAR'!E34+'EAST-EGM-VAR'!E34+'BGC-EGM-VAR'!E34+'EAST-LRC-VAR'!E34+'TX-EGM-VAR'!E34+'TX-HPLR-VAR '!E34+'WE-VAR'!E34+BUG_VAR!E34+'TX-HPLC-VAR'!E34+'ARUBA-VAR'!E34+'SITHE-VAR'!E34</f>
        <v>-2079004</v>
      </c>
      <c r="F34" s="65">
        <f>STG_VAR!F34+ONT_VAR!F34+'CE-VAR'!F34+'EAST-EGM-VAR'!F34+'BGC-EGM-VAR'!F34+'EAST-LRC-VAR'!F34+'TX-EGM-VAR'!F34+'TX-HPLR-VAR '!F34+'WE-VAR'!F34+BUG_VAR!F34+'TX-HPLC-VAR'!F34+'ARUBA-VAR'!F34+'SITHE-VAR'!F34</f>
        <v>146123</v>
      </c>
      <c r="G34" s="65">
        <f>STG_VAR!G34+ONT_VAR!G34+'CE-VAR'!G34+'EAST-EGM-VAR'!G34+'BGC-EGM-VAR'!G34+'EAST-LRC-VAR'!G34+'TX-EGM-VAR'!G34+'TX-HPLR-VAR '!G34+'WE-VAR'!G34+BUG_VAR!G34+'TX-HPLC-VAR'!G34+'ARUBA-VAR'!G34+'SITHE-VAR'!G34</f>
        <v>324171.26</v>
      </c>
      <c r="H34" s="60">
        <f t="shared" si="5"/>
        <v>990728</v>
      </c>
      <c r="I34" s="38">
        <f t="shared" si="5"/>
        <v>2403175.2599999998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'!D35+'WE-VAR'!D35+BUG_VAR!D35+'TX-HPLC-VAR'!D35+'ARUBA-VAR'!D35+'SITHE-VAR'!D35</f>
        <v>-510061</v>
      </c>
      <c r="E35" s="65">
        <f>STG_VAR!E35+ONT_VAR!E35+'CE-VAR'!E35+'EAST-EGM-VAR'!E35+'BGC-EGM-VAR'!E35+'EAST-LRC-VAR'!E35+'TX-EGM-VAR'!E35+'TX-HPLR-VAR '!E35+'WE-VAR'!E35+BUG_VAR!E35+'TX-HPLC-VAR'!E35+'ARUBA-VAR'!E35+'SITHE-VAR'!E35</f>
        <v>-2929125</v>
      </c>
      <c r="F35" s="65">
        <f>STG_VAR!F35+ONT_VAR!F35+'CE-VAR'!F35+'EAST-EGM-VAR'!F35+'BGC-EGM-VAR'!F35+'EAST-LRC-VAR'!F35+'TX-EGM-VAR'!F35+'TX-HPLR-VAR '!F35+'WE-VAR'!F35+BUG_VAR!F35+'TX-HPLC-VAR'!F35+'ARUBA-VAR'!F35+'SITHE-VAR'!F35</f>
        <v>498178</v>
      </c>
      <c r="G35" s="65">
        <f>STG_VAR!G35+ONT_VAR!G35+'CE-VAR'!G35+'EAST-EGM-VAR'!G35+'BGC-EGM-VAR'!G35+'EAST-LRC-VAR'!G35+'TX-EGM-VAR'!G35+'TX-HPLR-VAR '!G35+'WE-VAR'!G35+BUG_VAR!G35+'TX-HPLC-VAR'!G35+'ARUBA-VAR'!G35+'SITHE-VAR'!G35</f>
        <v>-887540.73</v>
      </c>
      <c r="H35" s="60">
        <f t="shared" si="5"/>
        <v>1008239</v>
      </c>
      <c r="I35" s="38">
        <f t="shared" si="5"/>
        <v>2041584.27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-601597</v>
      </c>
      <c r="E36" s="39">
        <f t="shared" si="6"/>
        <v>-2997415</v>
      </c>
      <c r="F36" s="61">
        <f>SUM(F32:F35)</f>
        <v>549931</v>
      </c>
      <c r="G36" s="39">
        <f>SUM(G32:G35)</f>
        <v>-886048.40600000019</v>
      </c>
      <c r="H36" s="61">
        <f t="shared" si="6"/>
        <v>1151528</v>
      </c>
      <c r="I36" s="39">
        <f t="shared" si="6"/>
        <v>2111366.5939999996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'!D39+'WE-VAR'!D39+BUG_VAR!D39+'TX-HPLC-VAR'!D39+'ARUBA-VAR'!D39+'SITHE-VAR'!D39</f>
        <v>4038937</v>
      </c>
      <c r="E39" s="65">
        <f>STG_VAR!E39+ONT_VAR!E39+'CE-VAR'!E39+'EAST-EGM-VAR'!E39+'BGC-EGM-VAR'!E39+'EAST-LRC-VAR'!E39+'TX-EGM-VAR'!E39+'TX-HPLR-VAR '!E39+'WE-VAR'!E39+BUG_VAR!E39+'TX-HPLC-VAR'!E39+'ARUBA-VAR'!E39+'SITHE-VAR'!E39</f>
        <v>11958867</v>
      </c>
      <c r="F39" s="65">
        <f>STG_VAR!F39+ONT_VAR!F39+'CE-VAR'!F39+'EAST-EGM-VAR'!F39+'BGC-EGM-VAR'!F39+'EAST-LRC-VAR'!F39+'TX-EGM-VAR'!F39+'TX-HPLR-VAR '!F39+'WE-VAR'!F39+BUG_VAR!F39+'TX-HPLC-VAR'!F39+'ARUBA-VAR'!F39+'SITHE-VAR'!F39</f>
        <v>849641</v>
      </c>
      <c r="G39" s="65">
        <f>STG_VAR!G39+ONT_VAR!G39+'CE-VAR'!G39+'EAST-EGM-VAR'!G39+'BGC-EGM-VAR'!G39+'EAST-LRC-VAR'!G39+'TX-EGM-VAR'!G39+'TX-HPLR-VAR '!G39+'WE-VAR'!G39+BUG_VAR!G39+'TX-HPLC-VAR'!G39+'ARUBA-VAR'!G39+'SITHE-VAR'!G39</f>
        <v>13861.879999999888</v>
      </c>
      <c r="H39" s="60">
        <f t="shared" ref="H39:I41" si="7">F39-D39</f>
        <v>-3189296</v>
      </c>
      <c r="I39" s="38">
        <f t="shared" si="7"/>
        <v>-11945005.120000001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'!D40+'WE-VAR'!D40+BUG_VAR!D40+'TX-HPLC-VAR'!D40+'ARUBA-VAR'!D40+'SITHE-VAR'!D40</f>
        <v>-6933977</v>
      </c>
      <c r="E40" s="65">
        <f>STG_VAR!E40+ONT_VAR!E40+'CE-VAR'!E40+'EAST-EGM-VAR'!E40+'BGC-EGM-VAR'!E40+'EAST-LRC-VAR'!E40+'TX-EGM-VAR'!E40+'TX-HPLR-VAR '!E40+'WE-VAR'!E40+BUG_VAR!E40+'TX-HPLC-VAR'!E40+'ARUBA-VAR'!E40+'SITHE-VAR'!E40</f>
        <v>-18300269</v>
      </c>
      <c r="F40" s="65">
        <f>STG_VAR!F40+ONT_VAR!F40+'CE-VAR'!F40+'EAST-EGM-VAR'!F40+'BGC-EGM-VAR'!F40+'EAST-LRC-VAR'!F40+'TX-EGM-VAR'!F40+'TX-HPLR-VAR '!F40+'WE-VAR'!F40+BUG_VAR!F40+'TX-HPLC-VAR'!F40+'ARUBA-VAR'!F40+'SITHE-VAR'!F40</f>
        <v>-5143408</v>
      </c>
      <c r="G40" s="65">
        <f>STG_VAR!G40+ONT_VAR!G40+'CE-VAR'!G40+'EAST-EGM-VAR'!G40+'BGC-EGM-VAR'!G40+'EAST-LRC-VAR'!G40+'TX-EGM-VAR'!G40+'TX-HPLR-VAR '!G40+'WE-VAR'!G40+BUG_VAR!G40+'TX-HPLC-VAR'!G40+'ARUBA-VAR'!G40+'SITHE-VAR'!G40</f>
        <v>-8089206.7400000002</v>
      </c>
      <c r="H40" s="60">
        <f t="shared" si="7"/>
        <v>1790569</v>
      </c>
      <c r="I40" s="38">
        <f t="shared" si="7"/>
        <v>10211062.26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'!D41+'WE-VAR'!D41+BUG_VAR!D41+'TX-HPLC-VAR'!D41+'ARUBA-VAR'!D41+'SITHE-VAR'!D41</f>
        <v>0</v>
      </c>
      <c r="E41" s="65">
        <f>STG_VAR!E41+ONT_VAR!E41+'CE-VAR'!E41+'EAST-EGM-VAR'!E41+'BGC-EGM-VAR'!E41+'EAST-LRC-VAR'!E41+'TX-EGM-VAR'!E41+'TX-HPLR-VAR '!E41+'WE-VAR'!E41+BUG_VAR!E41+'TX-HPLC-VAR'!E41+'ARUBA-VAR'!E41+'SITHE-VAR'!E41</f>
        <v>0</v>
      </c>
      <c r="F41" s="65">
        <f>STG_VAR!F41+ONT_VAR!F41+'CE-VAR'!F41+'EAST-EGM-VAR'!F41+'BGC-EGM-VAR'!F41+'EAST-LRC-VAR'!F41+'TX-EGM-VAR'!F41+'TX-HPLR-VAR '!F41+'WE-VAR'!F41+BUG_VAR!F41+'TX-HPLC-VAR'!F41+'ARUBA-VAR'!F41+'SITHE-VAR'!F41</f>
        <v>0</v>
      </c>
      <c r="G41" s="65">
        <f>STG_VAR!G41+ONT_VAR!G41+'CE-VAR'!G41+'EAST-EGM-VAR'!G41+'BGC-EGM-VAR'!G41+'EAST-LRC-VAR'!G41+'TX-EGM-VAR'!G41+'TX-HPLR-VAR '!G41+'WE-VAR'!G41+BUG_VAR!G41+'TX-HPLC-VAR'!G41+'ARUBA-VAR'!G41+'SITHE-VAR'!G41</f>
        <v>-415127</v>
      </c>
      <c r="H41" s="60">
        <f t="shared" si="7"/>
        <v>0</v>
      </c>
      <c r="I41" s="38">
        <f t="shared" si="7"/>
        <v>-415127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-6933977</v>
      </c>
      <c r="E42" s="70">
        <f t="shared" si="8"/>
        <v>-18300269</v>
      </c>
      <c r="F42" s="69">
        <f>SUM(F40:F41)</f>
        <v>-5143408</v>
      </c>
      <c r="G42" s="70">
        <f>SUM(G40:G41)</f>
        <v>-8504333.7400000002</v>
      </c>
      <c r="H42" s="69">
        <f t="shared" si="8"/>
        <v>1790569</v>
      </c>
      <c r="I42" s="70">
        <f t="shared" si="8"/>
        <v>9795935.2599999998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-2895040</v>
      </c>
      <c r="E43" s="39">
        <f t="shared" si="9"/>
        <v>-6341402</v>
      </c>
      <c r="F43" s="61">
        <f>F42+F39</f>
        <v>-4293767</v>
      </c>
      <c r="G43" s="39">
        <f>G42+G39</f>
        <v>-8490471.8599999994</v>
      </c>
      <c r="H43" s="61">
        <f t="shared" si="9"/>
        <v>-1398727</v>
      </c>
      <c r="I43" s="39">
        <f t="shared" si="9"/>
        <v>-2149069.8600000013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'!D45+'WE-VAR'!D45+BUG_VAR!D45+'TX-HPLC-VAR'!D45+'ARUBA-VAR'!D45+'SITHE-VAR'!D45</f>
        <v>0</v>
      </c>
      <c r="E45" s="65">
        <f>STG_VAR!E45+ONT_VAR!E45+'CE-VAR'!E45+'EAST-EGM-VAR'!E45+'BGC-EGM-VAR'!E45+'EAST-LRC-VAR'!E45+'TX-EGM-VAR'!E45+'TX-HPLR-VAR '!E45+'WE-VAR'!E45+BUG_VAR!E45+'TX-HPLC-VAR'!E45+'ARUBA-VAR'!E45+'SITHE-VAR'!E45</f>
        <v>0</v>
      </c>
      <c r="F45" s="65">
        <f>STG_VAR!F45+ONT_VAR!F45+'CE-VAR'!F45+'EAST-EGM-VAR'!F45+'BGC-EGM-VAR'!F45+'EAST-LRC-VAR'!F45+'TX-EGM-VAR'!F45+'TX-HPLR-VAR '!F45+'WE-VAR'!F45+BUG_VAR!F45+'TX-HPLC-VAR'!F45+'ARUBA-VAR'!F45+'SITHE-VAR'!F45</f>
        <v>-5073</v>
      </c>
      <c r="G45" s="65">
        <f>STG_VAR!G45+ONT_VAR!G45+'CE-VAR'!G45+'EAST-EGM-VAR'!G45+'BGC-EGM-VAR'!G45+'EAST-LRC-VAR'!G45+'TX-EGM-VAR'!G45+'TX-HPLR-VAR '!G45+'WE-VAR'!G45+BUG_VAR!G45+'TX-HPLC-VAR'!G45+'ARUBA-VAR'!G45+'SITHE-VAR'!G45</f>
        <v>-8671.7900000000009</v>
      </c>
      <c r="H45" s="60">
        <f>F45-D45</f>
        <v>-5073</v>
      </c>
      <c r="I45" s="38">
        <f>G45-E45</f>
        <v>-8671.7900000000009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'!D47+'WE-VAR'!D47+BUG_VAR!D47+'TX-HPLC-VAR'!D47+'ARUBA-VAR'!D47+'SITHE-VAR'!D47</f>
        <v>0</v>
      </c>
      <c r="E47" s="65">
        <f>STG_VAR!E47+ONT_VAR!E47+'CE-VAR'!E47+'EAST-EGM-VAR'!E47+'BGC-EGM-VAR'!E47+'EAST-LRC-VAR'!E47+'TX-EGM-VAR'!E47+'TX-HPLR-VAR '!E47+'WE-VAR'!E47+BUG_VAR!E47+'TX-HPLC-VAR'!E47+'ARUBA-VAR'!E47+'SITHE-VAR'!E47</f>
        <v>0</v>
      </c>
      <c r="F47" s="65">
        <f>STG_VAR!F47+ONT_VAR!F47+'CE-VAR'!F47+'EAST-EGM-VAR'!F47+'BGC-EGM-VAR'!F47+'EAST-LRC-VAR'!F47+'TX-EGM-VAR'!F47+'TX-HPLR-VAR '!F47+'WE-VAR'!F47+BUG_VAR!F47+'TX-HPLC-VAR'!F47+'ARUBA-VAR'!F47+'SITHE-VAR'!F47</f>
        <v>0</v>
      </c>
      <c r="G47" s="65">
        <f>STG_VAR!G47+ONT_VAR!G47+'CE-VAR'!G47+'EAST-EGM-VAR'!G47+'BGC-EGM-VAR'!G47+'EAST-LRC-VAR'!G47+'TX-EGM-VAR'!G47+'TX-HPLR-VAR '!G47+'WE-VAR'!G47+BUG_VAR!G47+'TX-HPLC-VAR'!G47+'ARUBA-VAR'!G47+'SITHE-VAR'!G47</f>
        <v>9099.619999999999</v>
      </c>
      <c r="H47" s="60">
        <f>F47-D47</f>
        <v>0</v>
      </c>
      <c r="I47" s="38">
        <f>G47-E47</f>
        <v>9099.619999999999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'!D49+'WE-VAR'!D49+BUG_VAR!D49+'TX-HPLC-VAR'!D49+'ARUBA-VAR'!D49+'SITHE-VAR'!D49</f>
        <v>-236633</v>
      </c>
      <c r="E49" s="65">
        <f>STG_VAR!E49+ONT_VAR!E49+'CE-VAR'!E49+'EAST-EGM-VAR'!E49+'BGC-EGM-VAR'!E49+'EAST-LRC-VAR'!E49+'TX-EGM-VAR'!E49+'TX-HPLR-VAR '!E49+'WE-VAR'!E49+BUG_VAR!E49+'TX-HPLC-VAR'!E49+'ARUBA-VAR'!E49+'SITHE-VAR'!E49</f>
        <v>-787676.30969269306</v>
      </c>
      <c r="F49" s="65">
        <f>STG_VAR!F49+ONT_VAR!F49+'CE-VAR'!F49+'EAST-EGM-VAR'!F49+'BGC-EGM-VAR'!F49+'EAST-LRC-VAR'!F49+'TX-EGM-VAR'!F49+'TX-HPLR-VAR '!F49+'WE-VAR'!F49+BUG_VAR!F49+'TX-HPLC-VAR'!F49+'ARUBA-VAR'!F49+'SITHE-VAR'!F49</f>
        <v>-2649</v>
      </c>
      <c r="G49" s="65">
        <f>STG_VAR!G49+ONT_VAR!G49+'CE-VAR'!G49+'EAST-EGM-VAR'!G49+'BGC-EGM-VAR'!G49+'EAST-LRC-VAR'!G49+'TX-EGM-VAR'!G49+'TX-HPLR-VAR '!G49+'WE-VAR'!G49+BUG_VAR!G49+'TX-HPLC-VAR'!G49+'ARUBA-VAR'!G49+'SITHE-VAR'!G49</f>
        <v>-2655.3050000021176</v>
      </c>
      <c r="H49" s="60">
        <f>F49-D49</f>
        <v>233984</v>
      </c>
      <c r="I49" s="38">
        <f>G49-E49</f>
        <v>785021.00469269091</v>
      </c>
    </row>
    <row r="50" spans="1:9" x14ac:dyDescent="0.2">
      <c r="A50" s="9"/>
      <c r="B50" s="7"/>
      <c r="C50" s="6"/>
      <c r="D50" s="60"/>
      <c r="E50" s="38"/>
      <c r="F50" s="60"/>
      <c r="G50" s="38"/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'!D51+'WE-VAR'!D51+BUG_VAR!D51+'TX-HPLC-VAR'!D51+'ARUBA-VAR'!D51+'SITHE-VAR'!D51</f>
        <v>-1493707</v>
      </c>
      <c r="E51" s="65">
        <f>STG_VAR!E51+ONT_VAR!E51+'CE-VAR'!E51+'EAST-EGM-VAR'!E51+'BGC-EGM-VAR'!E51+'EAST-LRC-VAR'!E51+'TX-EGM-VAR'!E51+'TX-HPLR-VAR '!E51+'WE-VAR'!E51+BUG_VAR!E51+'TX-HPLC-VAR'!E51+'ARUBA-VAR'!E51+'SITHE-VAR'!E51</f>
        <v>-3403973</v>
      </c>
      <c r="F51" s="65">
        <f>STG_VAR!F51+ONT_VAR!F51+'CE-VAR'!F51+'EAST-EGM-VAR'!F51+'BGC-EGM-VAR'!F51+'EAST-LRC-VAR'!F51+'TX-EGM-VAR'!F51+'TX-HPLR-VAR '!F51+'WE-VAR'!F51+BUG_VAR!F51+'TX-HPLC-VAR'!F51+'ARUBA-VAR'!F51+'SITHE-VAR'!F51</f>
        <v>-1581372</v>
      </c>
      <c r="G51" s="65">
        <f>STG_VAR!G51+ONT_VAR!G51+'CE-VAR'!G51+'EAST-EGM-VAR'!G51+'BGC-EGM-VAR'!G51+'EAST-LRC-VAR'!G51+'TX-EGM-VAR'!G51+'TX-HPLR-VAR '!G51+'WE-VAR'!G51+BUG_VAR!G51+'TX-HPLC-VAR'!G51+'ARUBA-VAR'!G51+'SITHE-VAR'!G51</f>
        <v>-4759070.6035000002</v>
      </c>
      <c r="H51" s="60">
        <f>F51-D51</f>
        <v>-87665</v>
      </c>
      <c r="I51" s="38">
        <f>G51-E51</f>
        <v>-1355097.6035000002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'!D54+'WE-VAR'!D54+BUG_VAR!D54+'TX-HPLC-VAR'!D54+'ARUBA-VAR'!D54+'SITHE-VAR'!D54</f>
        <v>16</v>
      </c>
      <c r="E54" s="65">
        <f>STG_VAR!E54+ONT_VAR!E54+'CE-VAR'!E54+'EAST-EGM-VAR'!E54+'BGC-EGM-VAR'!E54+'EAST-LRC-VAR'!E54+'TX-EGM-VAR'!E54+'TX-HPLR-VAR '!E54+'WE-VAR'!E54+BUG_VAR!E54+'TX-HPLC-VAR'!E54+'ARUBA-VAR'!E54+'SITHE-VAR'!E54</f>
        <v>-3209330</v>
      </c>
      <c r="F54" s="65">
        <f>STG_VAR!F54+ONT_VAR!F54+'CE-VAR'!F54+'EAST-EGM-VAR'!F54+'BGC-EGM-VAR'!F54+'EAST-LRC-VAR'!F54+'TX-EGM-VAR'!F54+'TX-HPLR-VAR '!F54+'WE-VAR'!F54+BUG_VAR!F54+'TX-HPLC-VAR'!F54+'ARUBA-VAR'!F54+'SITHE-VAR'!F54</f>
        <v>-171232053.77000001</v>
      </c>
      <c r="G54" s="65">
        <f>STG_VAR!G54+ONT_VAR!G54+'CE-VAR'!G54+'EAST-EGM-VAR'!G54+'BGC-EGM-VAR'!G54+'EAST-LRC-VAR'!G54+'TX-EGM-VAR'!G54+'TX-HPLR-VAR '!G54+'WE-VAR'!G54+BUG_VAR!G54+'TX-HPLC-VAR'!G54+'ARUBA-VAR'!G54+'SITHE-VAR'!G54</f>
        <v>-3399364.5600000005</v>
      </c>
      <c r="H54" s="60">
        <f>F54-D54</f>
        <v>-171232069.77000001</v>
      </c>
      <c r="I54" s="38">
        <f>G54-E54</f>
        <v>-190034.56000000052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'!D55+'WE-VAR'!D55+BUG_VAR!D55+'TX-HPLC-VAR'!D55+'ARUBA-VAR'!D55+'SITHE-VAR'!D55</f>
        <v>0</v>
      </c>
      <c r="E55" s="65">
        <f>STG_VAR!E55+ONT_VAR!E55+'CE-VAR'!E55+'EAST-EGM-VAR'!E55+'BGC-EGM-VAR'!E55+'EAST-LRC-VAR'!E55+'TX-EGM-VAR'!E55+'TX-HPLR-VAR '!E55+'WE-VAR'!E55+BUG_VAR!E55+'TX-HPLC-VAR'!E55+'ARUBA-VAR'!E55+'SITHE-VAR'!E55</f>
        <v>-15634739.620000001</v>
      </c>
      <c r="F55" s="65">
        <f>STG_VAR!F55+ONT_VAR!F55+'CE-VAR'!F55+'EAST-EGM-VAR'!F55+'BGC-EGM-VAR'!F55+'EAST-LRC-VAR'!F55+'TX-EGM-VAR'!F55+'TX-HPLR-VAR '!F55+'WE-VAR'!F55+BUG_VAR!F55+'TX-HPLC-VAR'!F55+'ARUBA-VAR'!F55+'SITHE-VAR'!F55</f>
        <v>-8219</v>
      </c>
      <c r="G55" s="65">
        <f>STG_VAR!G55+ONT_VAR!G55+'CE-VAR'!G55+'EAST-EGM-VAR'!G55+'BGC-EGM-VAR'!G55+'EAST-LRC-VAR'!G55+'TX-EGM-VAR'!G55+'TX-HPLR-VAR '!G55+'WE-VAR'!G55+BUG_VAR!G55+'TX-HPLC-VAR'!G55+'ARUBA-VAR'!G55+'SITHE-VAR'!G55</f>
        <v>-19293426.279999997</v>
      </c>
      <c r="H55" s="60">
        <f>F55-D55</f>
        <v>-8219</v>
      </c>
      <c r="I55" s="38">
        <f>G55-E55</f>
        <v>-3658686.6599999964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16</v>
      </c>
      <c r="E56" s="39">
        <f t="shared" si="10"/>
        <v>-18844069.620000001</v>
      </c>
      <c r="F56" s="61">
        <f>SUM(F54:F55)</f>
        <v>-171240272.77000001</v>
      </c>
      <c r="G56" s="39">
        <f>SUM(G54:G55)</f>
        <v>-22692790.839999996</v>
      </c>
      <c r="H56" s="61">
        <f t="shared" si="10"/>
        <v>-171240288.77000001</v>
      </c>
      <c r="I56" s="39">
        <f t="shared" si="10"/>
        <v>-3848721.2199999969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'!D59+'WE-VAR'!D59+BUG_VAR!D59+'TX-HPLC-VAR'!D59+'ARUBA-VAR'!D59+'SITHE-VAR'!D59</f>
        <v>0</v>
      </c>
      <c r="E59" s="65">
        <f>STG_VAR!E59+ONT_VAR!E59+'CE-VAR'!E59+'EAST-EGM-VAR'!E59+'BGC-EGM-VAR'!E59+'EAST-LRC-VAR'!E59+'TX-EGM-VAR'!E59+'TX-HPLR-VAR '!E59+'WE-VAR'!E59+BUG_VAR!E59+'TX-HPLC-VAR'!E59+'ARUBA-VAR'!E59+'SITHE-VAR'!E59</f>
        <v>0</v>
      </c>
      <c r="F59" s="65">
        <f>STG_VAR!F59+ONT_VAR!F59+'CE-VAR'!F59+'EAST-EGM-VAR'!F59+'BGC-EGM-VAR'!F59+'EAST-LRC-VAR'!F59+'TX-EGM-VAR'!F59+'TX-HPLR-VAR '!F59+'WE-VAR'!F59+BUG_VAR!F59+'TX-HPLC-VAR'!F59+'ARUBA-VAR'!F59+'SITHE-VAR'!F59</f>
        <v>2707106</v>
      </c>
      <c r="G59" s="65">
        <f>STG_VAR!G59+ONT_VAR!G59+'CE-VAR'!G59+'EAST-EGM-VAR'!G59+'BGC-EGM-VAR'!G59+'EAST-LRC-VAR'!G59+'TX-EGM-VAR'!G59+'TX-HPLR-VAR '!G59+'WE-VAR'!G59+BUG_VAR!G59+'TX-HPLC-VAR'!G59+'ARUBA-VAR'!G59+'SITHE-VAR'!G59</f>
        <v>171185.29</v>
      </c>
      <c r="H59" s="60">
        <f>F59-D59</f>
        <v>2707106</v>
      </c>
      <c r="I59" s="38">
        <f>G59-E59</f>
        <v>171185.29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'!D60+'WE-VAR'!D60+BUG_VAR!D60+'TX-HPLC-VAR'!D60+'ARUBA-VAR'!D60+'SITHE-VAR'!D60</f>
        <v>0</v>
      </c>
      <c r="E60" s="65">
        <f>STG_VAR!E60+ONT_VAR!E60+'CE-VAR'!E60+'EAST-EGM-VAR'!E60+'BGC-EGM-VAR'!E60+'EAST-LRC-VAR'!E60+'TX-EGM-VAR'!E60+'TX-HPLR-VAR '!E60+'WE-VAR'!E60+BUG_VAR!E60+'TX-HPLC-VAR'!E60+'ARUBA-VAR'!E60+'SITHE-VAR'!E60</f>
        <v>0</v>
      </c>
      <c r="F60" s="65">
        <f>STG_VAR!F60+ONT_VAR!F60+'CE-VAR'!F60+'EAST-EGM-VAR'!F60+'BGC-EGM-VAR'!F60+'EAST-LRC-VAR'!F60+'TX-EGM-VAR'!F60+'TX-HPLR-VAR '!F60+'WE-VAR'!F60+BUG_VAR!F60+'TX-HPLC-VAR'!F60+'ARUBA-VAR'!F60+'SITHE-VAR'!F60</f>
        <v>169670</v>
      </c>
      <c r="G60" s="65">
        <f>STG_VAR!G60+ONT_VAR!G60+'CE-VAR'!G60+'EAST-EGM-VAR'!G60+'BGC-EGM-VAR'!G60+'EAST-LRC-VAR'!G60+'TX-EGM-VAR'!G60+'TX-HPLR-VAR '!G60+'WE-VAR'!G60+BUG_VAR!G60+'TX-HPLC-VAR'!G60+'ARUBA-VAR'!G60+'SITHE-VAR'!G60</f>
        <v>302413</v>
      </c>
      <c r="H60" s="60">
        <f>F60-D60</f>
        <v>169670</v>
      </c>
      <c r="I60" s="38">
        <f>G60-E60</f>
        <v>302413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>SUM(F59:F60)</f>
        <v>2876776</v>
      </c>
      <c r="G61" s="70">
        <f>SUM(G59:G60)</f>
        <v>473598.29000000004</v>
      </c>
      <c r="H61" s="69">
        <f t="shared" si="11"/>
        <v>2876776</v>
      </c>
      <c r="I61" s="70">
        <f t="shared" si="11"/>
        <v>473598.29000000004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'!D64+'WE-VAR'!D64+BUG_VAR!D64+'TX-HPLC-VAR'!D64+'ARUBA-VAR'!D64+'SITHE-VAR'!D64</f>
        <v>0</v>
      </c>
      <c r="E64" s="65">
        <f>STG_VAR!E64+ONT_VAR!E64+'CE-VAR'!E64+'EAST-EGM-VAR'!E64+'BGC-EGM-VAR'!E64+'EAST-LRC-VAR'!E64+'TX-EGM-VAR'!E64+'TX-HPLR-VAR '!E64+'WE-VAR'!E64+BUG_VAR!E64+'TX-HPLC-VAR'!E64+'ARUBA-VAR'!E64+'SITHE-VAR'!E64</f>
        <v>42944</v>
      </c>
      <c r="F64" s="65">
        <f>STG_VAR!F64+ONT_VAR!F64+'CE-VAR'!F64+'EAST-EGM-VAR'!F64+'BGC-EGM-VAR'!F64+'EAST-LRC-VAR'!F64+'TX-EGM-VAR'!F64+'TX-HPLR-VAR '!F64+'WE-VAR'!F64+BUG_VAR!F64+'TX-HPLC-VAR'!F64+'ARUBA-VAR'!F64+'SITHE-VAR'!F64</f>
        <v>-19819750</v>
      </c>
      <c r="G64" s="65">
        <f>STG_VAR!G64+ONT_VAR!G64+'CE-VAR'!G64+'EAST-EGM-VAR'!G64+'BGC-EGM-VAR'!G64+'EAST-LRC-VAR'!G64+'TX-EGM-VAR'!G64+'TX-HPLR-VAR '!G64+'WE-VAR'!G64+BUG_VAR!G64+'TX-HPLC-VAR'!G64+'ARUBA-VAR'!G64+'SITHE-VAR'!G64</f>
        <v>-2319951.5099999998</v>
      </c>
      <c r="H64" s="60">
        <f>F64-D64</f>
        <v>-19819750</v>
      </c>
      <c r="I64" s="38">
        <f>G64-E64</f>
        <v>-2362895.5099999998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'!D65+'WE-VAR'!D65+BUG_VAR!D65+'TX-HPLC-VAR'!D65+'ARUBA-VAR'!D65+'SITHE-VAR'!D65</f>
        <v>0</v>
      </c>
      <c r="E65" s="65">
        <f>STG_VAR!E65+ONT_VAR!E65+'CE-VAR'!E65+'EAST-EGM-VAR'!E65+'BGC-EGM-VAR'!E65+'EAST-LRC-VAR'!E65+'TX-EGM-VAR'!E65+'TX-HPLR-VAR '!E65+'WE-VAR'!E65+BUG_VAR!E65+'TX-HPLC-VAR'!E65+'ARUBA-VAR'!E65+'SITHE-VAR'!E65</f>
        <v>0</v>
      </c>
      <c r="F65" s="65">
        <f>STG_VAR!F65+ONT_VAR!F65+'CE-VAR'!F65+'EAST-EGM-VAR'!F65+'BGC-EGM-VAR'!F65+'EAST-LRC-VAR'!F65+'TX-EGM-VAR'!F65+'TX-HPLR-VAR '!F65+'WE-VAR'!F65+BUG_VAR!F65+'TX-HPLC-VAR'!F65+'ARUBA-VAR'!F65+'SITHE-VAR'!F65</f>
        <v>19966444</v>
      </c>
      <c r="G65" s="65">
        <f>STG_VAR!G65+ONT_VAR!G65+'CE-VAR'!G65+'EAST-EGM-VAR'!G65+'BGC-EGM-VAR'!G65+'EAST-LRC-VAR'!G65+'TX-EGM-VAR'!G65+'TX-HPLR-VAR '!G65+'WE-VAR'!G65+BUG_VAR!G65+'TX-HPLC-VAR'!G65+'ARUBA-VAR'!G65+'SITHE-VAR'!G65</f>
        <v>3070632.2999999993</v>
      </c>
      <c r="H65" s="60">
        <f>F65-D65</f>
        <v>19966444</v>
      </c>
      <c r="I65" s="38">
        <f>G65-E65</f>
        <v>3070632.2999999993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>SUM(F64:F65)</f>
        <v>146694</v>
      </c>
      <c r="G66" s="39">
        <f>SUM(G64:G65)</f>
        <v>750680.78999999957</v>
      </c>
      <c r="H66" s="61">
        <f t="shared" si="12"/>
        <v>146694</v>
      </c>
      <c r="I66" s="39">
        <f t="shared" si="12"/>
        <v>707736.78999999957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'!D70+'WE-VAR'!D70+BUG_VAR!D70+'TX-HPLC-VAR'!D70+'ARUBA-VAR'!D70+'SITHE-VAR'!D70</f>
        <v>0</v>
      </c>
      <c r="E70" s="65">
        <f>STG_VAR!E70+ONT_VAR!E70+'CE-VAR'!E70+'EAST-EGM-VAR'!E70+'BGC-EGM-VAR'!E70+'EAST-LRC-VAR'!E70+'TX-EGM-VAR'!E70+'TX-HPLR-VAR '!E70+'WE-VAR'!E70+BUG_VAR!E70+'TX-HPLC-VAR'!E70+'ARUBA-VAR'!E70+'SITHE-VAR'!E70</f>
        <v>34562796.793499082</v>
      </c>
      <c r="F70" s="65">
        <f>STG_VAR!F70+ONT_VAR!F70+'CE-VAR'!F70+'EAST-EGM-VAR'!F70+'BGC-EGM-VAR'!F70+'EAST-LRC-VAR'!F70+'TX-EGM-VAR'!F70+'TX-HPLR-VAR '!F70+'WE-VAR'!F70+BUG_VAR!F70+'TX-HPLC-VAR'!F70+'ARUBA-VAR'!F70+'SITHE-VAR'!F70</f>
        <v>0</v>
      </c>
      <c r="G70" s="65">
        <f>STG_VAR!G70+ONT_VAR!G70+'CE-VAR'!G70+'EAST-EGM-VAR'!G70+'BGC-EGM-VAR'!G70+'EAST-LRC-VAR'!G70+'TX-EGM-VAR'!G70+'TX-HPLR-VAR '!G70+'WE-VAR'!G70+BUG_VAR!G70+'TX-HPLC-VAR'!G70+'ARUBA-VAR'!G70+'SITHE-VAR'!G70</f>
        <v>34562796.659999996</v>
      </c>
      <c r="H70" s="60">
        <f>F70-D70</f>
        <v>0</v>
      </c>
      <c r="I70" s="38">
        <f>G70-E70</f>
        <v>-0.13349908590316772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'!D71+'WE-VAR'!D71+BUG_VAR!D71+'TX-HPLC-VAR'!D71+'ARUBA-VAR'!D71+'SITHE-VAR'!D71</f>
        <v>0</v>
      </c>
      <c r="E71" s="65">
        <f>STG_VAR!E71+ONT_VAR!E71+'CE-VAR'!E71+'EAST-EGM-VAR'!E71+'BGC-EGM-VAR'!E71+'EAST-LRC-VAR'!E71+'TX-EGM-VAR'!E71+'TX-HPLR-VAR '!E71+'WE-VAR'!E71+BUG_VAR!E71+'TX-HPLC-VAR'!E71+'ARUBA-VAR'!E71+'SITHE-VAR'!E71</f>
        <v>-31146522</v>
      </c>
      <c r="F71" s="65">
        <f>STG_VAR!F71+ONT_VAR!F71+'CE-VAR'!F71+'EAST-EGM-VAR'!F71+'BGC-EGM-VAR'!F71+'EAST-LRC-VAR'!F71+'TX-EGM-VAR'!F71+'TX-HPLR-VAR '!F71+'WE-VAR'!F71+BUG_VAR!F71+'TX-HPLC-VAR'!F71+'ARUBA-VAR'!F71+'SITHE-VAR'!F71</f>
        <v>0</v>
      </c>
      <c r="G71" s="65">
        <f>STG_VAR!G71+ONT_VAR!G71+'CE-VAR'!G71+'EAST-EGM-VAR'!G71+'BGC-EGM-VAR'!G71+'EAST-LRC-VAR'!G71+'TX-EGM-VAR'!G71+'TX-HPLR-VAR '!G71+'WE-VAR'!G71+BUG_VAR!G71+'TX-HPLC-VAR'!G71+'ARUBA-VAR'!G71+'SITHE-VAR'!G71</f>
        <v>-31146522.200000003</v>
      </c>
      <c r="H71" s="60">
        <f>F71-D71</f>
        <v>0</v>
      </c>
      <c r="I71" s="38">
        <f>G71-E71</f>
        <v>-0.20000000298023224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3416274.7934990823</v>
      </c>
      <c r="F72" s="69">
        <f>SUM(F70:F71)</f>
        <v>0</v>
      </c>
      <c r="G72" s="70">
        <f>SUM(G70:G71)</f>
        <v>3416274.4599999934</v>
      </c>
      <c r="H72" s="69">
        <f t="shared" si="13"/>
        <v>0</v>
      </c>
      <c r="I72" s="70">
        <f t="shared" si="13"/>
        <v>-0.33349908888339996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'!D73+'WE-VAR'!D73+BUG_VAR!D73+'TX-HPLC-VAR'!D73+'ARUBA-VAR'!D73+'SITHE-VAR'!D73</f>
        <v>0</v>
      </c>
      <c r="E73" s="65">
        <f>STG_VAR!E73+ONT_VAR!E73+'CE-VAR'!E73+'EAST-EGM-VAR'!E73+'BGC-EGM-VAR'!E73+'EAST-LRC-VAR'!E73+'TX-EGM-VAR'!E73+'TX-HPLR-VAR '!E73+'WE-VAR'!E73+BUG_VAR!E73+'TX-HPLC-VAR'!E73+'ARUBA-VAR'!E73+'SITHE-VAR'!E73</f>
        <v>0</v>
      </c>
      <c r="F73" s="65">
        <f>STG_VAR!F73+ONT_VAR!F73+'CE-VAR'!F73+'EAST-EGM-VAR'!F73+'BGC-EGM-VAR'!F73+'EAST-LRC-VAR'!F73+'TX-EGM-VAR'!F73+'TX-HPLR-VAR '!F73+'WE-VAR'!F73+BUG_VAR!F73+'TX-HPLC-VAR'!F73+'ARUBA-VAR'!F73+'SITHE-VAR'!F73</f>
        <v>0</v>
      </c>
      <c r="G73" s="65">
        <f>STG_VAR!G73+ONT_VAR!G73+'CE-VAR'!G73+'EAST-EGM-VAR'!G73+'BGC-EGM-VAR'!G73+'EAST-LRC-VAR'!G73+'TX-EGM-VAR'!G73+'TX-HPLR-VAR '!G73+'WE-VAR'!G73+BUG_VAR!G73+'TX-HPLC-VAR'!G73+'ARUBA-VAR'!G73+'SITHE-VAR'!G73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'!D74+'WE-VAR'!D74+BUG_VAR!D74+'TX-HPLC-VAR'!D74+'ARUBA-VAR'!D74+'SITHE-VAR'!D74</f>
        <v>0</v>
      </c>
      <c r="E74" s="65">
        <f>STG_VAR!E74+ONT_VAR!E74+'CE-VAR'!E74+'EAST-EGM-VAR'!E74+'BGC-EGM-VAR'!E74+'EAST-LRC-VAR'!E74+'TX-EGM-VAR'!E74+'TX-HPLR-VAR '!E74+'WE-VAR'!E74+BUG_VAR!E74+'TX-HPLC-VAR'!E74+'ARUBA-VAR'!E74+'SITHE-VAR'!E74</f>
        <v>21695823.223280746</v>
      </c>
      <c r="F74" s="65">
        <f>STG_VAR!F74+ONT_VAR!F74+'CE-VAR'!F74+'EAST-EGM-VAR'!F74+'BGC-EGM-VAR'!F74+'EAST-LRC-VAR'!F74+'TX-EGM-VAR'!F74+'TX-HPLR-VAR '!F74+'WE-VAR'!F74+BUG_VAR!F74+'TX-HPLC-VAR'!F74+'ARUBA-VAR'!F74+'SITHE-VAR'!F74</f>
        <v>0</v>
      </c>
      <c r="G74" s="65">
        <f>STG_VAR!G74+ONT_VAR!G74+'CE-VAR'!G74+'EAST-EGM-VAR'!G74+'BGC-EGM-VAR'!G74+'EAST-LRC-VAR'!G74+'TX-EGM-VAR'!G74+'TX-HPLR-VAR '!G74+'WE-VAR'!G74+BUG_VAR!G74+'TX-HPLC-VAR'!G74+'ARUBA-VAR'!G74+'SITHE-VAR'!G74</f>
        <v>16467275.210000001</v>
      </c>
      <c r="H74" s="60">
        <f t="shared" ref="H74:I79" si="14">F74-D74</f>
        <v>0</v>
      </c>
      <c r="I74" s="38">
        <f t="shared" si="14"/>
        <v>-5228548.0132807456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'!D75+'WE-VAR'!D75+BUG_VAR!D75+'TX-HPLC-VAR'!D75+'ARUBA-VAR'!D75+'SITHE-VAR'!D75</f>
        <v>0</v>
      </c>
      <c r="E75" s="65">
        <f>STG_VAR!E75+ONT_VAR!E75+'CE-VAR'!E75+'EAST-EGM-VAR'!E75+'BGC-EGM-VAR'!E75+'EAST-LRC-VAR'!E75+'TX-EGM-VAR'!E75+'TX-HPLR-VAR '!E75+'WE-VAR'!E75+BUG_VAR!E75+'TX-HPLC-VAR'!E75+'ARUBA-VAR'!E75+'SITHE-VAR'!E75</f>
        <v>116097</v>
      </c>
      <c r="F75" s="65">
        <f>STG_VAR!F75+ONT_VAR!F75+'CE-VAR'!F75+'EAST-EGM-VAR'!F75+'BGC-EGM-VAR'!F75+'EAST-LRC-VAR'!F75+'TX-EGM-VAR'!F75+'TX-HPLR-VAR '!F75+'WE-VAR'!F75+BUG_VAR!F75+'TX-HPLC-VAR'!F75+'ARUBA-VAR'!F75+'SITHE-VAR'!F75</f>
        <v>0</v>
      </c>
      <c r="G75" s="65">
        <f>STG_VAR!G75+ONT_VAR!G75+'CE-VAR'!G75+'EAST-EGM-VAR'!G75+'BGC-EGM-VAR'!G75+'EAST-LRC-VAR'!G75+'TX-EGM-VAR'!G75+'TX-HPLR-VAR '!G75+'WE-VAR'!G75+BUG_VAR!G75+'TX-HPLC-VAR'!G75+'ARUBA-VAR'!G75+'SITHE-VAR'!G75</f>
        <v>116100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'!D76+'WE-VAR'!D76+BUG_VAR!D76+'TX-HPLC-VAR'!D76+'ARUBA-VAR'!D76+'SITHE-VAR'!D76</f>
        <v>0</v>
      </c>
      <c r="E76" s="65">
        <f>STG_VAR!E76+ONT_VAR!E76+'CE-VAR'!E76+'EAST-EGM-VAR'!E76+'BGC-EGM-VAR'!E76+'EAST-LRC-VAR'!E76+'TX-EGM-VAR'!E76+'TX-HPLR-VAR '!E76+'WE-VAR'!E76+BUG_VAR!E76+'TX-HPLC-VAR'!E76+'ARUBA-VAR'!E76+'SITHE-VAR'!E76</f>
        <v>-37640</v>
      </c>
      <c r="F76" s="65">
        <f>STG_VAR!F76+ONT_VAR!F76+'CE-VAR'!F76+'EAST-EGM-VAR'!F76+'BGC-EGM-VAR'!F76+'EAST-LRC-VAR'!F76+'TX-EGM-VAR'!F76+'TX-HPLR-VAR '!F76+'WE-VAR'!F76+BUG_VAR!F76+'TX-HPLC-VAR'!F76+'ARUBA-VAR'!F76+'SITHE-VAR'!F76</f>
        <v>0</v>
      </c>
      <c r="G76" s="65">
        <f>STG_VAR!G76+ONT_VAR!G76+'CE-VAR'!G76+'EAST-EGM-VAR'!G76+'BGC-EGM-VAR'!G76+'EAST-LRC-VAR'!G76+'TX-EGM-VAR'!G76+'TX-HPLR-VAR '!G76+'WE-VAR'!G76+BUG_VAR!G76+'TX-HPLC-VAR'!G76+'ARUBA-VAR'!G76+'SITHE-VAR'!G76</f>
        <v>-57268.270000000004</v>
      </c>
      <c r="H76" s="60">
        <f t="shared" si="14"/>
        <v>0</v>
      </c>
      <c r="I76" s="38">
        <f t="shared" si="14"/>
        <v>-19628.270000000004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'!D77+'WE-VAR'!D77+BUG_VAR!D77+'TX-HPLC-VAR'!D77+'ARUBA-VAR'!D77+'SITHE-VAR'!D77</f>
        <v>0</v>
      </c>
      <c r="E77" s="65">
        <f>STG_VAR!E77+ONT_VAR!E77+'CE-VAR'!E77+'EAST-EGM-VAR'!E77+'BGC-EGM-VAR'!E77+'EAST-LRC-VAR'!E77+'TX-EGM-VAR'!E77+'TX-HPLR-VAR '!E77+'WE-VAR'!E77+BUG_VAR!E77+'TX-HPLC-VAR'!E77+'ARUBA-VAR'!E77+'SITHE-VAR'!E77</f>
        <v>-4042109</v>
      </c>
      <c r="F77" s="65">
        <f>STG_VAR!F77+ONT_VAR!F77+'CE-VAR'!F77+'EAST-EGM-VAR'!F77+'BGC-EGM-VAR'!F77+'EAST-LRC-VAR'!F77+'TX-EGM-VAR'!F77+'TX-HPLR-VAR '!F77+'WE-VAR'!F77+BUG_VAR!F77+'TX-HPLC-VAR'!F77+'ARUBA-VAR'!F77+'SITHE-VAR'!F77</f>
        <v>0</v>
      </c>
      <c r="G77" s="65">
        <f>STG_VAR!G77+ONT_VAR!G77+'CE-VAR'!G77+'EAST-EGM-VAR'!G77+'BGC-EGM-VAR'!G77+'EAST-LRC-VAR'!G77+'TX-EGM-VAR'!G77+'TX-HPLR-VAR '!G77+'WE-VAR'!G77+BUG_VAR!G77+'TX-HPLC-VAR'!G77+'ARUBA-VAR'!G77+'SITHE-VAR'!G77</f>
        <v>-4579696</v>
      </c>
      <c r="H77" s="60">
        <f t="shared" si="14"/>
        <v>0</v>
      </c>
      <c r="I77" s="38">
        <f t="shared" si="14"/>
        <v>-537587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'!D78+'WE-VAR'!D78+BUG_VAR!D78+'TX-HPLC-VAR'!D78+'ARUBA-VAR'!D78+'SITHE-VAR'!D78</f>
        <v>0</v>
      </c>
      <c r="E78" s="65">
        <f>STG_VAR!E78+ONT_VAR!E78+'CE-VAR'!E78+'EAST-EGM-VAR'!E78+'BGC-EGM-VAR'!E78+'EAST-LRC-VAR'!E78+'TX-EGM-VAR'!E78+'TX-HPLR-VAR '!E78+'WE-VAR'!E78+BUG_VAR!E78+'TX-HPLC-VAR'!E78+'ARUBA-VAR'!E78+'SITHE-VAR'!E78</f>
        <v>23732.85</v>
      </c>
      <c r="F78" s="65">
        <f>STG_VAR!F78+ONT_VAR!F78+'CE-VAR'!F78+'EAST-EGM-VAR'!F78+'BGC-EGM-VAR'!F78+'EAST-LRC-VAR'!F78+'TX-EGM-VAR'!F78+'TX-HPLR-VAR '!F78+'WE-VAR'!F78+BUG_VAR!F78+'TX-HPLC-VAR'!F78+'ARUBA-VAR'!F78+'SITHE-VAR'!F78</f>
        <v>0</v>
      </c>
      <c r="G78" s="65">
        <f>STG_VAR!G78+ONT_VAR!G78+'CE-VAR'!G78+'EAST-EGM-VAR'!G78+'BGC-EGM-VAR'!G78+'EAST-LRC-VAR'!G78+'TX-EGM-VAR'!G78+'TX-HPLR-VAR '!G78+'WE-VAR'!G78+BUG_VAR!G78+'TX-HPLC-VAR'!G78+'ARUBA-VAR'!G78+'SITHE-VAR'!G78</f>
        <v>26963</v>
      </c>
      <c r="H78" s="60">
        <f t="shared" si="14"/>
        <v>0</v>
      </c>
      <c r="I78" s="38">
        <f t="shared" si="14"/>
        <v>3230.1500000000015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'!D79+'WE-VAR'!D79+BUG_VAR!D79+'TX-HPLC-VAR'!D79+'ARUBA-VAR'!D79+'SITHE-VAR'!D79</f>
        <v>0</v>
      </c>
      <c r="E79" s="65">
        <f>STG_VAR!E79+ONT_VAR!E79+'CE-VAR'!E79+'EAST-EGM-VAR'!E79+'BGC-EGM-VAR'!E79+'EAST-LRC-VAR'!E79+'TX-EGM-VAR'!E79+'TX-HPLR-VAR '!E79+'WE-VAR'!E79+BUG_VAR!E79+'TX-HPLC-VAR'!E79+'ARUBA-VAR'!E79+'SITHE-VAR'!E79</f>
        <v>1500534</v>
      </c>
      <c r="F79" s="65">
        <f>STG_VAR!F79+ONT_VAR!F79+'CE-VAR'!F79+'EAST-EGM-VAR'!F79+'BGC-EGM-VAR'!F79+'EAST-LRC-VAR'!F79+'TX-EGM-VAR'!F79+'TX-HPLR-VAR '!F79+'WE-VAR'!F79+BUG_VAR!F79+'TX-HPLC-VAR'!F79+'ARUBA-VAR'!F79+'SITHE-VAR'!F79</f>
        <v>0</v>
      </c>
      <c r="G79" s="65">
        <f>STG_VAR!G79+ONT_VAR!G79+'CE-VAR'!G79+'EAST-EGM-VAR'!G79+'BGC-EGM-VAR'!G79+'EAST-LRC-VAR'!G79+'TX-EGM-VAR'!G79+'TX-HPLR-VAR '!G79+'WE-VAR'!G79+BUG_VAR!G79+'TX-HPLC-VAR'!G79+'ARUBA-VAR'!G79+'SITHE-VAR'!G79</f>
        <v>0</v>
      </c>
      <c r="H79" s="60">
        <f t="shared" si="14"/>
        <v>0</v>
      </c>
      <c r="I79" s="38">
        <f t="shared" si="14"/>
        <v>-1500534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'!D80+'WE-VAR'!D80+BUG_VAR!D80+'TX-HPLC-VAR'!D80+'ARUBA-VAR'!D80+'SITHE-VAR'!D80</f>
        <v>0</v>
      </c>
      <c r="E80" s="65">
        <f>STG_VAR!E80+ONT_VAR!E80+'CE-VAR'!E80+'EAST-EGM-VAR'!E80+'BGC-EGM-VAR'!E80+'EAST-LRC-VAR'!E80+'TX-EGM-VAR'!E80+'TX-HPLR-VAR '!E80+'WE-VAR'!E80+BUG_VAR!E80+'TX-HPLC-VAR'!E80+'ARUBA-VAR'!E80+'SITHE-VAR'!E80</f>
        <v>0</v>
      </c>
      <c r="F80" s="65">
        <f>STG_VAR!F80+ONT_VAR!F80+'CE-VAR'!F80+'EAST-EGM-VAR'!F80+'BGC-EGM-VAR'!F80+'EAST-LRC-VAR'!F80+'TX-EGM-VAR'!F80+'TX-HPLR-VAR '!F80+'WE-VAR'!F80+BUG_VAR!F80+'TX-HPLC-VAR'!F80+'ARUBA-VAR'!F80+'SITHE-VAR'!F80</f>
        <v>0</v>
      </c>
      <c r="G80" s="65">
        <f>STG_VAR!G80+ONT_VAR!G80+'CE-VAR'!G80+'EAST-EGM-VAR'!G80+'BGC-EGM-VAR'!G80+'EAST-LRC-VAR'!G80+'TX-EGM-VAR'!G80+'TX-HPLR-VAR '!G80+'WE-VAR'!G80+BUG_VAR!G80+'TX-HPLC-VAR'!G80+'ARUBA-VAR'!G80+'SITHE-VAR'!G80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'!D81+'WE-VAR'!D81+BUG_VAR!D81+'TX-HPLC-VAR'!D81+'ARUBA-VAR'!D81+'SITHE-VAR'!D81</f>
        <v>0</v>
      </c>
      <c r="E81" s="65">
        <f>STG_VAR!E81+ONT_VAR!E81+'CE-VAR'!E81+'EAST-EGM-VAR'!E81+'BGC-EGM-VAR'!E81+'EAST-LRC-VAR'!E81+'TX-EGM-VAR'!E81+'TX-HPLR-VAR '!E81+'WE-VAR'!E81+BUG_VAR!E81+'TX-HPLC-VAR'!E81+'ARUBA-VAR'!E81+'SITHE-VAR'!E81</f>
        <v>1187329</v>
      </c>
      <c r="F81" s="65">
        <f>STG_VAR!F81+ONT_VAR!F81+'CE-VAR'!F81+'EAST-EGM-VAR'!F81+'BGC-EGM-VAR'!F81+'EAST-LRC-VAR'!F81+'TX-EGM-VAR'!F81+'TX-HPLR-VAR '!F81+'WE-VAR'!F81+BUG_VAR!F81+'TX-HPLC-VAR'!F81+'ARUBA-VAR'!F81+'SITHE-VAR'!F81</f>
        <v>0</v>
      </c>
      <c r="G81" s="65">
        <f>STG_VAR!G81+ONT_VAR!G81+'CE-VAR'!G81+'EAST-EGM-VAR'!G81+'BGC-EGM-VAR'!G81+'EAST-LRC-VAR'!G81+'TX-EGM-VAR'!G81+'TX-HPLR-VAR '!G81+'WE-VAR'!G81+BUG_VAR!G81+'TX-HPLC-VAR'!G81+'ARUBA-VAR'!G81+'SITHE-VAR'!G81</f>
        <v>697530.09</v>
      </c>
      <c r="H81" s="60">
        <f>F81-D81</f>
        <v>0</v>
      </c>
      <c r="I81" s="38">
        <f>G81-E81</f>
        <v>-489798.91000000003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6744796.597087197</v>
      </c>
      <c r="F82" s="91">
        <f>F16+F24+F29+F36+F43+F45+F47+F49</f>
        <v>0</v>
      </c>
      <c r="G82" s="92">
        <f>SUM(G72:G81)+G16+G24+G29+G36+G43+G45+G47+G49+G51+G56+G61+G66</f>
        <v>-939479.98099971423</v>
      </c>
      <c r="H82" s="91">
        <f>H16+H24+H29+H36+H43+H45+H47+H49</f>
        <v>-16</v>
      </c>
      <c r="I82" s="92">
        <f>SUM(I72:I81)+I16+I24+I29+I36+I43+I45+I47+I49+I51+I56+I61+I66</f>
        <v>-7684276.5780870318</v>
      </c>
    </row>
    <row r="83" spans="1:9" ht="13.5" thickTop="1" x14ac:dyDescent="0.2">
      <c r="A83" s="4"/>
      <c r="B83" s="3"/>
    </row>
    <row r="84" spans="1:9" x14ac:dyDescent="0.2">
      <c r="A84" s="4"/>
      <c r="B84" s="3"/>
      <c r="E84" s="31">
        <f>+'CE-FLSH'!M82+'SITHE-FLSH'!M82+'ARUBA-FLSH'!M82+'EAST-EGM-FLSH'!E82+'EAST-LRC-FLSH'!E82+'TX-EGM-FLSH'!E82+'TX-HPLR-FLSH'!E82+'TX-HPLC-FLSH'!E82+'WE-FLSH'!E82+ONT_FLSH!E82+BUG_FLSH!E82</f>
        <v>5152095.5970871598</v>
      </c>
      <c r="G84" s="45"/>
      <c r="I84" s="45"/>
    </row>
    <row r="85" spans="1:9" x14ac:dyDescent="0.2">
      <c r="A85" s="4" t="s">
        <v>163</v>
      </c>
      <c r="B85" s="3"/>
      <c r="F85" s="31"/>
      <c r="G85" s="31"/>
      <c r="H85" s="31"/>
      <c r="I85" s="31"/>
    </row>
    <row r="86" spans="1:9" x14ac:dyDescent="0.2">
      <c r="A86" s="168"/>
      <c r="B86" s="3"/>
      <c r="C86" s="10" t="s">
        <v>166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1113994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</f>
        <v>1528164</v>
      </c>
      <c r="H86" s="169">
        <f t="shared" ref="H86:I88" si="15">F86-D86</f>
        <v>0</v>
      </c>
      <c r="I86" s="169">
        <f t="shared" si="15"/>
        <v>414170</v>
      </c>
    </row>
    <row r="87" spans="1:9" x14ac:dyDescent="0.2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</f>
        <v>0</v>
      </c>
      <c r="H87" s="170">
        <f t="shared" si="15"/>
        <v>0</v>
      </c>
      <c r="I87" s="170">
        <f t="shared" si="15"/>
        <v>0</v>
      </c>
    </row>
    <row r="88" spans="1:9" x14ac:dyDescent="0.2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</f>
        <v>-409137</v>
      </c>
      <c r="H88" s="171">
        <f t="shared" si="15"/>
        <v>0</v>
      </c>
      <c r="I88" s="171">
        <f t="shared" si="15"/>
        <v>-409137</v>
      </c>
    </row>
    <row r="89" spans="1:9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1113994</v>
      </c>
      <c r="F89" s="184">
        <f t="shared" si="16"/>
        <v>0</v>
      </c>
      <c r="G89" s="184">
        <f t="shared" si="16"/>
        <v>1119027</v>
      </c>
      <c r="H89" s="184">
        <f t="shared" si="16"/>
        <v>0</v>
      </c>
      <c r="I89" s="184">
        <f t="shared" si="16"/>
        <v>5033</v>
      </c>
    </row>
    <row r="90" spans="1:9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">
      <c r="A91" s="182"/>
      <c r="B91" s="183"/>
      <c r="C91" s="181" t="s">
        <v>172</v>
      </c>
      <c r="D91" s="184">
        <f t="shared" ref="D91:I91" si="17">+D82+D89</f>
        <v>16</v>
      </c>
      <c r="E91" s="184">
        <f t="shared" si="17"/>
        <v>7858790.597087197</v>
      </c>
      <c r="F91" s="184">
        <f t="shared" si="17"/>
        <v>0</v>
      </c>
      <c r="G91" s="184">
        <f t="shared" si="17"/>
        <v>179547.01900028577</v>
      </c>
      <c r="H91" s="184">
        <f t="shared" si="17"/>
        <v>-16</v>
      </c>
      <c r="I91" s="184">
        <f t="shared" si="17"/>
        <v>-7679243.5780870318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176"/>
  <sheetViews>
    <sheetView zoomScale="75" workbookViewId="0">
      <pane xSplit="3" ySplit="9" topLeftCell="U64" activePane="bottomRight" state="frozen"/>
      <selection activeCell="AB9" sqref="AB9"/>
      <selection pane="topRight" activeCell="AB9" sqref="AB9"/>
      <selection pane="bottomLeft" activeCell="AB9" sqref="AB9"/>
      <selection pane="bottomRight" activeCell="AC90" sqref="AC90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34741183</v>
      </c>
      <c r="E11" s="38">
        <f>SUM(G11,I11,K11,M11,O11,Q11,S11,U11,W11,Y11,AA11,AC11,AE11)</f>
        <v>98382435.700000003</v>
      </c>
      <c r="F11" s="60">
        <f>'TIE-OUT'!V11+RECLASS!T11</f>
        <v>0</v>
      </c>
      <c r="G11" s="38">
        <f>'TIE-OUT'!W11+RECLASS!U11</f>
        <v>-650000</v>
      </c>
      <c r="H11" s="127">
        <v>33665997</v>
      </c>
      <c r="I11" s="127">
        <v>96806866</v>
      </c>
      <c r="J11" s="127">
        <v>271213</v>
      </c>
      <c r="K11" s="193">
        <v>78168</v>
      </c>
      <c r="L11" s="127">
        <v>1444698</v>
      </c>
      <c r="M11" s="193">
        <v>4208455</v>
      </c>
      <c r="N11" s="127">
        <v>-1525148</v>
      </c>
      <c r="O11" s="193">
        <v>-4621848</v>
      </c>
      <c r="P11" s="127">
        <v>758792</v>
      </c>
      <c r="Q11" s="128">
        <v>-23290</v>
      </c>
      <c r="R11" s="127">
        <v>42197</v>
      </c>
      <c r="S11" s="128">
        <v>2337353</v>
      </c>
      <c r="T11" s="127">
        <v>660</v>
      </c>
      <c r="U11" s="128">
        <v>634</v>
      </c>
      <c r="V11" s="127">
        <v>19239</v>
      </c>
      <c r="W11" s="128">
        <v>58657</v>
      </c>
      <c r="X11" s="127">
        <v>10000</v>
      </c>
      <c r="Y11" s="128">
        <v>27700</v>
      </c>
      <c r="Z11" s="127">
        <v>4009</v>
      </c>
      <c r="AA11" s="128">
        <v>12153.22</v>
      </c>
      <c r="AB11" s="127">
        <v>49526</v>
      </c>
      <c r="AC11" s="128">
        <v>147587.48000000001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-2515818.69</v>
      </c>
      <c r="F12" s="60">
        <f>'TIE-OUT'!V12+RECLASS!T12</f>
        <v>0</v>
      </c>
      <c r="G12" s="38">
        <f>'TIE-OUT'!W12+RECLASS!U12</f>
        <v>-2515818.69</v>
      </c>
      <c r="H12" s="127">
        <v>0</v>
      </c>
      <c r="I12" s="127">
        <v>0</v>
      </c>
      <c r="J12" s="127">
        <v>0</v>
      </c>
      <c r="K12" s="208">
        <v>0</v>
      </c>
      <c r="L12" s="127">
        <v>0</v>
      </c>
      <c r="M12" s="208">
        <v>0</v>
      </c>
      <c r="N12" s="127"/>
      <c r="O12" s="208"/>
      <c r="P12" s="127"/>
      <c r="Q12" s="128"/>
      <c r="R12" s="127"/>
      <c r="S12" s="128"/>
      <c r="T12" s="127"/>
      <c r="U12" s="128"/>
      <c r="V12" s="127"/>
      <c r="W12" s="128"/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v>0</v>
      </c>
      <c r="M13" s="193">
        <v>0</v>
      </c>
      <c r="N13" s="127"/>
      <c r="O13" s="193"/>
      <c r="P13" s="127"/>
      <c r="Q13" s="128"/>
      <c r="R13" s="127"/>
      <c r="S13" s="128"/>
      <c r="T13" s="127"/>
      <c r="U13" s="128"/>
      <c r="V13" s="127"/>
      <c r="W13" s="128"/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v>0</v>
      </c>
      <c r="M14" s="193">
        <v>0</v>
      </c>
      <c r="N14" s="127"/>
      <c r="O14" s="193"/>
      <c r="P14" s="127"/>
      <c r="Q14" s="128"/>
      <c r="R14" s="127"/>
      <c r="S14" s="128"/>
      <c r="T14" s="127"/>
      <c r="U14" s="128"/>
      <c r="V14" s="127"/>
      <c r="W14" s="128"/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120000</v>
      </c>
      <c r="F15" s="81">
        <f>'TIE-OUT'!V15+RECLASS!T15</f>
        <v>0</v>
      </c>
      <c r="G15" s="82">
        <f>'TIE-OUT'!W15+RECLASS!U15</f>
        <v>120000</v>
      </c>
      <c r="H15" s="127">
        <v>0</v>
      </c>
      <c r="I15" s="127">
        <v>0</v>
      </c>
      <c r="J15" s="127">
        <v>0</v>
      </c>
      <c r="K15" s="193">
        <v>0</v>
      </c>
      <c r="L15" s="127">
        <v>0</v>
      </c>
      <c r="M15" s="193">
        <v>0</v>
      </c>
      <c r="N15" s="127">
        <v>0</v>
      </c>
      <c r="O15" s="193">
        <v>0</v>
      </c>
      <c r="P15" s="127">
        <v>0</v>
      </c>
      <c r="Q15" s="128">
        <v>0</v>
      </c>
      <c r="R15" s="127">
        <v>0</v>
      </c>
      <c r="S15" s="128">
        <v>0</v>
      </c>
      <c r="T15" s="127">
        <v>0</v>
      </c>
      <c r="U15" s="128">
        <v>0</v>
      </c>
      <c r="V15" s="127">
        <v>0</v>
      </c>
      <c r="W15" s="128"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34741183</v>
      </c>
      <c r="E16" s="39">
        <f>SUM(E11:E15)</f>
        <v>95986617.010000005</v>
      </c>
      <c r="F16" s="61">
        <f t="shared" ref="F16:AE16" si="1">SUM(F11:F15)</f>
        <v>0</v>
      </c>
      <c r="G16" s="39">
        <f t="shared" si="1"/>
        <v>-3045818.69</v>
      </c>
      <c r="H16" s="61">
        <f t="shared" si="1"/>
        <v>33665997</v>
      </c>
      <c r="I16" s="61">
        <f t="shared" si="1"/>
        <v>96806866</v>
      </c>
      <c r="J16" s="61">
        <f t="shared" si="1"/>
        <v>271213</v>
      </c>
      <c r="K16" s="191">
        <f t="shared" si="1"/>
        <v>78168</v>
      </c>
      <c r="L16" s="61">
        <f t="shared" ref="L16:Q16" si="2">SUM(L11:L15)</f>
        <v>1444698</v>
      </c>
      <c r="M16" s="191">
        <f t="shared" si="2"/>
        <v>4208455</v>
      </c>
      <c r="N16" s="61">
        <f t="shared" si="2"/>
        <v>-1525148</v>
      </c>
      <c r="O16" s="191">
        <f t="shared" si="2"/>
        <v>-4621848</v>
      </c>
      <c r="P16" s="61">
        <f t="shared" si="2"/>
        <v>758792</v>
      </c>
      <c r="Q16" s="39">
        <f t="shared" si="2"/>
        <v>-23290</v>
      </c>
      <c r="R16" s="61">
        <f t="shared" ref="R16:W16" si="3">SUM(R11:R15)</f>
        <v>42197</v>
      </c>
      <c r="S16" s="39">
        <f t="shared" si="3"/>
        <v>2337353</v>
      </c>
      <c r="T16" s="61">
        <f t="shared" si="3"/>
        <v>660</v>
      </c>
      <c r="U16" s="39">
        <f t="shared" si="3"/>
        <v>634</v>
      </c>
      <c r="V16" s="61">
        <f t="shared" si="3"/>
        <v>19239</v>
      </c>
      <c r="W16" s="39">
        <f t="shared" si="3"/>
        <v>58657</v>
      </c>
      <c r="X16" s="61">
        <f t="shared" si="1"/>
        <v>10000</v>
      </c>
      <c r="Y16" s="39">
        <f t="shared" si="1"/>
        <v>27700</v>
      </c>
      <c r="Z16" s="61">
        <f t="shared" si="1"/>
        <v>4009</v>
      </c>
      <c r="AA16" s="39">
        <f t="shared" si="1"/>
        <v>12153.22</v>
      </c>
      <c r="AB16" s="61">
        <f t="shared" si="1"/>
        <v>49526</v>
      </c>
      <c r="AC16" s="39">
        <f t="shared" si="1"/>
        <v>147587.48000000001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173"/>
      <c r="N17" s="60"/>
      <c r="O17" s="173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173"/>
      <c r="N18" s="60"/>
      <c r="O18" s="173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-41785008</v>
      </c>
      <c r="E19" s="38">
        <f t="shared" si="4"/>
        <v>-116049167.18000001</v>
      </c>
      <c r="F19" s="64">
        <f>'TIE-OUT'!V19+RECLASS!T19</f>
        <v>0</v>
      </c>
      <c r="G19" s="68">
        <f>'TIE-OUT'!W19+RECLASS!U19</f>
        <v>0</v>
      </c>
      <c r="H19" s="127">
        <v>-40974026</v>
      </c>
      <c r="I19" s="127">
        <v>-113974942</v>
      </c>
      <c r="J19" s="127">
        <v>-139290</v>
      </c>
      <c r="K19" s="193">
        <v>-262801</v>
      </c>
      <c r="L19" s="127">
        <v>-1350516</v>
      </c>
      <c r="M19" s="193">
        <v>-2782814</v>
      </c>
      <c r="N19" s="127">
        <v>1587801</v>
      </c>
      <c r="O19" s="193">
        <v>3541297</v>
      </c>
      <c r="P19" s="127">
        <v>-778191</v>
      </c>
      <c r="Q19" s="128">
        <v>291</v>
      </c>
      <c r="R19" s="127">
        <v>-75954</v>
      </c>
      <c r="S19" s="128">
        <v>-2413572</v>
      </c>
      <c r="T19" s="127">
        <v>-10489</v>
      </c>
      <c r="U19" s="128">
        <v>-27618</v>
      </c>
      <c r="V19" s="127">
        <v>-40141</v>
      </c>
      <c r="W19" s="128">
        <v>-120624</v>
      </c>
      <c r="X19" s="127">
        <f>+Actuals!U9</f>
        <v>0</v>
      </c>
      <c r="Y19" s="128">
        <f>+Actuals!V9</f>
        <v>0</v>
      </c>
      <c r="Z19" s="127">
        <v>-4202</v>
      </c>
      <c r="AA19" s="128">
        <v>-12095.64</v>
      </c>
      <c r="AB19" s="127">
        <f>+Actuals!Y9</f>
        <v>0</v>
      </c>
      <c r="AC19" s="128">
        <v>3711.46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-1224202.1399999999</v>
      </c>
      <c r="F20" s="60">
        <f>'TIE-OUT'!V20+RECLASS!T20</f>
        <v>0</v>
      </c>
      <c r="G20" s="38">
        <f>'TIE-OUT'!W20+RECLASS!U20</f>
        <v>-1224202.1399999999</v>
      </c>
      <c r="H20" s="127">
        <v>0</v>
      </c>
      <c r="I20" s="127">
        <v>0</v>
      </c>
      <c r="J20" s="127">
        <v>0</v>
      </c>
      <c r="K20" s="208">
        <v>0</v>
      </c>
      <c r="L20" s="127">
        <v>0</v>
      </c>
      <c r="M20" s="208">
        <v>0</v>
      </c>
      <c r="N20" s="127">
        <v>0</v>
      </c>
      <c r="O20" s="208">
        <v>0</v>
      </c>
      <c r="P20" s="127">
        <v>0</v>
      </c>
      <c r="Q20" s="128">
        <v>0</v>
      </c>
      <c r="R20" s="127"/>
      <c r="S20" s="128"/>
      <c r="T20" s="127"/>
      <c r="U20" s="128"/>
      <c r="V20" s="127"/>
      <c r="W20" s="128"/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v>0</v>
      </c>
      <c r="M21" s="193">
        <v>0</v>
      </c>
      <c r="N21" s="127">
        <v>0</v>
      </c>
      <c r="O21" s="193">
        <v>0</v>
      </c>
      <c r="P21" s="127">
        <v>0</v>
      </c>
      <c r="Q21" s="128">
        <v>0</v>
      </c>
      <c r="R21" s="127">
        <v>0</v>
      </c>
      <c r="S21" s="128">
        <v>0</v>
      </c>
      <c r="T21" s="127">
        <v>0</v>
      </c>
      <c r="U21" s="128">
        <v>0</v>
      </c>
      <c r="V21" s="127">
        <v>0</v>
      </c>
      <c r="W21" s="128"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v>0</v>
      </c>
      <c r="M22" s="193">
        <v>0</v>
      </c>
      <c r="N22" s="127">
        <v>0</v>
      </c>
      <c r="O22" s="193">
        <v>0</v>
      </c>
      <c r="P22" s="127">
        <v>0</v>
      </c>
      <c r="Q22" s="128">
        <v>0</v>
      </c>
      <c r="R22" s="127">
        <v>0</v>
      </c>
      <c r="S22" s="128">
        <v>0</v>
      </c>
      <c r="T22" s="127">
        <v>0</v>
      </c>
      <c r="U22" s="128">
        <v>0</v>
      </c>
      <c r="V22" s="127">
        <v>0</v>
      </c>
      <c r="W22" s="128"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v>0</v>
      </c>
      <c r="M23" s="193">
        <v>0</v>
      </c>
      <c r="N23" s="127">
        <v>0</v>
      </c>
      <c r="O23" s="193">
        <v>0</v>
      </c>
      <c r="P23" s="127">
        <v>0</v>
      </c>
      <c r="Q23" s="128">
        <v>0</v>
      </c>
      <c r="R23" s="127">
        <v>0</v>
      </c>
      <c r="S23" s="128">
        <v>0</v>
      </c>
      <c r="T23" s="127">
        <v>0</v>
      </c>
      <c r="U23" s="128">
        <v>0</v>
      </c>
      <c r="V23" s="127">
        <v>0</v>
      </c>
      <c r="W23" s="128"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-41785008</v>
      </c>
      <c r="E24" s="39">
        <f>SUM(E19:E23)</f>
        <v>-117273369.32000001</v>
      </c>
      <c r="F24" s="61">
        <f t="shared" ref="F24:AE24" si="5">SUM(F19:F23)</f>
        <v>0</v>
      </c>
      <c r="G24" s="39">
        <f t="shared" si="5"/>
        <v>-1224202.1399999999</v>
      </c>
      <c r="H24" s="61">
        <f t="shared" si="5"/>
        <v>-40974026</v>
      </c>
      <c r="I24" s="61">
        <f t="shared" si="5"/>
        <v>-113974942</v>
      </c>
      <c r="J24" s="61">
        <f t="shared" si="5"/>
        <v>-139290</v>
      </c>
      <c r="K24" s="191">
        <f t="shared" si="5"/>
        <v>-262801</v>
      </c>
      <c r="L24" s="61">
        <f t="shared" ref="L24:Q24" si="6">SUM(L19:L23)</f>
        <v>-1350516</v>
      </c>
      <c r="M24" s="191">
        <f t="shared" si="6"/>
        <v>-2782814</v>
      </c>
      <c r="N24" s="61">
        <f t="shared" si="6"/>
        <v>1587801</v>
      </c>
      <c r="O24" s="191">
        <f t="shared" si="6"/>
        <v>3541297</v>
      </c>
      <c r="P24" s="61">
        <f t="shared" si="6"/>
        <v>-778191</v>
      </c>
      <c r="Q24" s="39">
        <f t="shared" si="6"/>
        <v>291</v>
      </c>
      <c r="R24" s="61">
        <f t="shared" ref="R24:W24" si="7">SUM(R19:R23)</f>
        <v>-75954</v>
      </c>
      <c r="S24" s="39">
        <f t="shared" si="7"/>
        <v>-2413572</v>
      </c>
      <c r="T24" s="61">
        <f t="shared" si="7"/>
        <v>-10489</v>
      </c>
      <c r="U24" s="39">
        <f t="shared" si="7"/>
        <v>-27618</v>
      </c>
      <c r="V24" s="61">
        <f t="shared" si="7"/>
        <v>-40141</v>
      </c>
      <c r="W24" s="39">
        <f t="shared" si="7"/>
        <v>-120624</v>
      </c>
      <c r="X24" s="61">
        <f t="shared" si="5"/>
        <v>0</v>
      </c>
      <c r="Y24" s="39">
        <f t="shared" si="5"/>
        <v>0</v>
      </c>
      <c r="Z24" s="61">
        <f t="shared" si="5"/>
        <v>-4202</v>
      </c>
      <c r="AA24" s="39">
        <f t="shared" si="5"/>
        <v>-12095.64</v>
      </c>
      <c r="AB24" s="61">
        <f t="shared" si="5"/>
        <v>0</v>
      </c>
      <c r="AC24" s="39">
        <f t="shared" si="5"/>
        <v>3711.46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173"/>
      <c r="N25" s="60"/>
      <c r="O25" s="173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173"/>
      <c r="N26" s="60"/>
      <c r="O26" s="173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12066266</v>
      </c>
      <c r="E27" s="38">
        <f>SUM(G27,I27,K27,M27,O27,Q27,S27,U27,W27,Y27,AA27,AC27,AE27)</f>
        <v>27743984</v>
      </c>
      <c r="F27" s="64">
        <f>'TIE-OUT'!V27+RECLASS!T27</f>
        <v>0</v>
      </c>
      <c r="G27" s="68">
        <f>'TIE-OUT'!W27+RECLASS!U27</f>
        <v>0</v>
      </c>
      <c r="H27" s="127">
        <f>6908450+114479</f>
        <v>7022929</v>
      </c>
      <c r="I27" s="127">
        <f>15895250+341552</f>
        <v>16236802</v>
      </c>
      <c r="J27" s="127">
        <f>4997980-7727</f>
        <v>4990253</v>
      </c>
      <c r="K27" s="193">
        <f>11420196-18093</f>
        <v>11402103</v>
      </c>
      <c r="L27" s="127">
        <v>-129420</v>
      </c>
      <c r="M27" s="193">
        <v>-300410</v>
      </c>
      <c r="N27" s="127">
        <v>631219</v>
      </c>
      <c r="O27" s="193">
        <v>1446754</v>
      </c>
      <c r="P27" s="127">
        <v>-455719</v>
      </c>
      <c r="Q27" s="128">
        <v>-1057320</v>
      </c>
      <c r="R27" s="127">
        <v>-16</v>
      </c>
      <c r="S27" s="128">
        <v>-37</v>
      </c>
      <c r="T27" s="127">
        <v>-551</v>
      </c>
      <c r="U27" s="128">
        <v>-1261</v>
      </c>
      <c r="V27" s="127">
        <v>-655</v>
      </c>
      <c r="W27" s="128">
        <v>-1506</v>
      </c>
      <c r="X27" s="127">
        <v>12660</v>
      </c>
      <c r="Y27" s="128">
        <v>29016.720000000001</v>
      </c>
      <c r="Z27" s="127">
        <v>-4434</v>
      </c>
      <c r="AA27" s="128">
        <v>-10157.719999999999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-4593426</v>
      </c>
      <c r="E28" s="38">
        <f>SUM(G28,I28,K28,M28,O28,Q28,S28,U28,W28,Y28,AA28,AC28,AE28)</f>
        <v>-10186416</v>
      </c>
      <c r="F28" s="81">
        <f>'TIE-OUT'!V28+RECLASS!T28</f>
        <v>0</v>
      </c>
      <c r="G28" s="82">
        <f>'TIE-OUT'!W28+RECLASS!U28</f>
        <v>0</v>
      </c>
      <c r="H28" s="127">
        <v>-4590704</v>
      </c>
      <c r="I28" s="127">
        <v>-10175364</v>
      </c>
      <c r="J28" s="127">
        <f>-237+10000</f>
        <v>9763</v>
      </c>
      <c r="K28" s="193">
        <f>376+27246</f>
        <v>27622</v>
      </c>
      <c r="L28" s="127">
        <v>6</v>
      </c>
      <c r="M28" s="193">
        <v>12</v>
      </c>
      <c r="N28" s="127">
        <v>1</v>
      </c>
      <c r="O28" s="193">
        <v>-836</v>
      </c>
      <c r="P28" s="127">
        <v>-2492</v>
      </c>
      <c r="Q28" s="128">
        <v>-7550</v>
      </c>
      <c r="R28" s="127"/>
      <c r="S28" s="128"/>
      <c r="T28" s="127"/>
      <c r="U28" s="128"/>
      <c r="V28" s="127">
        <v>-10000</v>
      </c>
      <c r="W28" s="128">
        <v>-30300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7472840</v>
      </c>
      <c r="E29" s="39">
        <f>SUM(E27:E28)</f>
        <v>17557568</v>
      </c>
      <c r="F29" s="61">
        <f t="shared" ref="F29:AE29" si="8">SUM(F27:F28)</f>
        <v>0</v>
      </c>
      <c r="G29" s="39">
        <f t="shared" si="8"/>
        <v>0</v>
      </c>
      <c r="H29" s="61">
        <f t="shared" si="8"/>
        <v>2432225</v>
      </c>
      <c r="I29" s="61">
        <f t="shared" si="8"/>
        <v>6061438</v>
      </c>
      <c r="J29" s="61">
        <f t="shared" si="8"/>
        <v>5000016</v>
      </c>
      <c r="K29" s="191">
        <f t="shared" si="8"/>
        <v>11429725</v>
      </c>
      <c r="L29" s="61">
        <f t="shared" ref="L29:Q29" si="9">SUM(L27:L28)</f>
        <v>-129414</v>
      </c>
      <c r="M29" s="191">
        <f t="shared" si="9"/>
        <v>-300398</v>
      </c>
      <c r="N29" s="61">
        <f t="shared" si="9"/>
        <v>631220</v>
      </c>
      <c r="O29" s="191">
        <f t="shared" si="9"/>
        <v>1445918</v>
      </c>
      <c r="P29" s="61">
        <f t="shared" si="9"/>
        <v>-458211</v>
      </c>
      <c r="Q29" s="39">
        <f t="shared" si="9"/>
        <v>-1064870</v>
      </c>
      <c r="R29" s="61">
        <f t="shared" ref="R29:W29" si="10">SUM(R27:R28)</f>
        <v>-16</v>
      </c>
      <c r="S29" s="39">
        <f t="shared" si="10"/>
        <v>-37</v>
      </c>
      <c r="T29" s="61">
        <f t="shared" si="10"/>
        <v>-551</v>
      </c>
      <c r="U29" s="39">
        <f t="shared" si="10"/>
        <v>-1261</v>
      </c>
      <c r="V29" s="61">
        <f t="shared" si="10"/>
        <v>-10655</v>
      </c>
      <c r="W29" s="39">
        <f t="shared" si="10"/>
        <v>-31806</v>
      </c>
      <c r="X29" s="61">
        <f t="shared" si="8"/>
        <v>12660</v>
      </c>
      <c r="Y29" s="39">
        <f t="shared" si="8"/>
        <v>29016.720000000001</v>
      </c>
      <c r="Z29" s="61">
        <f t="shared" si="8"/>
        <v>-4434</v>
      </c>
      <c r="AA29" s="39">
        <f t="shared" si="8"/>
        <v>-10157.719999999999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173"/>
      <c r="N30" s="60"/>
      <c r="O30" s="173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173"/>
      <c r="N31" s="60"/>
      <c r="O31" s="173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-397006</v>
      </c>
      <c r="E32" s="38">
        <f t="shared" si="11"/>
        <v>-1154096.01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105269</v>
      </c>
      <c r="K32" s="193">
        <v>306017</v>
      </c>
      <c r="L32" s="127">
        <v>143713</v>
      </c>
      <c r="M32" s="193">
        <v>417774</v>
      </c>
      <c r="N32" s="127">
        <v>-204804</v>
      </c>
      <c r="O32" s="193">
        <v>-595365</v>
      </c>
      <c r="P32" s="127">
        <v>-256649</v>
      </c>
      <c r="Q32" s="128">
        <v>-746079</v>
      </c>
      <c r="R32" s="127">
        <v>-29060</v>
      </c>
      <c r="S32" s="128">
        <v>-84477</v>
      </c>
      <c r="T32" s="127">
        <v>-140072</v>
      </c>
      <c r="U32" s="128">
        <v>-407189</v>
      </c>
      <c r="V32" s="127">
        <v>16769</v>
      </c>
      <c r="W32" s="128">
        <v>48747</v>
      </c>
      <c r="X32" s="127">
        <v>8952</v>
      </c>
      <c r="Y32" s="128">
        <v>26023.46</v>
      </c>
      <c r="Z32" s="127">
        <v>-11379</v>
      </c>
      <c r="AA32" s="128">
        <v>-33078.75</v>
      </c>
      <c r="AB32" s="127">
        <v>-29745</v>
      </c>
      <c r="AC32" s="128">
        <v>-86468.72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v>0</v>
      </c>
      <c r="M33" s="193">
        <v>0</v>
      </c>
      <c r="N33" s="127">
        <v>0</v>
      </c>
      <c r="O33" s="193">
        <v>0</v>
      </c>
      <c r="P33" s="127">
        <v>0</v>
      </c>
      <c r="Q33" s="128">
        <v>0</v>
      </c>
      <c r="R33" s="127">
        <v>0</v>
      </c>
      <c r="S33" s="128">
        <v>0</v>
      </c>
      <c r="T33" s="127">
        <v>0</v>
      </c>
      <c r="U33" s="128">
        <v>0</v>
      </c>
      <c r="V33" s="127">
        <v>0</v>
      </c>
      <c r="W33" s="128"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v>0</v>
      </c>
      <c r="M34" s="193">
        <v>0</v>
      </c>
      <c r="N34" s="127">
        <v>0</v>
      </c>
      <c r="O34" s="193">
        <v>0</v>
      </c>
      <c r="P34" s="127">
        <v>0</v>
      </c>
      <c r="Q34" s="128">
        <v>0</v>
      </c>
      <c r="R34" s="127">
        <v>0</v>
      </c>
      <c r="S34" s="128">
        <v>0</v>
      </c>
      <c r="T34" s="127">
        <v>0</v>
      </c>
      <c r="U34" s="128">
        <v>0</v>
      </c>
      <c r="V34" s="127">
        <v>0</v>
      </c>
      <c r="W34" s="128"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v>0</v>
      </c>
      <c r="M35" s="193">
        <v>0</v>
      </c>
      <c r="N35" s="127">
        <v>0</v>
      </c>
      <c r="O35" s="193">
        <v>0</v>
      </c>
      <c r="P35" s="127">
        <v>0</v>
      </c>
      <c r="Q35" s="128">
        <v>0</v>
      </c>
      <c r="R35" s="127">
        <v>0</v>
      </c>
      <c r="S35" s="128">
        <v>0</v>
      </c>
      <c r="T35" s="127">
        <v>0</v>
      </c>
      <c r="U35" s="128">
        <v>0</v>
      </c>
      <c r="V35" s="127">
        <v>0</v>
      </c>
      <c r="W35" s="128"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-397006</v>
      </c>
      <c r="E36" s="39">
        <f>SUM(E32:E35)</f>
        <v>-1154096.01</v>
      </c>
      <c r="F36" s="61">
        <f t="shared" ref="F36:AE36" si="12">SUM(F32:F35)</f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105269</v>
      </c>
      <c r="K36" s="191">
        <f t="shared" si="12"/>
        <v>306017</v>
      </c>
      <c r="L36" s="61">
        <f t="shared" ref="L36:Q36" si="13">SUM(L32:L35)</f>
        <v>143713</v>
      </c>
      <c r="M36" s="191">
        <f t="shared" si="13"/>
        <v>417774</v>
      </c>
      <c r="N36" s="61">
        <f t="shared" si="13"/>
        <v>-204804</v>
      </c>
      <c r="O36" s="191">
        <f t="shared" si="13"/>
        <v>-595365</v>
      </c>
      <c r="P36" s="61">
        <f t="shared" si="13"/>
        <v>-256649</v>
      </c>
      <c r="Q36" s="39">
        <f t="shared" si="13"/>
        <v>-746079</v>
      </c>
      <c r="R36" s="61">
        <f t="shared" ref="R36:W36" si="14">SUM(R32:R35)</f>
        <v>-29060</v>
      </c>
      <c r="S36" s="39">
        <f t="shared" si="14"/>
        <v>-84477</v>
      </c>
      <c r="T36" s="61">
        <f t="shared" si="14"/>
        <v>-140072</v>
      </c>
      <c r="U36" s="39">
        <f t="shared" si="14"/>
        <v>-407189</v>
      </c>
      <c r="V36" s="61">
        <f t="shared" si="14"/>
        <v>16769</v>
      </c>
      <c r="W36" s="39">
        <f t="shared" si="14"/>
        <v>48747</v>
      </c>
      <c r="X36" s="61">
        <f t="shared" si="12"/>
        <v>8952</v>
      </c>
      <c r="Y36" s="39">
        <f t="shared" si="12"/>
        <v>26023.46</v>
      </c>
      <c r="Z36" s="61">
        <f t="shared" si="12"/>
        <v>-11379</v>
      </c>
      <c r="AA36" s="39">
        <f t="shared" si="12"/>
        <v>-33078.75</v>
      </c>
      <c r="AB36" s="61">
        <f t="shared" si="12"/>
        <v>-29745</v>
      </c>
      <c r="AC36" s="39">
        <f t="shared" si="12"/>
        <v>-86468.72</v>
      </c>
      <c r="AD36" s="61">
        <f t="shared" si="12"/>
        <v>0</v>
      </c>
      <c r="AE36" s="39">
        <f t="shared" si="12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173"/>
      <c r="N37" s="60"/>
      <c r="O37" s="173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173"/>
      <c r="N38" s="60"/>
      <c r="O38" s="173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-876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0</v>
      </c>
      <c r="K39" s="193">
        <f>-876</f>
        <v>-876</v>
      </c>
      <c r="L39" s="127">
        <v>0</v>
      </c>
      <c r="M39" s="193">
        <v>0</v>
      </c>
      <c r="N39" s="127">
        <v>0</v>
      </c>
      <c r="O39" s="193">
        <v>0</v>
      </c>
      <c r="P39" s="127">
        <v>0</v>
      </c>
      <c r="Q39" s="128">
        <v>0</v>
      </c>
      <c r="R39" s="127">
        <v>0</v>
      </c>
      <c r="S39" s="128">
        <v>0</v>
      </c>
      <c r="T39" s="127">
        <v>0</v>
      </c>
      <c r="U39" s="128">
        <v>0</v>
      </c>
      <c r="V39" s="127">
        <v>0</v>
      </c>
      <c r="W39" s="128"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-420672</v>
      </c>
      <c r="E40" s="38">
        <f t="shared" si="15"/>
        <v>-946915.07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-421064</v>
      </c>
      <c r="K40" s="193">
        <f>-950628</f>
        <v>-950628</v>
      </c>
      <c r="L40" s="127">
        <v>392</v>
      </c>
      <c r="M40" s="193">
        <v>844</v>
      </c>
      <c r="N40" s="127"/>
      <c r="O40" s="193"/>
      <c r="P40" s="127"/>
      <c r="Q40" s="128">
        <v>-38</v>
      </c>
      <c r="R40" s="127"/>
      <c r="S40" s="128">
        <v>-4</v>
      </c>
      <c r="T40" s="127"/>
      <c r="U40" s="128">
        <v>2831</v>
      </c>
      <c r="V40" s="127"/>
      <c r="W40" s="128">
        <v>0</v>
      </c>
      <c r="X40" s="127">
        <f>+Actuals!U21</f>
        <v>0</v>
      </c>
      <c r="Y40" s="128">
        <v>79.930000000000007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-884369</v>
      </c>
      <c r="F41" s="81">
        <f>'TIE-OUT'!V41+RECLASS!T41</f>
        <v>0</v>
      </c>
      <c r="G41" s="82">
        <f>'TIE-OUT'!W41+RECLASS!U41</f>
        <v>-469242</v>
      </c>
      <c r="H41" s="127">
        <v>0</v>
      </c>
      <c r="I41" s="127">
        <v>0</v>
      </c>
      <c r="J41" s="127">
        <v>0</v>
      </c>
      <c r="K41" s="193">
        <v>0</v>
      </c>
      <c r="L41" s="127">
        <v>0</v>
      </c>
      <c r="M41" s="193">
        <v>0</v>
      </c>
      <c r="N41" s="127">
        <v>0</v>
      </c>
      <c r="O41" s="193">
        <v>0</v>
      </c>
      <c r="P41" s="127">
        <v>0</v>
      </c>
      <c r="Q41" s="158">
        <v>-415127</v>
      </c>
      <c r="R41" s="127">
        <v>0</v>
      </c>
      <c r="S41" s="128"/>
      <c r="T41" s="127">
        <v>0</v>
      </c>
      <c r="U41" s="128"/>
      <c r="V41" s="127">
        <v>0</v>
      </c>
      <c r="W41" s="128"/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-420672</v>
      </c>
      <c r="E42" s="39">
        <f>SUM(E40:E41)</f>
        <v>-1831284.0699999998</v>
      </c>
      <c r="F42" s="61">
        <f t="shared" ref="F42:AE42" si="16">SUM(F40:F41)</f>
        <v>0</v>
      </c>
      <c r="G42" s="39">
        <f t="shared" si="16"/>
        <v>-469242</v>
      </c>
      <c r="H42" s="61">
        <f t="shared" si="16"/>
        <v>0</v>
      </c>
      <c r="I42" s="61">
        <f t="shared" si="16"/>
        <v>0</v>
      </c>
      <c r="J42" s="61">
        <f t="shared" si="16"/>
        <v>-421064</v>
      </c>
      <c r="K42" s="191">
        <f t="shared" si="16"/>
        <v>-950628</v>
      </c>
      <c r="L42" s="61">
        <f t="shared" ref="L42:Q42" si="17">SUM(L40:L41)</f>
        <v>392</v>
      </c>
      <c r="M42" s="191">
        <f t="shared" si="17"/>
        <v>844</v>
      </c>
      <c r="N42" s="61">
        <f t="shared" si="17"/>
        <v>0</v>
      </c>
      <c r="O42" s="191">
        <f t="shared" si="17"/>
        <v>0</v>
      </c>
      <c r="P42" s="61">
        <f t="shared" si="17"/>
        <v>0</v>
      </c>
      <c r="Q42" s="39">
        <f t="shared" si="17"/>
        <v>-415165</v>
      </c>
      <c r="R42" s="61">
        <f t="shared" ref="R42:W42" si="18">SUM(R40:R41)</f>
        <v>0</v>
      </c>
      <c r="S42" s="39">
        <f t="shared" si="18"/>
        <v>-4</v>
      </c>
      <c r="T42" s="61">
        <f t="shared" si="18"/>
        <v>0</v>
      </c>
      <c r="U42" s="39">
        <f t="shared" si="18"/>
        <v>2831</v>
      </c>
      <c r="V42" s="61">
        <f t="shared" si="18"/>
        <v>0</v>
      </c>
      <c r="W42" s="39">
        <f t="shared" si="18"/>
        <v>0</v>
      </c>
      <c r="X42" s="61">
        <f t="shared" si="16"/>
        <v>0</v>
      </c>
      <c r="Y42" s="39">
        <f t="shared" si="16"/>
        <v>79.930000000000007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-420672</v>
      </c>
      <c r="E43" s="39">
        <f>E42+E39</f>
        <v>-1832160.0699999998</v>
      </c>
      <c r="F43" s="61">
        <f t="shared" ref="F43:AE43" si="19">F42+F39</f>
        <v>0</v>
      </c>
      <c r="G43" s="39">
        <f t="shared" si="19"/>
        <v>-469242</v>
      </c>
      <c r="H43" s="61">
        <f t="shared" si="19"/>
        <v>0</v>
      </c>
      <c r="I43" s="61">
        <f t="shared" si="19"/>
        <v>0</v>
      </c>
      <c r="J43" s="61">
        <f t="shared" si="19"/>
        <v>-421064</v>
      </c>
      <c r="K43" s="191">
        <f t="shared" si="19"/>
        <v>-951504</v>
      </c>
      <c r="L43" s="61">
        <f t="shared" ref="L43:Q43" si="20">L42+L39</f>
        <v>392</v>
      </c>
      <c r="M43" s="191">
        <f t="shared" si="20"/>
        <v>844</v>
      </c>
      <c r="N43" s="61">
        <f t="shared" si="20"/>
        <v>0</v>
      </c>
      <c r="O43" s="191">
        <f t="shared" si="20"/>
        <v>0</v>
      </c>
      <c r="P43" s="61">
        <f t="shared" si="20"/>
        <v>0</v>
      </c>
      <c r="Q43" s="39">
        <f t="shared" si="20"/>
        <v>-415165</v>
      </c>
      <c r="R43" s="61">
        <f t="shared" ref="R43:W43" si="21">R42+R39</f>
        <v>0</v>
      </c>
      <c r="S43" s="39">
        <f t="shared" si="21"/>
        <v>-4</v>
      </c>
      <c r="T43" s="61">
        <f t="shared" si="21"/>
        <v>0</v>
      </c>
      <c r="U43" s="39">
        <f t="shared" si="21"/>
        <v>2831</v>
      </c>
      <c r="V43" s="61">
        <f t="shared" si="21"/>
        <v>0</v>
      </c>
      <c r="W43" s="39">
        <f t="shared" si="21"/>
        <v>0</v>
      </c>
      <c r="X43" s="61">
        <f t="shared" si="19"/>
        <v>0</v>
      </c>
      <c r="Y43" s="39">
        <f t="shared" si="19"/>
        <v>79.930000000000007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173"/>
      <c r="N44" s="60"/>
      <c r="O44" s="173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v>0</v>
      </c>
      <c r="M45" s="193">
        <v>0</v>
      </c>
      <c r="N45" s="127">
        <v>0</v>
      </c>
      <c r="O45" s="193">
        <v>0</v>
      </c>
      <c r="P45" s="127">
        <v>0</v>
      </c>
      <c r="Q45" s="128">
        <v>0</v>
      </c>
      <c r="R45" s="127">
        <v>0</v>
      </c>
      <c r="S45" s="128">
        <v>0</v>
      </c>
      <c r="T45" s="127">
        <v>0</v>
      </c>
      <c r="U45" s="128">
        <v>0</v>
      </c>
      <c r="V45" s="127">
        <v>0</v>
      </c>
      <c r="W45" s="128"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173"/>
      <c r="N46" s="60"/>
      <c r="O46" s="173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v>0</v>
      </c>
      <c r="M47" s="193">
        <v>0</v>
      </c>
      <c r="N47" s="127">
        <v>0</v>
      </c>
      <c r="O47" s="193">
        <v>0</v>
      </c>
      <c r="P47" s="127">
        <v>0</v>
      </c>
      <c r="Q47" s="128">
        <v>0</v>
      </c>
      <c r="R47" s="127">
        <v>0</v>
      </c>
      <c r="S47" s="128">
        <v>0</v>
      </c>
      <c r="T47" s="127">
        <v>0</v>
      </c>
      <c r="U47" s="128">
        <v>0</v>
      </c>
      <c r="V47" s="127">
        <v>0</v>
      </c>
      <c r="W47" s="128"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173"/>
      <c r="N48" s="60"/>
      <c r="O48" s="173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388663</v>
      </c>
      <c r="E49" s="38">
        <f>SUM(G49,I49,K49,M49,O49,Q49,S49,U49,W49,Y49,AA49,AC49,AE49)</f>
        <v>1129842.9899999998</v>
      </c>
      <c r="F49" s="60">
        <f>'TIE-OUT'!V49+RECLASS!T49</f>
        <v>0</v>
      </c>
      <c r="G49" s="38">
        <f>'TIE-OUT'!W49+RECLASS!U49</f>
        <v>0</v>
      </c>
      <c r="H49" s="127">
        <v>4875804</v>
      </c>
      <c r="I49" s="127">
        <v>14173962</v>
      </c>
      <c r="J49" s="127">
        <v>-4816144</v>
      </c>
      <c r="K49" s="193">
        <v>-14000531</v>
      </c>
      <c r="L49" s="127">
        <v>-108873</v>
      </c>
      <c r="M49" s="193">
        <v>-316494</v>
      </c>
      <c r="N49" s="127">
        <v>-489069</v>
      </c>
      <c r="O49" s="193">
        <v>-1421724</v>
      </c>
      <c r="P49" s="127">
        <v>734259</v>
      </c>
      <c r="Q49" s="128">
        <v>2134491</v>
      </c>
      <c r="R49" s="127">
        <v>62833</v>
      </c>
      <c r="S49" s="128">
        <v>182656</v>
      </c>
      <c r="T49" s="127">
        <v>150452</v>
      </c>
      <c r="U49" s="128">
        <v>437364</v>
      </c>
      <c r="V49" s="127">
        <v>14788</v>
      </c>
      <c r="W49" s="128">
        <v>42989</v>
      </c>
      <c r="X49" s="127">
        <v>-31612</v>
      </c>
      <c r="Y49" s="128">
        <v>-91896.08</v>
      </c>
      <c r="Z49" s="127">
        <v>16006</v>
      </c>
      <c r="AA49" s="128">
        <v>46529.440000000002</v>
      </c>
      <c r="AB49" s="127">
        <v>-19781</v>
      </c>
      <c r="AC49" s="128">
        <v>-57503.37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60"/>
      <c r="M50" s="173"/>
      <c r="N50" s="60"/>
      <c r="O50" s="173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f>-168329+168329</f>
        <v>0</v>
      </c>
      <c r="M51" s="193">
        <f>-441022+441022</f>
        <v>0</v>
      </c>
      <c r="N51" s="127">
        <f>-168329+168329</f>
        <v>0</v>
      </c>
      <c r="O51" s="193">
        <f>-441022+441022</f>
        <v>0</v>
      </c>
      <c r="P51" s="127">
        <f>-168329+168329</f>
        <v>0</v>
      </c>
      <c r="Q51" s="128">
        <f>-441022+441022</f>
        <v>0</v>
      </c>
      <c r="R51" s="127">
        <f>-168329+168329</f>
        <v>0</v>
      </c>
      <c r="S51" s="128">
        <f>-441022+441022</f>
        <v>0</v>
      </c>
      <c r="T51" s="127">
        <f>-168329+168329</f>
        <v>0</v>
      </c>
      <c r="U51" s="128">
        <f>-441022+441022</f>
        <v>0</v>
      </c>
      <c r="V51" s="127">
        <f>-168329+168329</f>
        <v>0</v>
      </c>
      <c r="W51" s="128">
        <f>-441022+441022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173"/>
      <c r="N52" s="60"/>
      <c r="O52" s="173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173"/>
      <c r="N53" s="60"/>
      <c r="O53" s="173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-51207</v>
      </c>
      <c r="E54" s="38">
        <f>SUM(G54,I54,K54,M54,O54,Q54,S54,U54,W54,Y54,AA54,AC54,AE54)</f>
        <v>-1511557.35</v>
      </c>
      <c r="F54" s="64">
        <f>'TIE-OUT'!V54+RECLASS!T54</f>
        <v>0</v>
      </c>
      <c r="G54" s="68">
        <f>'TIE-OUT'!W54+RECLASS!U54</f>
        <v>-1588205</v>
      </c>
      <c r="H54" s="127">
        <v>0</v>
      </c>
      <c r="I54" s="127">
        <v>0</v>
      </c>
      <c r="J54" s="127">
        <f>-2980308+2980308</f>
        <v>0</v>
      </c>
      <c r="K54" s="208">
        <v>336853</v>
      </c>
      <c r="L54" s="127">
        <f>-2980308+2980308</f>
        <v>0</v>
      </c>
      <c r="M54" s="208">
        <v>0</v>
      </c>
      <c r="N54" s="127">
        <f>-2980308+2980308</f>
        <v>0</v>
      </c>
      <c r="O54" s="208">
        <v>0</v>
      </c>
      <c r="P54" s="127">
        <f>-2980308+2980308</f>
        <v>0</v>
      </c>
      <c r="Q54" s="128">
        <v>0</v>
      </c>
      <c r="R54" s="127">
        <f>-2980308+2980308</f>
        <v>0</v>
      </c>
      <c r="S54" s="128">
        <v>0</v>
      </c>
      <c r="T54" s="127">
        <f>-2980308+2980308</f>
        <v>0</v>
      </c>
      <c r="U54" s="155">
        <v>-259955</v>
      </c>
      <c r="V54" s="127">
        <f>-2980308+2980308</f>
        <v>0</v>
      </c>
      <c r="W54" s="155">
        <v>0</v>
      </c>
      <c r="X54" s="127">
        <v>353743</v>
      </c>
      <c r="Y54" s="128">
        <v>664.2</v>
      </c>
      <c r="Z54" s="127">
        <v>-356790</v>
      </c>
      <c r="AA54" s="128">
        <v>-664.2</v>
      </c>
      <c r="AB54" s="127">
        <v>-48160</v>
      </c>
      <c r="AC54" s="128">
        <v>-250.35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96648.89</v>
      </c>
      <c r="F55" s="81">
        <f>'TIE-OUT'!V55+RECLASS!T55</f>
        <v>0</v>
      </c>
      <c r="G55" s="82">
        <f>'TIE-OUT'!W55+RECLASS!U55</f>
        <v>93300</v>
      </c>
      <c r="H55" s="127">
        <v>0</v>
      </c>
      <c r="I55" s="127">
        <v>0</v>
      </c>
      <c r="J55" s="127">
        <v>0</v>
      </c>
      <c r="K55" s="193">
        <v>0</v>
      </c>
      <c r="L55" s="127">
        <v>0</v>
      </c>
      <c r="M55" s="193">
        <v>0</v>
      </c>
      <c r="N55" s="127">
        <v>0</v>
      </c>
      <c r="O55" s="193">
        <v>0</v>
      </c>
      <c r="P55" s="127">
        <v>0</v>
      </c>
      <c r="Q55" s="128">
        <v>0</v>
      </c>
      <c r="R55" s="127">
        <v>0</v>
      </c>
      <c r="S55" s="128">
        <v>0</v>
      </c>
      <c r="T55" s="127">
        <v>0</v>
      </c>
      <c r="U55" s="128">
        <v>0</v>
      </c>
      <c r="V55" s="127">
        <v>0</v>
      </c>
      <c r="W55" s="128">
        <v>0</v>
      </c>
      <c r="X55" s="127">
        <f>+Actuals!U28</f>
        <v>0</v>
      </c>
      <c r="Y55" s="128">
        <v>2998.89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v>350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-51207</v>
      </c>
      <c r="E56" s="39">
        <f>SUM(E54:E55)</f>
        <v>-1414908.4600000002</v>
      </c>
      <c r="F56" s="61">
        <f t="shared" ref="F56:AE56" si="22">SUM(F54:F55)</f>
        <v>0</v>
      </c>
      <c r="G56" s="39">
        <f t="shared" si="22"/>
        <v>-1494905</v>
      </c>
      <c r="H56" s="61">
        <f t="shared" si="22"/>
        <v>0</v>
      </c>
      <c r="I56" s="61">
        <f t="shared" si="22"/>
        <v>0</v>
      </c>
      <c r="J56" s="61">
        <f t="shared" si="22"/>
        <v>0</v>
      </c>
      <c r="K56" s="191">
        <f t="shared" si="22"/>
        <v>336853</v>
      </c>
      <c r="L56" s="61">
        <f t="shared" ref="L56:Q56" si="23">SUM(L54:L55)</f>
        <v>0</v>
      </c>
      <c r="M56" s="191">
        <f t="shared" si="23"/>
        <v>0</v>
      </c>
      <c r="N56" s="61">
        <f t="shared" si="23"/>
        <v>0</v>
      </c>
      <c r="O56" s="191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ref="R56:W56" si="24">SUM(R54:R55)</f>
        <v>0</v>
      </c>
      <c r="S56" s="39">
        <f t="shared" si="24"/>
        <v>0</v>
      </c>
      <c r="T56" s="61">
        <f t="shared" si="24"/>
        <v>0</v>
      </c>
      <c r="U56" s="39">
        <f t="shared" si="24"/>
        <v>-259955</v>
      </c>
      <c r="V56" s="61">
        <f t="shared" si="24"/>
        <v>0</v>
      </c>
      <c r="W56" s="39">
        <f t="shared" si="24"/>
        <v>0</v>
      </c>
      <c r="X56" s="61">
        <f t="shared" si="22"/>
        <v>353743</v>
      </c>
      <c r="Y56" s="39">
        <f t="shared" si="22"/>
        <v>3663.09</v>
      </c>
      <c r="Z56" s="61">
        <f t="shared" si="22"/>
        <v>-356790</v>
      </c>
      <c r="AA56" s="39">
        <f t="shared" si="22"/>
        <v>-664.2</v>
      </c>
      <c r="AB56" s="61">
        <f t="shared" si="22"/>
        <v>-48160</v>
      </c>
      <c r="AC56" s="39">
        <f t="shared" si="22"/>
        <v>99.65</v>
      </c>
      <c r="AD56" s="61">
        <f t="shared" si="22"/>
        <v>0</v>
      </c>
      <c r="AE56" s="39">
        <f t="shared" si="22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173"/>
      <c r="N57" s="60"/>
      <c r="O57" s="173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173"/>
      <c r="N58" s="60"/>
      <c r="O58" s="173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f>4794416-4794416</f>
        <v>0</v>
      </c>
      <c r="M59" s="193">
        <f>29830-29830</f>
        <v>0</v>
      </c>
      <c r="N59" s="127">
        <f>4794416-4794416</f>
        <v>0</v>
      </c>
      <c r="O59" s="193">
        <f>29830-29830</f>
        <v>0</v>
      </c>
      <c r="P59" s="127">
        <f>4794416-4794416</f>
        <v>0</v>
      </c>
      <c r="Q59" s="128">
        <f>29830-29830</f>
        <v>0</v>
      </c>
      <c r="R59" s="127">
        <f>4794416-4794416</f>
        <v>0</v>
      </c>
      <c r="S59" s="128">
        <f>29830-29830</f>
        <v>0</v>
      </c>
      <c r="T59" s="127">
        <f>4794416-4794416</f>
        <v>0</v>
      </c>
      <c r="U59" s="128">
        <f>29830-29830</f>
        <v>0</v>
      </c>
      <c r="V59" s="127">
        <f>4794416-4794416</f>
        <v>0</v>
      </c>
      <c r="W59" s="128">
        <f>29830-29830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9151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v>0</v>
      </c>
      <c r="M60" s="193">
        <f>123262-123262</f>
        <v>0</v>
      </c>
      <c r="N60" s="127">
        <v>0</v>
      </c>
      <c r="O60" s="193">
        <f>123262-123262</f>
        <v>0</v>
      </c>
      <c r="P60" s="127">
        <v>0</v>
      </c>
      <c r="Q60" s="128">
        <f>123262-123262</f>
        <v>0</v>
      </c>
      <c r="R60" s="127">
        <v>0</v>
      </c>
      <c r="S60" s="128">
        <f>-32576+41727</f>
        <v>9151</v>
      </c>
      <c r="T60" s="127">
        <v>0</v>
      </c>
      <c r="U60" s="128"/>
      <c r="V60" s="127">
        <v>0</v>
      </c>
      <c r="W60" s="128"/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9151</v>
      </c>
      <c r="F61" s="61">
        <f t="shared" ref="F61:AE61" si="25">SUM(F59:F60)</f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191">
        <f t="shared" si="25"/>
        <v>0</v>
      </c>
      <c r="L61" s="61">
        <f t="shared" ref="L61:Q61" si="26">SUM(L59:L60)</f>
        <v>0</v>
      </c>
      <c r="M61" s="191">
        <f t="shared" si="26"/>
        <v>0</v>
      </c>
      <c r="N61" s="61">
        <f t="shared" si="26"/>
        <v>0</v>
      </c>
      <c r="O61" s="191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ref="R61:W61" si="27">SUM(R59:R60)</f>
        <v>0</v>
      </c>
      <c r="S61" s="39">
        <f t="shared" si="27"/>
        <v>9151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si="25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173"/>
      <c r="N62" s="60"/>
      <c r="O62" s="173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173"/>
      <c r="N63" s="60"/>
      <c r="O63" s="173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10000</v>
      </c>
      <c r="F64" s="64">
        <f>'TIE-OUT'!V64+RECLASS!T64</f>
        <v>0</v>
      </c>
      <c r="G64" s="68">
        <f>'TIE-OUT'!W64+RECLASS!U64</f>
        <v>10000</v>
      </c>
      <c r="H64" s="127">
        <v>0</v>
      </c>
      <c r="I64" s="127">
        <v>0</v>
      </c>
      <c r="J64" s="127">
        <v>0</v>
      </c>
      <c r="K64" s="193">
        <f>2627-2627</f>
        <v>0</v>
      </c>
      <c r="L64" s="127">
        <v>0</v>
      </c>
      <c r="M64" s="193">
        <f>2627-2627</f>
        <v>0</v>
      </c>
      <c r="N64" s="127">
        <v>0</v>
      </c>
      <c r="O64" s="193">
        <f>2627-2627</f>
        <v>0</v>
      </c>
      <c r="P64" s="127">
        <v>0</v>
      </c>
      <c r="Q64" s="128">
        <f>2627-2627</f>
        <v>0</v>
      </c>
      <c r="R64" s="127">
        <v>0</v>
      </c>
      <c r="S64" s="128">
        <f>2627-2627</f>
        <v>0</v>
      </c>
      <c r="T64" s="127">
        <v>0</v>
      </c>
      <c r="U64" s="128">
        <f>2627-2627</f>
        <v>0</v>
      </c>
      <c r="V64" s="127">
        <v>0</v>
      </c>
      <c r="W64" s="128">
        <f>2627-2627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v>0</v>
      </c>
      <c r="M65" s="193">
        <v>0</v>
      </c>
      <c r="N65" s="127">
        <v>0</v>
      </c>
      <c r="O65" s="193">
        <v>0</v>
      </c>
      <c r="P65" s="127">
        <v>0</v>
      </c>
      <c r="Q65" s="128">
        <v>0</v>
      </c>
      <c r="R65" s="127">
        <v>0</v>
      </c>
      <c r="S65" s="128"/>
      <c r="T65" s="127">
        <v>0</v>
      </c>
      <c r="U65" s="128"/>
      <c r="V65" s="127">
        <v>0</v>
      </c>
      <c r="W65" s="128"/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70000</v>
      </c>
      <c r="F66" s="61">
        <f t="shared" ref="F66:AE66" si="28">SUM(F64:F65)</f>
        <v>0</v>
      </c>
      <c r="G66" s="39">
        <f t="shared" si="28"/>
        <v>10000</v>
      </c>
      <c r="H66" s="61">
        <f t="shared" si="28"/>
        <v>0</v>
      </c>
      <c r="I66" s="61">
        <f t="shared" si="28"/>
        <v>60000</v>
      </c>
      <c r="J66" s="61">
        <f t="shared" si="28"/>
        <v>0</v>
      </c>
      <c r="K66" s="191">
        <f t="shared" si="28"/>
        <v>0</v>
      </c>
      <c r="L66" s="61">
        <f t="shared" ref="L66:Q66" si="29">SUM(L64:L65)</f>
        <v>0</v>
      </c>
      <c r="M66" s="191">
        <f t="shared" si="29"/>
        <v>0</v>
      </c>
      <c r="N66" s="61">
        <f t="shared" si="29"/>
        <v>0</v>
      </c>
      <c r="O66" s="191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ref="R66:W66" si="30">SUM(R64:R65)</f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si="28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173"/>
      <c r="N67" s="60"/>
      <c r="O67" s="173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173"/>
      <c r="N68" s="60"/>
      <c r="O68" s="173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173"/>
      <c r="N69" s="60"/>
      <c r="O69" s="173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v>0</v>
      </c>
      <c r="M70" s="193">
        <v>0</v>
      </c>
      <c r="N70" s="127">
        <v>0</v>
      </c>
      <c r="O70" s="193">
        <v>0</v>
      </c>
      <c r="P70" s="127">
        <v>0</v>
      </c>
      <c r="Q70" s="128">
        <v>0</v>
      </c>
      <c r="R70" s="127">
        <v>0</v>
      </c>
      <c r="S70" s="128">
        <v>0</v>
      </c>
      <c r="T70" s="127">
        <v>0</v>
      </c>
      <c r="U70" s="128">
        <v>0</v>
      </c>
      <c r="V70" s="127">
        <v>0</v>
      </c>
      <c r="W70" s="128"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v>0</v>
      </c>
      <c r="M71" s="193">
        <v>0</v>
      </c>
      <c r="N71" s="127">
        <v>0</v>
      </c>
      <c r="O71" s="193">
        <v>0</v>
      </c>
      <c r="P71" s="127">
        <v>0</v>
      </c>
      <c r="Q71" s="128">
        <v>0</v>
      </c>
      <c r="R71" s="127">
        <v>0</v>
      </c>
      <c r="S71" s="128">
        <v>0</v>
      </c>
      <c r="T71" s="127">
        <v>0</v>
      </c>
      <c r="U71" s="128">
        <v>0</v>
      </c>
      <c r="V71" s="127">
        <v>0</v>
      </c>
      <c r="W71" s="128"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31">SUM(F70:F71)</f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191">
        <f t="shared" si="31"/>
        <v>0</v>
      </c>
      <c r="L72" s="61">
        <f t="shared" ref="L72:Q72" si="32">SUM(L70:L71)</f>
        <v>0</v>
      </c>
      <c r="M72" s="191">
        <f t="shared" si="32"/>
        <v>0</v>
      </c>
      <c r="N72" s="61">
        <f t="shared" si="32"/>
        <v>0</v>
      </c>
      <c r="O72" s="191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ref="R72:W72" si="33">SUM(R70:R71)</f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si="31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v>0</v>
      </c>
      <c r="M73" s="193">
        <v>0</v>
      </c>
      <c r="N73" s="127">
        <v>0</v>
      </c>
      <c r="O73" s="193">
        <v>0</v>
      </c>
      <c r="P73" s="127">
        <v>0</v>
      </c>
      <c r="Q73" s="128">
        <v>0</v>
      </c>
      <c r="R73" s="127">
        <v>0</v>
      </c>
      <c r="S73" s="128">
        <v>0</v>
      </c>
      <c r="T73" s="127">
        <v>0</v>
      </c>
      <c r="U73" s="128">
        <v>0</v>
      </c>
      <c r="V73" s="127">
        <v>0</v>
      </c>
      <c r="W73" s="128"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-697178</v>
      </c>
      <c r="F74" s="60">
        <f>'TIE-OUT'!V74+RECLASS!T74</f>
        <v>0</v>
      </c>
      <c r="G74" s="60">
        <f>'TIE-OUT'!W74+RECLASS!U74</f>
        <v>-902978</v>
      </c>
      <c r="H74" s="127">
        <v>0</v>
      </c>
      <c r="I74" s="127">
        <v>0</v>
      </c>
      <c r="J74" s="127">
        <v>0</v>
      </c>
      <c r="K74" s="193">
        <v>0</v>
      </c>
      <c r="L74" s="127">
        <v>0</v>
      </c>
      <c r="M74" s="208">
        <v>205800</v>
      </c>
      <c r="N74" s="127">
        <v>0</v>
      </c>
      <c r="O74" s="208"/>
      <c r="P74" s="127">
        <v>0</v>
      </c>
      <c r="Q74" s="128"/>
      <c r="R74" s="127">
        <v>0</v>
      </c>
      <c r="S74" s="128"/>
      <c r="T74" s="127">
        <v>0</v>
      </c>
      <c r="U74" s="128"/>
      <c r="V74" s="127">
        <v>0</v>
      </c>
      <c r="W74" s="128"/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v>0</v>
      </c>
      <c r="M75" s="193">
        <v>0</v>
      </c>
      <c r="N75" s="127">
        <v>0</v>
      </c>
      <c r="O75" s="193">
        <v>0</v>
      </c>
      <c r="P75" s="127">
        <v>0</v>
      </c>
      <c r="Q75" s="128">
        <v>0</v>
      </c>
      <c r="R75" s="127">
        <v>0</v>
      </c>
      <c r="S75" s="128">
        <v>0</v>
      </c>
      <c r="T75" s="127">
        <v>0</v>
      </c>
      <c r="U75" s="128">
        <v>0</v>
      </c>
      <c r="V75" s="127">
        <v>0</v>
      </c>
      <c r="W75" s="128"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-4125</v>
      </c>
      <c r="F76" s="60">
        <f>'TIE-OUT'!V76+RECLASS!T76</f>
        <v>0</v>
      </c>
      <c r="G76" s="60">
        <f>'TIE-OUT'!W76+RECLASS!U76</f>
        <v>-4125</v>
      </c>
      <c r="H76" s="127">
        <v>0</v>
      </c>
      <c r="I76" s="127">
        <v>0</v>
      </c>
      <c r="J76" s="127">
        <v>0</v>
      </c>
      <c r="K76" s="193">
        <v>0</v>
      </c>
      <c r="L76" s="127">
        <v>0</v>
      </c>
      <c r="M76" s="193">
        <v>0</v>
      </c>
      <c r="N76" s="127">
        <v>0</v>
      </c>
      <c r="O76" s="193">
        <v>0</v>
      </c>
      <c r="P76" s="127">
        <v>0</v>
      </c>
      <c r="Q76" s="128">
        <v>0</v>
      </c>
      <c r="R76" s="127">
        <v>0</v>
      </c>
      <c r="S76" s="128">
        <v>0</v>
      </c>
      <c r="T76" s="127">
        <v>0</v>
      </c>
      <c r="U76" s="128">
        <v>0</v>
      </c>
      <c r="V76" s="127">
        <v>0</v>
      </c>
      <c r="W76" s="128"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-108300</v>
      </c>
      <c r="F77" s="60">
        <f>'TIE-OUT'!V77+RECLASS!T77</f>
        <v>0</v>
      </c>
      <c r="G77" s="60">
        <f>'TIE-OUT'!W77+RECLASS!U77</f>
        <v>-108300</v>
      </c>
      <c r="H77" s="127">
        <v>0</v>
      </c>
      <c r="I77" s="127">
        <v>0</v>
      </c>
      <c r="J77" s="127">
        <v>0</v>
      </c>
      <c r="K77" s="193">
        <v>0</v>
      </c>
      <c r="L77" s="127">
        <v>0</v>
      </c>
      <c r="M77" s="193">
        <v>0</v>
      </c>
      <c r="N77" s="127">
        <v>0</v>
      </c>
      <c r="O77" s="193">
        <v>0</v>
      </c>
      <c r="P77" s="127">
        <v>0</v>
      </c>
      <c r="Q77" s="128">
        <v>0</v>
      </c>
      <c r="R77" s="127">
        <v>0</v>
      </c>
      <c r="S77" s="128">
        <v>0</v>
      </c>
      <c r="T77" s="127">
        <v>0</v>
      </c>
      <c r="U77" s="128">
        <v>0</v>
      </c>
      <c r="V77" s="127">
        <v>0</v>
      </c>
      <c r="W77" s="128"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v>0</v>
      </c>
      <c r="M78" s="193">
        <v>0</v>
      </c>
      <c r="N78" s="127">
        <v>0</v>
      </c>
      <c r="O78" s="193">
        <v>0</v>
      </c>
      <c r="P78" s="127">
        <v>0</v>
      </c>
      <c r="Q78" s="128">
        <v>0</v>
      </c>
      <c r="R78" s="127">
        <v>0</v>
      </c>
      <c r="S78" s="128">
        <v>0</v>
      </c>
      <c r="T78" s="127">
        <v>0</v>
      </c>
      <c r="U78" s="128">
        <v>0</v>
      </c>
      <c r="V78" s="127">
        <v>0</v>
      </c>
      <c r="W78" s="128"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v>0</v>
      </c>
      <c r="M79" s="193">
        <v>0</v>
      </c>
      <c r="N79" s="127">
        <v>0</v>
      </c>
      <c r="O79" s="193">
        <v>0</v>
      </c>
      <c r="P79" s="127">
        <v>0</v>
      </c>
      <c r="Q79" s="128">
        <v>0</v>
      </c>
      <c r="R79" s="127">
        <v>0</v>
      </c>
      <c r="S79" s="128">
        <v>0</v>
      </c>
      <c r="T79" s="127">
        <v>0</v>
      </c>
      <c r="U79" s="128">
        <v>0</v>
      </c>
      <c r="V79" s="127">
        <v>0</v>
      </c>
      <c r="W79" s="128"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v>0</v>
      </c>
      <c r="M80" s="193">
        <v>0</v>
      </c>
      <c r="N80" s="127">
        <v>0</v>
      </c>
      <c r="O80" s="193">
        <v>0</v>
      </c>
      <c r="P80" s="127">
        <v>0</v>
      </c>
      <c r="Q80" s="128">
        <v>0</v>
      </c>
      <c r="R80" s="127">
        <v>0</v>
      </c>
      <c r="S80" s="128">
        <v>0</v>
      </c>
      <c r="T80" s="127">
        <v>0</v>
      </c>
      <c r="U80" s="128">
        <v>0</v>
      </c>
      <c r="V80" s="127">
        <v>0</v>
      </c>
      <c r="W80" s="128"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650000</v>
      </c>
      <c r="F81" s="60">
        <f>'TIE-OUT'!V81+RECLASS!T81</f>
        <v>0</v>
      </c>
      <c r="G81" s="60">
        <f>'TIE-OUT'!W81+RECLASS!U81</f>
        <v>650000</v>
      </c>
      <c r="H81" s="127">
        <v>0</v>
      </c>
      <c r="I81" s="127">
        <v>0</v>
      </c>
      <c r="J81" s="127">
        <v>0</v>
      </c>
      <c r="K81" s="193">
        <v>0</v>
      </c>
      <c r="L81" s="127">
        <v>0</v>
      </c>
      <c r="M81" s="193">
        <v>0</v>
      </c>
      <c r="N81" s="127">
        <v>0</v>
      </c>
      <c r="O81" s="193">
        <v>0</v>
      </c>
      <c r="P81" s="127">
        <v>0</v>
      </c>
      <c r="Q81" s="128">
        <v>0</v>
      </c>
      <c r="R81" s="127">
        <v>0</v>
      </c>
      <c r="S81" s="128">
        <v>0</v>
      </c>
      <c r="T81" s="127">
        <v>0</v>
      </c>
      <c r="U81" s="128">
        <v>0</v>
      </c>
      <c r="V81" s="127">
        <v>0</v>
      </c>
      <c r="W81" s="128"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-7080957.8600000022</v>
      </c>
      <c r="F82" s="91">
        <f>F16+F24+F29+F36+F43+F45+F47+F49</f>
        <v>0</v>
      </c>
      <c r="G82" s="92">
        <f>SUM(G72:G81)+G16+G24+G29+G36+G43+G45+G47+G49+G51+G56+G61+G66</f>
        <v>-6589570.8300000001</v>
      </c>
      <c r="H82" s="91">
        <f>H16+H24+H29+H36+H43+H45+H47+H49</f>
        <v>0</v>
      </c>
      <c r="I82" s="92">
        <f>SUM(I72:I81)+I16+I24+I29+I36+I43+I45+I47+I49+I51+I56+I61+I66</f>
        <v>3127324</v>
      </c>
      <c r="J82" s="91">
        <f>J16+J24+J29+J36+J43+J45+J47+J49</f>
        <v>0</v>
      </c>
      <c r="K82" s="110">
        <f>SUM(K72:K81)+K16+K24+K29+K36+K43+K45+K47+K49+K51+K56+K61+K66</f>
        <v>-3064073</v>
      </c>
      <c r="L82" s="91">
        <f>L16+L24+L29+L36+L43+L45+L47+L49</f>
        <v>0</v>
      </c>
      <c r="M82" s="92">
        <f>SUM(M72:M81)+M16+M24+M29+M36+M43+M45+M47+M49+M51+M56+M61+M66</f>
        <v>1433167</v>
      </c>
      <c r="N82" s="91">
        <f>N16+N24+N29+N36+N43+N45+N47+N49</f>
        <v>0</v>
      </c>
      <c r="O82" s="92">
        <f>SUM(O72:O81)+O16+O24+O29+O36+O43+O45+O47+O49+O51+O56+O61+O66</f>
        <v>-1651722</v>
      </c>
      <c r="P82" s="91">
        <f>P16+P24+P29+P36+P43+P45+P47+P49</f>
        <v>0</v>
      </c>
      <c r="Q82" s="92">
        <f>SUM(Q72:Q81)+Q16+Q24+Q29+Q36+Q43+Q45+Q47+Q49+Q51+Q56+Q61+Q66</f>
        <v>-114622</v>
      </c>
      <c r="R82" s="91">
        <f>R16+R24+R29+R36+R43+R45+R47+R49</f>
        <v>0</v>
      </c>
      <c r="S82" s="92">
        <f>SUM(S72:S81)+S16+S24+S29+S36+S43+S45+S47+S49+S51+S56+S61+S66</f>
        <v>31070</v>
      </c>
      <c r="T82" s="91">
        <f>T16+T24+T29+T36+T43+T45+T47+T49</f>
        <v>0</v>
      </c>
      <c r="U82" s="92">
        <f>SUM(U72:U81)+U16+U24+U29+U36+U43+U45+U47+U49+U51+U56+U61+U66</f>
        <v>-255194</v>
      </c>
      <c r="V82" s="91">
        <f>V16+V24+V29+V36+V43+V45+V47+V49</f>
        <v>0</v>
      </c>
      <c r="W82" s="92">
        <f>SUM(W72:W81)+W16+W24+W29+W36+W43+W45+W47+W49+W51+W56+W61+W66</f>
        <v>-2037</v>
      </c>
      <c r="X82" s="91">
        <f>X16+X24+X29+X36+X43+X45+X47+X49</f>
        <v>0</v>
      </c>
      <c r="Y82" s="92">
        <f>SUM(Y72:Y81)+Y16+Y24+Y29+Y36+Y43+Y45+Y47+Y49+Y51+Y56+Y61+Y66</f>
        <v>-5412.8800000000156</v>
      </c>
      <c r="Z82" s="91">
        <f>Z16+Z24+Z29+Z36+Z43+Z45+Z47+Z49</f>
        <v>0</v>
      </c>
      <c r="AA82" s="92">
        <f>SUM(AA72:AA81)+AA16+AA24+AA29+AA36+AA43+AA45+AA47+AA49+AA51+AA56+AA61+AA66</f>
        <v>2686.3500000000031</v>
      </c>
      <c r="AB82" s="91">
        <f>AB16+AB24+AB29+AB36+AB43+AB45+AB47+AB49</f>
        <v>0</v>
      </c>
      <c r="AC82" s="92">
        <f>SUM(AC72:AC81)+AC16+AC24+AC29+AC36+AC43+AC45+AC47+AC49+AC51+AC56+AC61+AC66</f>
        <v>7426.4999999999982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170</v>
      </c>
      <c r="B85" s="3"/>
      <c r="F85" s="31"/>
      <c r="G85" s="31"/>
      <c r="H85" s="31"/>
      <c r="I85" s="31"/>
      <c r="K85"/>
    </row>
    <row r="86" spans="1:31" x14ac:dyDescent="0.2">
      <c r="A86" s="168"/>
      <c r="B86" s="3"/>
      <c r="C86" s="10" t="s">
        <v>166</v>
      </c>
      <c r="D86" s="169">
        <f t="shared" ref="D86:E88" si="35">SUM(F86,H86,J86,L86,N86,P86,R86,T86,V86,X86,Z86,AB86,AD86)</f>
        <v>0</v>
      </c>
      <c r="E86" s="170">
        <f t="shared" si="35"/>
        <v>242607</v>
      </c>
      <c r="F86" s="169">
        <f>'TIE-OUT'!V86+RECLASS!T86</f>
        <v>0</v>
      </c>
      <c r="G86" s="170">
        <f>'TIE-OUT'!W86+RECLASS!U86</f>
        <v>242607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31" x14ac:dyDescent="0.2">
      <c r="A87" s="168"/>
      <c r="B87" s="3"/>
      <c r="C87" s="10" t="s">
        <v>71</v>
      </c>
      <c r="D87" s="170">
        <f t="shared" si="35"/>
        <v>0</v>
      </c>
      <c r="E87" s="170">
        <f t="shared" si="3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31" x14ac:dyDescent="0.2">
      <c r="A88" s="168"/>
      <c r="B88" s="3"/>
      <c r="C88" s="10" t="s">
        <v>72</v>
      </c>
      <c r="D88" s="171">
        <f t="shared" si="35"/>
        <v>0</v>
      </c>
      <c r="E88" s="171">
        <f t="shared" si="35"/>
        <v>-390400</v>
      </c>
      <c r="F88" s="171">
        <f>'TIE-OUT'!V88+RECLASS!T88</f>
        <v>0</v>
      </c>
      <c r="G88" s="171">
        <f>'TIE-OUT'!W88+RECLASS!U88</f>
        <v>-390400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31" ht="15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K89" si="36">SUM(E86:E88)</f>
        <v>-147793</v>
      </c>
      <c r="F89" s="179">
        <f t="shared" si="36"/>
        <v>0</v>
      </c>
      <c r="G89" s="179">
        <f t="shared" si="36"/>
        <v>-147793</v>
      </c>
      <c r="H89" s="179">
        <f t="shared" si="36"/>
        <v>0</v>
      </c>
      <c r="I89" s="179">
        <f t="shared" si="36"/>
        <v>0</v>
      </c>
      <c r="J89" s="179">
        <f t="shared" si="36"/>
        <v>0</v>
      </c>
      <c r="K89" s="179">
        <f t="shared" si="36"/>
        <v>0</v>
      </c>
      <c r="L89" s="179">
        <f>SUM(L86:L88)</f>
        <v>0</v>
      </c>
      <c r="M89" s="179">
        <f>SUM(M86:M88)</f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5"/>
      <c r="B91" s="176"/>
      <c r="C91" s="181" t="s">
        <v>172</v>
      </c>
      <c r="D91" s="179">
        <f>+D82+D89</f>
        <v>0</v>
      </c>
      <c r="E91" s="179">
        <f t="shared" ref="E91:K91" si="37">+E82+E89</f>
        <v>-7228750.8600000022</v>
      </c>
      <c r="F91" s="179">
        <f t="shared" si="37"/>
        <v>0</v>
      </c>
      <c r="G91" s="179">
        <f t="shared" si="37"/>
        <v>-6737363.8300000001</v>
      </c>
      <c r="H91" s="179">
        <f t="shared" si="37"/>
        <v>0</v>
      </c>
      <c r="I91" s="179">
        <f t="shared" si="37"/>
        <v>3127324</v>
      </c>
      <c r="J91" s="179">
        <f t="shared" si="37"/>
        <v>0</v>
      </c>
      <c r="K91" s="179">
        <f t="shared" si="37"/>
        <v>-3064073</v>
      </c>
      <c r="L91" s="179">
        <f>+L82+L89</f>
        <v>0</v>
      </c>
      <c r="M91" s="179">
        <f>+M82+M89</f>
        <v>1433167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U79" activePane="bottomRight" state="frozen"/>
      <selection activeCell="AB9" sqref="AB9"/>
      <selection pane="topRight" activeCell="AB9" sqref="AB9"/>
      <selection pane="bottomLeft" activeCell="AB9" sqref="AB9"/>
      <selection pane="bottomRight" activeCell="AC79" sqref="AC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43410905</v>
      </c>
      <c r="E11" s="38">
        <f>SUM(G11,I11,K11,M11,O11,Q11,S11,U11,W11,Y11,AA11,AC11,AE11)</f>
        <v>125948267.78999998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-650000</v>
      </c>
      <c r="H11" s="60">
        <f>'TX-EGM-GL'!H11+'TX-HPLR-GL '!H11+'TX-HPLC-GL'!H11</f>
        <v>41869205</v>
      </c>
      <c r="I11" s="38">
        <f>'TX-EGM-GL'!I11+'TX-HPLR-GL '!I11+'TX-HPLC-GL'!I11</f>
        <v>121186669.02</v>
      </c>
      <c r="J11" s="60">
        <f>'TX-EGM-GL'!J11+'TX-HPLR-GL '!J11+'TX-HPLC-GL'!J11</f>
        <v>1175969</v>
      </c>
      <c r="K11" s="38">
        <f>'TX-EGM-GL'!K11+'TX-HPLR-GL '!K11+'TX-HPLC-GL'!K11</f>
        <v>4770196.88</v>
      </c>
      <c r="L11" s="60">
        <f>'TX-EGM-GL'!L11+'TX-HPLR-GL '!L11</f>
        <v>300020</v>
      </c>
      <c r="M11" s="38">
        <f>'TX-EGM-GL'!M11+'TX-HPLR-GL '!M11</f>
        <v>1549978.98</v>
      </c>
      <c r="N11" s="60">
        <f>'TX-EGM-GL'!N11+'TX-HPLR-GL '!N11</f>
        <v>0</v>
      </c>
      <c r="O11" s="38">
        <f>'TX-EGM-GL'!O11+'TX-HPLR-GL '!O11</f>
        <v>0</v>
      </c>
      <c r="P11" s="60">
        <f>'TX-EGM-GL'!P11+'TX-HPLR-GL '!P11</f>
        <v>67920</v>
      </c>
      <c r="Q11" s="38">
        <f>'TX-EGM-GL'!Q11+'TX-HPLR-GL '!Q11</f>
        <v>239095.55</v>
      </c>
      <c r="R11" s="60">
        <f>'TX-EGM-GL'!R11+'TX-HPLR-GL '!R11</f>
        <v>-16</v>
      </c>
      <c r="S11" s="38">
        <f>'TX-EGM-GL'!S11+'TX-HPLR-GL '!S11</f>
        <v>18872.21</v>
      </c>
      <c r="T11" s="60">
        <f>'TX-EGM-GL'!T11+'TX-HPLR-GL '!T11</f>
        <v>-551</v>
      </c>
      <c r="U11" s="38">
        <f>'TX-EGM-GL'!U11+'TX-HPLR-GL '!U11</f>
        <v>-1162348.25</v>
      </c>
      <c r="V11" s="60">
        <f>'TX-EGM-GL'!V11+'TX-HPLR-GL '!V11</f>
        <v>-9868</v>
      </c>
      <c r="W11" s="38">
        <f>'TX-EGM-GL'!W11+'TX-HPLR-GL '!W11</f>
        <v>-27198.53</v>
      </c>
      <c r="X11" s="60">
        <f>'TX-EGM-GL'!X11+'TX-HPLR-GL '!X11</f>
        <v>8219</v>
      </c>
      <c r="Y11" s="38">
        <f>'TX-EGM-GL'!Y11+'TX-HPLR-GL '!Y11</f>
        <v>26147.57</v>
      </c>
      <c r="Z11" s="60">
        <f>'TX-EGM-GL'!Z11+'TX-HPLR-GL '!Z11</f>
        <v>7</v>
      </c>
      <c r="AA11" s="38">
        <f>'TX-EGM-GL'!AA11+'TX-HPLR-GL '!AA11</f>
        <v>-3145.64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-3478670.24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-3478670.24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3725247</v>
      </c>
      <c r="E13" s="38">
        <f t="shared" si="0"/>
        <v>8162482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3725247</v>
      </c>
      <c r="I13" s="38">
        <f>'TX-EGM-GL'!I13+'TX-HPLR-GL '!I13+'TX-HPLC-GL'!I13</f>
        <v>8162482</v>
      </c>
      <c r="J13" s="60">
        <f>'TX-EGM-GL'!J13+'TX-HPLR-GL '!J13+'TX-HPLC-GL'!J13</f>
        <v>-3725247</v>
      </c>
      <c r="K13" s="38">
        <f>'TX-EGM-GL'!K13+'TX-HPLR-GL '!K13+'TX-HPLC-GL'!K13</f>
        <v>-8162482</v>
      </c>
      <c r="L13" s="60">
        <f>'TX-EGM-GL'!L13+'TX-HPLR-GL '!L13</f>
        <v>3725247</v>
      </c>
      <c r="M13" s="38">
        <f>'TX-EGM-GL'!M13+'TX-HPLR-GL '!M13</f>
        <v>8162482</v>
      </c>
      <c r="N13" s="60">
        <f>'TX-EGM-GL'!N13+'TX-HPLR-GL '!N13</f>
        <v>0</v>
      </c>
      <c r="O13" s="38">
        <f>'TX-EGM-GL'!O13+'TX-HPLR-GL '!O13</f>
        <v>0</v>
      </c>
      <c r="P13" s="60">
        <f>'TX-EGM-GL'!P13+'TX-HPLR-GL '!P13</f>
        <v>-3725247</v>
      </c>
      <c r="Q13" s="38">
        <f>'TX-EGM-GL'!Q13+'TX-HPLR-GL '!Q13</f>
        <v>-8162482</v>
      </c>
      <c r="R13" s="60">
        <f>'TX-EGM-GL'!R13+'TX-HPLR-GL '!R13</f>
        <v>0</v>
      </c>
      <c r="S13" s="38">
        <f>'TX-EGM-GL'!S13+'TX-HPLR-GL '!S13</f>
        <v>0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3725247</v>
      </c>
      <c r="W13" s="38">
        <f>'TX-EGM-GL'!W13+'TX-HPLR-GL '!W13</f>
        <v>8162482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120000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120000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 t="shared" ref="D16:M16" si="1">SUM(D11:D15)</f>
        <v>47136152</v>
      </c>
      <c r="E16" s="39">
        <f t="shared" si="1"/>
        <v>130752079.54999998</v>
      </c>
      <c r="F16" s="61">
        <f t="shared" si="1"/>
        <v>0</v>
      </c>
      <c r="G16" s="39">
        <f t="shared" si="1"/>
        <v>-4008670.24</v>
      </c>
      <c r="H16" s="61">
        <f t="shared" si="1"/>
        <v>45594452</v>
      </c>
      <c r="I16" s="39">
        <f t="shared" si="1"/>
        <v>129349151.02</v>
      </c>
      <c r="J16" s="61">
        <f t="shared" si="1"/>
        <v>-2549278</v>
      </c>
      <c r="K16" s="39">
        <f t="shared" si="1"/>
        <v>-3392285.12</v>
      </c>
      <c r="L16" s="61">
        <f t="shared" si="1"/>
        <v>4025267</v>
      </c>
      <c r="M16" s="39">
        <f t="shared" si="1"/>
        <v>9712460.9800000004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-3657327</v>
      </c>
      <c r="Q16" s="39">
        <f t="shared" si="2"/>
        <v>-7923386.4500000002</v>
      </c>
      <c r="R16" s="61">
        <f t="shared" si="2"/>
        <v>-16</v>
      </c>
      <c r="S16" s="39">
        <f t="shared" si="2"/>
        <v>18872.21</v>
      </c>
      <c r="T16" s="61">
        <f>SUM(T11:T15)</f>
        <v>-551</v>
      </c>
      <c r="U16" s="39">
        <f>SUM(U11:U15)</f>
        <v>-1162348.25</v>
      </c>
      <c r="V16" s="61">
        <f>SUM(V11:V15)</f>
        <v>3715379</v>
      </c>
      <c r="W16" s="39">
        <f>SUM(W11:W15)</f>
        <v>8135283.4699999997</v>
      </c>
      <c r="X16" s="61">
        <f>SUM(X11:X15)</f>
        <v>8219</v>
      </c>
      <c r="Y16" s="39">
        <f t="shared" ref="Y16:AE16" si="3">SUM(Y11:Y15)</f>
        <v>26147.57</v>
      </c>
      <c r="Z16" s="61">
        <f>SUM(Z11:Z15)</f>
        <v>7</v>
      </c>
      <c r="AA16" s="39">
        <f t="shared" si="3"/>
        <v>-3145.64</v>
      </c>
      <c r="AB16" s="61">
        <f>SUM(AB11:AB15)</f>
        <v>0</v>
      </c>
      <c r="AC16" s="39">
        <f t="shared" si="3"/>
        <v>0</v>
      </c>
      <c r="AD16" s="61">
        <f>SUM(AD11:AD15)</f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-42343985</v>
      </c>
      <c r="E19" s="38">
        <f t="shared" si="4"/>
        <v>-116787776.67999999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-41922399</v>
      </c>
      <c r="I19" s="38">
        <f>'TX-EGM-GL'!I19+'TX-HPLR-GL '!I19+'TX-HPLC-GL'!I19</f>
        <v>-115904532.16</v>
      </c>
      <c r="J19" s="60">
        <f>'TX-EGM-GL'!J19+'TX-HPLR-GL '!J19+'TX-HPLC-GL'!J19</f>
        <v>-120799</v>
      </c>
      <c r="K19" s="38">
        <f>'TX-EGM-GL'!K19+'TX-HPLR-GL '!K19+'TX-HPLC-GL'!K19</f>
        <v>-207728.86</v>
      </c>
      <c r="L19" s="60">
        <f>'TX-EGM-GL'!L19+'TX-HPLR-GL '!L19</f>
        <v>331219</v>
      </c>
      <c r="M19" s="38">
        <f>'TX-EGM-GL'!M19+'TX-HPLR-GL '!M19</f>
        <v>517273.4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-631219</v>
      </c>
      <c r="Q19" s="38">
        <f>'TX-EGM-GL'!Q19+'TX-HPLR-GL '!Q19</f>
        <v>-1192307.18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618</v>
      </c>
      <c r="V19" s="60">
        <f>'TX-EGM-GL'!V19+'TX-HPLR-GL '!V19</f>
        <v>-787</v>
      </c>
      <c r="W19" s="38">
        <f>'TX-EGM-GL'!W19+'TX-HPLR-GL '!W19</f>
        <v>-1408.14</v>
      </c>
      <c r="X19" s="60">
        <f>'TX-EGM-GL'!X19+'TX-HPLR-GL '!X19</f>
        <v>0</v>
      </c>
      <c r="Y19" s="38">
        <f>'TX-EGM-GL'!Y19+'TX-HPLR-GL '!Y19</f>
        <v>-308.27999999999997</v>
      </c>
      <c r="Z19" s="60">
        <f>'TX-EGM-GL'!Z19+'TX-HPLR-GL '!Z19</f>
        <v>0</v>
      </c>
      <c r="AA19" s="38">
        <f>'TX-EGM-GL'!AA19+'TX-HPLR-GL '!AA19</f>
        <v>616.54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795977.8600000001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795977.8600000001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-3725247</v>
      </c>
      <c r="E21" s="38">
        <f t="shared" si="4"/>
        <v>-8162482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-3725247</v>
      </c>
      <c r="I21" s="38">
        <f>'TX-EGM-GL'!I21+'TX-HPLR-GL '!I21+'TX-HPLC-GL'!I21</f>
        <v>-8162482</v>
      </c>
      <c r="J21" s="60">
        <f>'TX-EGM-GL'!J21+'TX-HPLR-GL '!J21+'TX-HPLC-GL'!J21</f>
        <v>3725247</v>
      </c>
      <c r="K21" s="38">
        <f>'TX-EGM-GL'!K21+'TX-HPLR-GL '!K21+'TX-HPLC-GL'!K21</f>
        <v>8162482</v>
      </c>
      <c r="L21" s="60">
        <f>'TX-EGM-GL'!L21+'TX-HPLR-GL '!L21</f>
        <v>-3725247</v>
      </c>
      <c r="M21" s="38">
        <f>'TX-EGM-GL'!M21+'TX-HPLR-GL '!M21</f>
        <v>-8162482</v>
      </c>
      <c r="N21" s="60">
        <f>'TX-EGM-GL'!N21+'TX-HPLR-GL '!N21</f>
        <v>0</v>
      </c>
      <c r="O21" s="38">
        <f>'TX-EGM-GL'!O21+'TX-HPLR-GL '!O21</f>
        <v>0</v>
      </c>
      <c r="P21" s="60">
        <f>'TX-EGM-GL'!P21+'TX-HPLR-GL '!P21</f>
        <v>3725247</v>
      </c>
      <c r="Q21" s="38">
        <f>'TX-EGM-GL'!Q21+'TX-HPLR-GL '!Q21</f>
        <v>8162482</v>
      </c>
      <c r="R21" s="60">
        <f>'TX-EGM-GL'!R21+'TX-HPLR-GL '!R21</f>
        <v>0</v>
      </c>
      <c r="S21" s="38">
        <f>'TX-EGM-GL'!S21+'TX-HPLR-GL '!S21</f>
        <v>0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-3725247</v>
      </c>
      <c r="W21" s="38">
        <f>'TX-EGM-GL'!W21+'TX-HPLR-GL '!W21</f>
        <v>-8162482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18416</v>
      </c>
      <c r="E23" s="38">
        <f t="shared" si="4"/>
        <v>53535.311999999998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17906</v>
      </c>
      <c r="I23" s="38">
        <f>'TX-EGM-GL'!I23+'TX-HPLR-GL '!I23+'TX-HPLC-GL'!I23</f>
        <v>52052.741999999998</v>
      </c>
      <c r="J23" s="60">
        <f>'TX-EGM-GL'!J23+'TX-HPLR-GL '!J23+'TX-HPLC-GL'!J23</f>
        <v>235</v>
      </c>
      <c r="K23" s="38">
        <f>'TX-EGM-GL'!K23+'TX-HPLR-GL '!K23+'TX-HPLC-GL'!K23</f>
        <v>683.14499999999998</v>
      </c>
      <c r="L23" s="60">
        <f>'TX-EGM-GL'!L23+'TX-HPLR-GL '!L23</f>
        <v>353</v>
      </c>
      <c r="M23" s="38">
        <f>'TX-EGM-GL'!M23+'TX-HPLR-GL '!M23</f>
        <v>1026.171</v>
      </c>
      <c r="N23" s="60">
        <f>'TX-EGM-GL'!N23+'TX-HPLR-GL '!N23</f>
        <v>-78</v>
      </c>
      <c r="O23" s="38">
        <f>'TX-EGM-GL'!O23+'TX-HPLR-GL '!O23</f>
        <v>-226.74600000000001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 t="shared" ref="D24:M24" si="5">SUM(D19:D23)</f>
        <v>-46050816</v>
      </c>
      <c r="E24" s="39">
        <f t="shared" si="5"/>
        <v>-124100745.50799999</v>
      </c>
      <c r="F24" s="61">
        <f t="shared" si="5"/>
        <v>0</v>
      </c>
      <c r="G24" s="39">
        <f t="shared" si="5"/>
        <v>795977.8600000001</v>
      </c>
      <c r="H24" s="61">
        <f t="shared" si="5"/>
        <v>-45629740</v>
      </c>
      <c r="I24" s="39">
        <f t="shared" si="5"/>
        <v>-124014961.418</v>
      </c>
      <c r="J24" s="61">
        <f t="shared" si="5"/>
        <v>3604683</v>
      </c>
      <c r="K24" s="39">
        <f t="shared" si="5"/>
        <v>7955436.2849999992</v>
      </c>
      <c r="L24" s="61">
        <f t="shared" si="5"/>
        <v>-3393675</v>
      </c>
      <c r="M24" s="39">
        <f t="shared" si="5"/>
        <v>-7644182.4289999995</v>
      </c>
      <c r="N24" s="61">
        <f t="shared" ref="N24:S24" si="6">SUM(N19:N23)</f>
        <v>-78</v>
      </c>
      <c r="O24" s="39">
        <f t="shared" si="6"/>
        <v>-226.74600000000001</v>
      </c>
      <c r="P24" s="61">
        <f t="shared" si="6"/>
        <v>3094028</v>
      </c>
      <c r="Q24" s="39">
        <f t="shared" si="6"/>
        <v>6970174.8200000003</v>
      </c>
      <c r="R24" s="61">
        <f t="shared" si="6"/>
        <v>0</v>
      </c>
      <c r="S24" s="39">
        <f t="shared" si="6"/>
        <v>0</v>
      </c>
      <c r="T24" s="61">
        <f>SUM(T19:T23)</f>
        <v>0</v>
      </c>
      <c r="U24" s="39">
        <f>SUM(U19:U23)</f>
        <v>618</v>
      </c>
      <c r="V24" s="61">
        <f>SUM(V19:V23)</f>
        <v>-3726034</v>
      </c>
      <c r="W24" s="39">
        <f>SUM(W19:W23)</f>
        <v>-8163890.1399999997</v>
      </c>
      <c r="X24" s="61">
        <f>SUM(X19:X23)</f>
        <v>0</v>
      </c>
      <c r="Y24" s="39">
        <f t="shared" ref="Y24:AE24" si="7">SUM(Y19:Y23)</f>
        <v>-308.27999999999997</v>
      </c>
      <c r="Z24" s="61">
        <f>SUM(Z19:Z23)</f>
        <v>0</v>
      </c>
      <c r="AA24" s="39">
        <f t="shared" si="7"/>
        <v>616.54</v>
      </c>
      <c r="AB24" s="61">
        <f>SUM(AB19:AB23)</f>
        <v>0</v>
      </c>
      <c r="AC24" s="39">
        <f t="shared" si="7"/>
        <v>0</v>
      </c>
      <c r="AD24" s="61">
        <f>SUM(AD19:AD23)</f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15336092</v>
      </c>
      <c r="E27" s="38">
        <f>SUM(G27,I27,K27,M27,O27,Q27,S27,U27,W27,Y27,AA27,AC27,AE27)</f>
        <v>35116830.039999999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10343354</v>
      </c>
      <c r="I27" s="38">
        <f>'TX-EGM-GL'!I27+'TX-HPLR-GL '!I27+'TX-HPLC-GL'!I27</f>
        <v>23704137.52</v>
      </c>
      <c r="J27" s="60">
        <f>'TX-EGM-GL'!J27+'TX-HPLR-GL '!J27+'TX-HPLC-GL'!J27</f>
        <v>4982744</v>
      </c>
      <c r="K27" s="38">
        <f>'TX-EGM-GL'!K27+'TX-HPLR-GL '!K27+'TX-HPLC-GL'!K27</f>
        <v>11382404.73</v>
      </c>
      <c r="L27" s="60">
        <f>'TX-EGM-GL'!L27+'TX-HPLR-GL '!L27</f>
        <v>-6</v>
      </c>
      <c r="M27" s="38">
        <f>'TX-EGM-GL'!M27+'TX-HPLR-GL '!M27</f>
        <v>-12.21</v>
      </c>
      <c r="N27" s="60">
        <f>'TX-EGM-GL'!N27+'TX-HPLR-GL '!N27</f>
        <v>0</v>
      </c>
      <c r="O27" s="38">
        <f>'TX-EGM-GL'!O27+'TX-HPLR-GL '!O27</f>
        <v>0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10000</v>
      </c>
      <c r="W27" s="38">
        <f>'TX-EGM-GL'!W27+'TX-HPLR-GL '!W27</f>
        <v>30300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-16176799</v>
      </c>
      <c r="E28" s="38">
        <f>SUM(G28,I28,K28,M28,O28,Q28,S28,U28,W28,Y28,AA28,AC28,AE28)</f>
        <v>-36873221.319999993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-10966833</v>
      </c>
      <c r="I28" s="38">
        <f>'TX-EGM-GL'!I28+'TX-HPLR-GL '!I28+'TX-HPLC-GL'!I28</f>
        <v>-25050887.649999999</v>
      </c>
      <c r="J28" s="60">
        <f>'TX-EGM-GL'!J28+'TX-HPLR-GL '!J28+'TX-HPLC-GL'!J28</f>
        <v>-5156882</v>
      </c>
      <c r="K28" s="38">
        <f>'TX-EGM-GL'!K28+'TX-HPLR-GL '!K28+'TX-HPLC-GL'!K28</f>
        <v>-11704222.83</v>
      </c>
      <c r="L28" s="60">
        <f>'TX-EGM-GL'!L28+'TX-HPLR-GL '!L28</f>
        <v>21840</v>
      </c>
      <c r="M28" s="38">
        <f>'TX-EGM-GL'!M28+'TX-HPLR-GL '!M28</f>
        <v>53616.6</v>
      </c>
      <c r="N28" s="60">
        <f>'TX-EGM-GL'!N28+'TX-HPLR-GL '!N28</f>
        <v>-631219</v>
      </c>
      <c r="O28" s="38">
        <f>'TX-EGM-GL'!O28+'TX-HPLR-GL '!O28</f>
        <v>-1446754.06</v>
      </c>
      <c r="P28" s="60">
        <f>'TX-EGM-GL'!P28+'TX-HPLR-GL '!P28</f>
        <v>563299</v>
      </c>
      <c r="Q28" s="38">
        <f>'TX-EGM-GL'!Q28+'TX-HPLR-GL '!Q28</f>
        <v>1291082.75</v>
      </c>
      <c r="R28" s="60">
        <f>'TX-EGM-GL'!R28+'TX-HPLR-GL '!R28</f>
        <v>16</v>
      </c>
      <c r="S28" s="38">
        <f>'TX-EGM-GL'!S28+'TX-HPLR-GL '!S28</f>
        <v>36.770000000000003</v>
      </c>
      <c r="T28" s="60">
        <f>'TX-EGM-GL'!T28+'TX-HPLR-GL '!T28</f>
        <v>551</v>
      </c>
      <c r="U28" s="38">
        <f>'TX-EGM-GL'!U28+'TX-HPLR-GL '!U28</f>
        <v>1260.5</v>
      </c>
      <c r="V28" s="60">
        <f>'TX-EGM-GL'!V28+'TX-HPLR-GL '!V28</f>
        <v>655</v>
      </c>
      <c r="W28" s="38">
        <f>'TX-EGM-GL'!W28+'TX-HPLR-GL '!W28</f>
        <v>1505.6</v>
      </c>
      <c r="X28" s="60">
        <f>'TX-EGM-GL'!X28+'TX-HPLR-GL '!X28</f>
        <v>-12660</v>
      </c>
      <c r="Y28" s="38">
        <f>'TX-EGM-GL'!Y28+'TX-HPLR-GL '!Y28</f>
        <v>-29016.720000000001</v>
      </c>
      <c r="Z28" s="60">
        <f>'TX-EGM-GL'!Z28+'TX-HPLR-GL '!Z28</f>
        <v>4434</v>
      </c>
      <c r="AA28" s="38">
        <f>'TX-EGM-GL'!AA28+'TX-HPLR-GL '!AA28</f>
        <v>10157.719999999999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37</v>
      </c>
      <c r="C29" s="18"/>
      <c r="D29" s="61">
        <f t="shared" ref="D29:M29" si="8">SUM(D27:D28)</f>
        <v>-840707</v>
      </c>
      <c r="E29" s="39">
        <f t="shared" si="8"/>
        <v>-1756391.2799999937</v>
      </c>
      <c r="F29" s="61">
        <f t="shared" si="8"/>
        <v>0</v>
      </c>
      <c r="G29" s="39">
        <f t="shared" si="8"/>
        <v>0</v>
      </c>
      <c r="H29" s="61">
        <f t="shared" si="8"/>
        <v>-623479</v>
      </c>
      <c r="I29" s="39">
        <f t="shared" si="8"/>
        <v>-1346750.129999999</v>
      </c>
      <c r="J29" s="61">
        <f t="shared" si="8"/>
        <v>-174138</v>
      </c>
      <c r="K29" s="39">
        <f t="shared" si="8"/>
        <v>-321818.09999999963</v>
      </c>
      <c r="L29" s="61">
        <f t="shared" si="8"/>
        <v>21834</v>
      </c>
      <c r="M29" s="39">
        <f t="shared" si="8"/>
        <v>53604.39</v>
      </c>
      <c r="N29" s="61">
        <f t="shared" ref="N29:S29" si="9">SUM(N27:N28)</f>
        <v>-631219</v>
      </c>
      <c r="O29" s="39">
        <f t="shared" si="9"/>
        <v>-1446754.06</v>
      </c>
      <c r="P29" s="61">
        <f t="shared" si="9"/>
        <v>563299</v>
      </c>
      <c r="Q29" s="39">
        <f t="shared" si="9"/>
        <v>1291082.75</v>
      </c>
      <c r="R29" s="61">
        <f t="shared" si="9"/>
        <v>16</v>
      </c>
      <c r="S29" s="39">
        <f t="shared" si="9"/>
        <v>36.770000000000003</v>
      </c>
      <c r="T29" s="61">
        <f>SUM(T27:T28)</f>
        <v>551</v>
      </c>
      <c r="U29" s="39">
        <f>SUM(U27:U28)</f>
        <v>1260.5</v>
      </c>
      <c r="V29" s="61">
        <f>SUM(V27:V28)</f>
        <v>10655</v>
      </c>
      <c r="W29" s="39">
        <f>SUM(W27:W28)</f>
        <v>31805.599999999999</v>
      </c>
      <c r="X29" s="61">
        <f>SUM(X27:X28)</f>
        <v>-12660</v>
      </c>
      <c r="Y29" s="39">
        <f t="shared" ref="Y29:AE29" si="10">SUM(Y27:Y28)</f>
        <v>-29016.720000000001</v>
      </c>
      <c r="Z29" s="61">
        <f>SUM(Z27:Z28)</f>
        <v>4434</v>
      </c>
      <c r="AA29" s="39">
        <f t="shared" si="10"/>
        <v>10157.719999999999</v>
      </c>
      <c r="AB29" s="61">
        <f>SUM(AB27:AB28)</f>
        <v>0</v>
      </c>
      <c r="AC29" s="39">
        <f t="shared" si="10"/>
        <v>0</v>
      </c>
      <c r="AD29" s="61">
        <f>SUM(AD27:AD28)</f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72469</v>
      </c>
      <c r="E32" s="38">
        <f t="shared" si="11"/>
        <v>210667.40000000084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-4282910</v>
      </c>
      <c r="I32" s="38">
        <f>'TX-EGM-GL'!I32+'TX-HPLR-GL '!I32+'TX-HPLC-GL'!I32</f>
        <v>-12450419.369999999</v>
      </c>
      <c r="J32" s="60">
        <f>'TX-EGM-GL'!J32+'TX-HPLR-GL '!J32+'TX-HPLC-GL'!J32</f>
        <v>4377508</v>
      </c>
      <c r="K32" s="38">
        <f>'TX-EGM-GL'!K32+'TX-HPLR-GL '!K32+'TX-HPLC-GL'!K32</f>
        <v>12725415.773</v>
      </c>
      <c r="L32" s="60">
        <f>'TX-EGM-GL'!L32+'TX-HPLR-GL '!L32</f>
        <v>-653426</v>
      </c>
      <c r="M32" s="38">
        <f>'TX-EGM-GL'!M32+'TX-HPLR-GL '!M32</f>
        <v>-1899509.382</v>
      </c>
      <c r="N32" s="60">
        <f>'TX-EGM-GL'!N32+'TX-HPLR-GL '!N32</f>
        <v>631297</v>
      </c>
      <c r="O32" s="38">
        <f>'TX-EGM-GL'!O32+'TX-HPLR-GL '!O32</f>
        <v>1835180.379</v>
      </c>
      <c r="P32" s="60">
        <f>'TX-EGM-GL'!P32+'TX-HPLR-GL '!P32</f>
        <v>-1</v>
      </c>
      <c r="Q32" s="38">
        <f>'TX-EGM-GL'!Q32+'TX-HPLR-GL '!Q32</f>
        <v>-2.907</v>
      </c>
      <c r="R32" s="60">
        <f>'TX-EGM-GL'!R32+'TX-HPLR-GL '!R32</f>
        <v>1</v>
      </c>
      <c r="S32" s="38">
        <f>'TX-EGM-GL'!S32+'TX-HPLR-GL '!S32</f>
        <v>2.907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4441</v>
      </c>
      <c r="Y32" s="38">
        <f>'TX-EGM-GL'!Y32+'TX-HPLR-GL '!Y32</f>
        <v>12909.99</v>
      </c>
      <c r="Z32" s="60">
        <f>'TX-EGM-GL'!Z32+'TX-HPLR-GL '!Z32</f>
        <v>-4441</v>
      </c>
      <c r="AA32" s="38">
        <f>'TX-EGM-GL'!AA32+'TX-HPLR-GL '!AA32</f>
        <v>-12909.99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 t="shared" ref="D36:M36" si="12">SUM(D32:D35)</f>
        <v>72469</v>
      </c>
      <c r="E36" s="39">
        <f t="shared" si="12"/>
        <v>210667.40000000084</v>
      </c>
      <c r="F36" s="61">
        <f t="shared" si="12"/>
        <v>0</v>
      </c>
      <c r="G36" s="39">
        <f t="shared" si="12"/>
        <v>0</v>
      </c>
      <c r="H36" s="61">
        <f t="shared" si="12"/>
        <v>-4282910</v>
      </c>
      <c r="I36" s="39">
        <f t="shared" si="12"/>
        <v>-12450419.369999999</v>
      </c>
      <c r="J36" s="61">
        <f t="shared" si="12"/>
        <v>4377508</v>
      </c>
      <c r="K36" s="39">
        <f t="shared" si="12"/>
        <v>12725415.773</v>
      </c>
      <c r="L36" s="61">
        <f t="shared" si="12"/>
        <v>-653426</v>
      </c>
      <c r="M36" s="39">
        <f t="shared" si="12"/>
        <v>-1899509.382</v>
      </c>
      <c r="N36" s="61">
        <f t="shared" ref="N36:S36" si="13">SUM(N32:N35)</f>
        <v>631297</v>
      </c>
      <c r="O36" s="39">
        <f t="shared" si="13"/>
        <v>1835180.379</v>
      </c>
      <c r="P36" s="61">
        <f t="shared" si="13"/>
        <v>-1</v>
      </c>
      <c r="Q36" s="39">
        <f t="shared" si="13"/>
        <v>-2.907</v>
      </c>
      <c r="R36" s="61">
        <f t="shared" si="13"/>
        <v>1</v>
      </c>
      <c r="S36" s="39">
        <f t="shared" si="13"/>
        <v>2.907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>SUM(X32:X35)</f>
        <v>4441</v>
      </c>
      <c r="Y36" s="39">
        <f t="shared" ref="Y36:AE36" si="14">SUM(Y32:Y35)</f>
        <v>12909.99</v>
      </c>
      <c r="Z36" s="61">
        <f>SUM(Z32:Z35)</f>
        <v>-4441</v>
      </c>
      <c r="AA36" s="39">
        <f t="shared" si="14"/>
        <v>-12909.99</v>
      </c>
      <c r="AB36" s="61">
        <f>SUM(AB32:AB35)</f>
        <v>0</v>
      </c>
      <c r="AC36" s="39">
        <f t="shared" si="14"/>
        <v>0</v>
      </c>
      <c r="AD36" s="61">
        <f>SUM(AD32:AD35)</f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44550</v>
      </c>
      <c r="E39" s="38">
        <f t="shared" si="15"/>
        <v>128630.85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45000</v>
      </c>
      <c r="I39" s="38">
        <f>'TX-EGM-GL'!I39+'TX-HPLR-GL '!I39+'TX-HPLC-GL'!I39</f>
        <v>130815</v>
      </c>
      <c r="J39" s="60">
        <f>'TX-EGM-GL'!J39+'TX-HPLR-GL '!J39+'TX-HPLC-GL'!J39</f>
        <v>0</v>
      </c>
      <c r="K39" s="38">
        <f>'TX-EGM-GL'!K39+'TX-HPLR-GL '!K39+'TX-HPLC-GL'!K39</f>
        <v>-876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-450</v>
      </c>
      <c r="Q39" s="38">
        <f>'TX-EGM-GL'!Q39+'TX-HPLR-GL '!Q39</f>
        <v>-1308.1500000000001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-421064</v>
      </c>
      <c r="E40" s="38">
        <f t="shared" si="15"/>
        <v>-950628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-421064</v>
      </c>
      <c r="K40" s="38">
        <f>'TX-EGM-GL'!K40+'TX-HPLR-GL '!K40+'TX-HPLC-GL'!K40</f>
        <v>-950628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-469242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-469242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 t="shared" ref="D42:M42" si="16">SUM(D40:D41)</f>
        <v>-421064</v>
      </c>
      <c r="E42" s="39">
        <f t="shared" si="16"/>
        <v>-1419870</v>
      </c>
      <c r="F42" s="61">
        <f t="shared" si="16"/>
        <v>0</v>
      </c>
      <c r="G42" s="39">
        <f t="shared" si="16"/>
        <v>-469242</v>
      </c>
      <c r="H42" s="61">
        <f t="shared" si="16"/>
        <v>0</v>
      </c>
      <c r="I42" s="39">
        <f t="shared" si="16"/>
        <v>0</v>
      </c>
      <c r="J42" s="61">
        <f t="shared" si="16"/>
        <v>-421064</v>
      </c>
      <c r="K42" s="39">
        <f t="shared" si="16"/>
        <v>-950628</v>
      </c>
      <c r="L42" s="61">
        <f t="shared" si="16"/>
        <v>0</v>
      </c>
      <c r="M42" s="39">
        <f t="shared" si="16"/>
        <v>0</v>
      </c>
      <c r="N42" s="61">
        <f t="shared" ref="N42:S42" si="17">SUM(N40:N41)</f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>SUM(X40:X41)</f>
        <v>0</v>
      </c>
      <c r="Y42" s="39">
        <f t="shared" ref="Y42:AE42" si="18">SUM(Y40:Y41)</f>
        <v>0</v>
      </c>
      <c r="Z42" s="61">
        <f>SUM(Z40:Z41)</f>
        <v>0</v>
      </c>
      <c r="AA42" s="39">
        <f t="shared" si="18"/>
        <v>0</v>
      </c>
      <c r="AB42" s="61">
        <f>SUM(AB40:AB41)</f>
        <v>0</v>
      </c>
      <c r="AC42" s="39">
        <f t="shared" si="18"/>
        <v>0</v>
      </c>
      <c r="AD42" s="61">
        <f>SUM(AD40:AD41)</f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M43" si="19">D42+D39</f>
        <v>-376514</v>
      </c>
      <c r="E43" s="39">
        <f t="shared" si="19"/>
        <v>-1291239.1499999999</v>
      </c>
      <c r="F43" s="61">
        <f t="shared" si="19"/>
        <v>0</v>
      </c>
      <c r="G43" s="39">
        <f t="shared" si="19"/>
        <v>-469242</v>
      </c>
      <c r="H43" s="61">
        <f t="shared" si="19"/>
        <v>45000</v>
      </c>
      <c r="I43" s="39">
        <f t="shared" si="19"/>
        <v>130815</v>
      </c>
      <c r="J43" s="61">
        <f t="shared" si="19"/>
        <v>-421064</v>
      </c>
      <c r="K43" s="39">
        <f t="shared" si="19"/>
        <v>-951504</v>
      </c>
      <c r="L43" s="61">
        <f t="shared" si="19"/>
        <v>0</v>
      </c>
      <c r="M43" s="39">
        <f t="shared" si="19"/>
        <v>0</v>
      </c>
      <c r="N43" s="61">
        <f t="shared" ref="N43:S43" si="20">N42+N39</f>
        <v>0</v>
      </c>
      <c r="O43" s="39">
        <f t="shared" si="20"/>
        <v>0</v>
      </c>
      <c r="P43" s="61">
        <f t="shared" si="20"/>
        <v>-450</v>
      </c>
      <c r="Q43" s="39">
        <f t="shared" si="20"/>
        <v>-1308.1500000000001</v>
      </c>
      <c r="R43" s="61">
        <f t="shared" si="20"/>
        <v>0</v>
      </c>
      <c r="S43" s="39">
        <f t="shared" si="20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>X42+X39</f>
        <v>0</v>
      </c>
      <c r="Y43" s="39">
        <f t="shared" ref="Y43:AE43" si="21">Y42+Y39</f>
        <v>0</v>
      </c>
      <c r="Z43" s="61">
        <f>Z42+Z39</f>
        <v>0</v>
      </c>
      <c r="AA43" s="39">
        <f t="shared" si="21"/>
        <v>0</v>
      </c>
      <c r="AB43" s="61">
        <f>AB42+AB39</f>
        <v>0</v>
      </c>
      <c r="AC43" s="39">
        <f t="shared" si="21"/>
        <v>0</v>
      </c>
      <c r="AD43" s="61">
        <f>AD42+AD39</f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9099.619999999999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-617.94000000000005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59416</v>
      </c>
      <c r="E49" s="38">
        <f>SUM(G49,I49,K49,M49,O49,Q49,S49,U49,W49,Y49,AA49,AC49,AE49)</f>
        <v>172728.16200000129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4896677</v>
      </c>
      <c r="I49" s="38">
        <f>'TX-EGM-GL'!I49+'TX-HPLR-GL '!I49+'TX-HPLC-GL'!I49</f>
        <v>14234639.811000001</v>
      </c>
      <c r="J49" s="60">
        <f>'TX-EGM-GL'!J49+'TX-HPLR-GL '!J49+'TX-HPLC-GL'!J49</f>
        <v>-4837711</v>
      </c>
      <c r="K49" s="38">
        <f>'TX-EGM-GL'!K49+'TX-HPLR-GL '!K49+'TX-HPLC-GL'!K49</f>
        <v>-14063226.268999999</v>
      </c>
      <c r="L49" s="60">
        <f>'TX-EGM-GL'!L49+'TX-HPLR-GL '!L49</f>
        <v>0</v>
      </c>
      <c r="M49" s="38">
        <f>'TX-EGM-GL'!M49+'TX-HPLR-GL '!M49</f>
        <v>0</v>
      </c>
      <c r="N49" s="60">
        <f>'TX-EGM-GL'!N49+'TX-HPLR-GL '!N49</f>
        <v>0</v>
      </c>
      <c r="O49" s="38">
        <f>'TX-EGM-GL'!O49+'TX-HPLR-GL '!O49</f>
        <v>0</v>
      </c>
      <c r="P49" s="60">
        <f>'TX-EGM-GL'!P49+'TX-HPLR-GL '!P49</f>
        <v>451</v>
      </c>
      <c r="Q49" s="38">
        <f>'TX-EGM-GL'!Q49+'TX-HPLR-GL '!Q49</f>
        <v>1311.057</v>
      </c>
      <c r="R49" s="60">
        <f>'TX-EGM-GL'!R49+'TX-HPLR-GL '!R49</f>
        <v>-1</v>
      </c>
      <c r="S49" s="38">
        <f>'TX-EGM-GL'!S49+'TX-HPLR-GL '!S49</f>
        <v>-2.907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6.47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-18416</v>
      </c>
      <c r="E51" s="38">
        <f>SUM(G51,I51,K51,M51,O51,Q51,S51,U51,W51,Y51,AA51,AC51,AE51)</f>
        <v>-53535.311999999998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-17906</v>
      </c>
      <c r="I51" s="38">
        <f>'TX-EGM-GL'!I51+'TX-HPLR-GL '!I51+'TX-HPLC-GL'!I51</f>
        <v>-52052.741999999998</v>
      </c>
      <c r="J51" s="60">
        <f>'TX-EGM-GL'!J51+'TX-HPLR-GL '!J51+'TX-HPLC-GL'!J51</f>
        <v>-235</v>
      </c>
      <c r="K51" s="38">
        <f>'TX-EGM-GL'!K51+'TX-HPLR-GL '!K51+'TX-HPLC-GL'!K51</f>
        <v>-683.14499999999998</v>
      </c>
      <c r="L51" s="60">
        <f>'TX-EGM-GL'!L51+'TX-HPLR-GL '!L51</f>
        <v>-353</v>
      </c>
      <c r="M51" s="38">
        <f>'TX-EGM-GL'!M51+'TX-HPLR-GL '!M51</f>
        <v>-1026.171</v>
      </c>
      <c r="N51" s="60">
        <f>'TX-EGM-GL'!N51+'TX-HPLR-GL '!N51</f>
        <v>78</v>
      </c>
      <c r="O51" s="38">
        <f>'TX-EGM-GL'!O51+'TX-HPLR-GL '!O51</f>
        <v>226.74600000000001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-11635016</v>
      </c>
      <c r="E54" s="38">
        <f>SUM(G54,I54,K54,M54,O54,Q54,S54,U54,W54,Y54,AA54,AC54,AE54)</f>
        <v>-1601604.5900000003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-1588205</v>
      </c>
      <c r="H54" s="60">
        <f>'TX-EGM-GL'!H54+'TX-HPLR-GL '!H54+'TX-HPLC-GL'!H54</f>
        <v>-5251604</v>
      </c>
      <c r="I54" s="38">
        <f>'TX-EGM-GL'!I54+'TX-HPLR-GL '!I54+'TX-HPLC-GL'!I54</f>
        <v>-157868.81</v>
      </c>
      <c r="J54" s="60">
        <f>'TX-EGM-GL'!J54+'TX-HPLR-GL '!J54+'TX-HPLC-GL'!J54</f>
        <v>-6271518</v>
      </c>
      <c r="K54" s="38">
        <f>'TX-EGM-GL'!K54+'TX-HPLR-GL '!K54+'TX-HPLC-GL'!K54</f>
        <v>148261.26999999999</v>
      </c>
      <c r="L54" s="60">
        <f>'TX-EGM-GL'!L54+'TX-HPLR-GL '!L54</f>
        <v>586669</v>
      </c>
      <c r="M54" s="38">
        <f>'TX-EGM-GL'!M54+'TX-HPLR-GL '!M54</f>
        <v>27959.42</v>
      </c>
      <c r="N54" s="60">
        <f>'TX-EGM-GL'!N54+'TX-HPLR-GL '!N54</f>
        <v>-631219</v>
      </c>
      <c r="O54" s="38">
        <f>'TX-EGM-GL'!O54+'TX-HPLR-GL '!O54</f>
        <v>-13477.3</v>
      </c>
      <c r="P54" s="60">
        <f>'TX-EGM-GL'!P54+'TX-HPLR-GL '!P54</f>
        <v>-67904</v>
      </c>
      <c r="Q54" s="38">
        <f>'TX-EGM-GL'!Q54+'TX-HPLR-GL '!Q54</f>
        <v>-18296.509999999998</v>
      </c>
      <c r="R54" s="60">
        <f>'TX-EGM-GL'!R54+'TX-HPLR-GL '!R54</f>
        <v>16</v>
      </c>
      <c r="S54" s="38">
        <f>'TX-EGM-GL'!S54+'TX-HPLR-GL '!S54</f>
        <v>-3.06</v>
      </c>
      <c r="T54" s="60">
        <f>'TX-EGM-GL'!T54+'TX-HPLR-GL '!T54</f>
        <v>537</v>
      </c>
      <c r="U54" s="38">
        <f>'TX-EGM-GL'!U54+'TX-HPLR-GL '!U54</f>
        <v>13.42</v>
      </c>
      <c r="V54" s="60">
        <f>'TX-EGM-GL'!V54+'TX-HPLR-GL '!V54</f>
        <v>7</v>
      </c>
      <c r="W54" s="38">
        <f>'TX-EGM-GL'!W54+'TX-HPLR-GL '!W54</f>
        <v>11.98</v>
      </c>
      <c r="X54" s="60">
        <f>'TX-EGM-GL'!X54+'TX-HPLR-GL '!X54</f>
        <v>0</v>
      </c>
      <c r="Y54" s="38">
        <f>'TX-EGM-GL'!Y54+'TX-HPLR-GL '!Y54</f>
        <v>0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-8219</v>
      </c>
      <c r="E55" s="38">
        <f>SUM(G55,I55,K55,M55,O55,Q55,S55,U55,W55,Y55,AA55,AC55,AE55)</f>
        <v>-50518.53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93300</v>
      </c>
      <c r="H55" s="60">
        <f>'TX-EGM-GL'!H55+'TX-HPLR-GL '!H55+'TX-HPLC-GL'!H55</f>
        <v>0</v>
      </c>
      <c r="I55" s="38">
        <f>'TX-EGM-GL'!I55+'TX-HPLR-GL '!I55+'TX-HPLC-GL'!I55</f>
        <v>-143684</v>
      </c>
      <c r="J55" s="60">
        <f>'TX-EGM-GL'!J55+'TX-HPLR-GL '!J55+'TX-HPLC-GL'!J55</f>
        <v>0</v>
      </c>
      <c r="K55" s="38">
        <f>'TX-EGM-GL'!K55+'TX-HPLR-GL '!K55+'TX-HPLC-GL'!K55</f>
        <v>-93300</v>
      </c>
      <c r="L55" s="60">
        <f>'TX-EGM-GL'!L55+'TX-HPLR-GL '!L55</f>
        <v>0</v>
      </c>
      <c r="M55" s="38">
        <f>'TX-EGM-GL'!M55+'TX-HPLR-GL '!M55</f>
        <v>92916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384</v>
      </c>
      <c r="R55" s="60">
        <f>'TX-EGM-GL'!R55+'TX-HPLR-GL '!R55</f>
        <v>0</v>
      </c>
      <c r="S55" s="38">
        <f>'TX-EGM-GL'!S55+'TX-HPLR-GL '!S55</f>
        <v>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-12660</v>
      </c>
      <c r="Y55" s="38">
        <f>'TX-EGM-GL'!Y55+'TX-HPLR-GL '!Y55</f>
        <v>-178.95</v>
      </c>
      <c r="Z55" s="60">
        <f>'TX-EGM-GL'!Z55+'TX-HPLR-GL '!Z55</f>
        <v>4441</v>
      </c>
      <c r="AA55" s="38">
        <f>'TX-EGM-GL'!AA55+'TX-HPLR-GL '!AA55</f>
        <v>44.42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57</v>
      </c>
      <c r="C56" s="6"/>
      <c r="D56" s="61">
        <f t="shared" ref="D56:M56" si="22">SUM(D54:D55)</f>
        <v>-11643235</v>
      </c>
      <c r="E56" s="39">
        <f t="shared" si="22"/>
        <v>-1652123.1200000003</v>
      </c>
      <c r="F56" s="61">
        <f t="shared" si="22"/>
        <v>0</v>
      </c>
      <c r="G56" s="39">
        <f t="shared" si="22"/>
        <v>-1494905</v>
      </c>
      <c r="H56" s="61">
        <f t="shared" si="22"/>
        <v>-5251604</v>
      </c>
      <c r="I56" s="39">
        <f t="shared" si="22"/>
        <v>-301552.81</v>
      </c>
      <c r="J56" s="61">
        <f t="shared" si="22"/>
        <v>-6271518</v>
      </c>
      <c r="K56" s="39">
        <f t="shared" si="22"/>
        <v>54961.26999999999</v>
      </c>
      <c r="L56" s="61">
        <f t="shared" si="22"/>
        <v>586669</v>
      </c>
      <c r="M56" s="39">
        <f t="shared" si="22"/>
        <v>120875.42</v>
      </c>
      <c r="N56" s="61">
        <f t="shared" ref="N56:S56" si="23">SUM(N54:N55)</f>
        <v>-631219</v>
      </c>
      <c r="O56" s="39">
        <f t="shared" si="23"/>
        <v>-13477.3</v>
      </c>
      <c r="P56" s="61">
        <f t="shared" si="23"/>
        <v>-67904</v>
      </c>
      <c r="Q56" s="39">
        <f t="shared" si="23"/>
        <v>-17912.509999999998</v>
      </c>
      <c r="R56" s="61">
        <f t="shared" si="23"/>
        <v>16</v>
      </c>
      <c r="S56" s="39">
        <f t="shared" si="23"/>
        <v>-3.06</v>
      </c>
      <c r="T56" s="61">
        <f>SUM(T54:T55)</f>
        <v>537</v>
      </c>
      <c r="U56" s="39">
        <f>SUM(U54:U55)</f>
        <v>13.42</v>
      </c>
      <c r="V56" s="61">
        <f>SUM(V54:V55)</f>
        <v>7</v>
      </c>
      <c r="W56" s="39">
        <f>SUM(W54:W55)</f>
        <v>11.98</v>
      </c>
      <c r="X56" s="61">
        <f>SUM(X54:X55)</f>
        <v>-12660</v>
      </c>
      <c r="Y56" s="39">
        <f t="shared" ref="Y56:AE56" si="24">SUM(Y54:Y55)</f>
        <v>-178.95</v>
      </c>
      <c r="Z56" s="61">
        <f>SUM(Z54:Z55)</f>
        <v>4441</v>
      </c>
      <c r="AA56" s="39">
        <f t="shared" si="24"/>
        <v>44.42</v>
      </c>
      <c r="AB56" s="61">
        <f>SUM(AB54:AB55)</f>
        <v>0</v>
      </c>
      <c r="AC56" s="39">
        <f t="shared" si="24"/>
        <v>0</v>
      </c>
      <c r="AD56" s="61">
        <f>SUM(AD54:AD55)</f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 t="shared" ref="D61:M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ref="N61:S61" si="26">SUM(N59:N60)</f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>SUM(X59:X60)</f>
        <v>0</v>
      </c>
      <c r="Y61" s="39">
        <f t="shared" ref="Y61:AE61" si="27">SUM(Y59:Y60)</f>
        <v>0</v>
      </c>
      <c r="Z61" s="61">
        <f>SUM(Z59:Z60)</f>
        <v>0</v>
      </c>
      <c r="AA61" s="39">
        <f t="shared" si="27"/>
        <v>0</v>
      </c>
      <c r="AB61" s="61">
        <f>SUM(AB59:AB60)</f>
        <v>0</v>
      </c>
      <c r="AC61" s="39">
        <f t="shared" si="27"/>
        <v>0</v>
      </c>
      <c r="AD61" s="61">
        <f>SUM(AD59:AD60)</f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-12452.81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10000</v>
      </c>
      <c r="H64" s="60">
        <f>'TX-EGM-GL'!H64+'TX-HPLR-GL '!H64+'TX-HPLC-GL'!H64</f>
        <v>0</v>
      </c>
      <c r="I64" s="38">
        <f>'TX-EGM-GL'!I64+'TX-HPLR-GL '!I64+'TX-HPLC-GL'!I64</f>
        <v>-10000</v>
      </c>
      <c r="J64" s="60">
        <f>'TX-EGM-GL'!J64+'TX-HPLR-GL '!J64+'TX-HPLC-GL'!J64</f>
        <v>0</v>
      </c>
      <c r="K64" s="38">
        <f>'TX-EGM-GL'!K64+'TX-HPLR-GL '!K64+'TX-HPLC-GL'!K64</f>
        <v>-886.91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7.0000000000000007E-2</v>
      </c>
      <c r="V64" s="60">
        <f>'TX-EGM-GL'!V64+'TX-HPLR-GL '!V64</f>
        <v>0</v>
      </c>
      <c r="W64" s="38">
        <f>'TX-EGM-GL'!W64+'TX-HPLR-GL '!W64</f>
        <v>-11565.97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 t="shared" ref="D66:M66" si="28">SUM(D64:D65)</f>
        <v>0</v>
      </c>
      <c r="E66" s="39">
        <f t="shared" si="28"/>
        <v>47547.19</v>
      </c>
      <c r="F66" s="61">
        <f t="shared" si="28"/>
        <v>0</v>
      </c>
      <c r="G66" s="39">
        <f t="shared" si="28"/>
        <v>10000</v>
      </c>
      <c r="H66" s="61">
        <f t="shared" si="28"/>
        <v>0</v>
      </c>
      <c r="I66" s="39">
        <f t="shared" si="28"/>
        <v>50000</v>
      </c>
      <c r="J66" s="61">
        <f t="shared" si="28"/>
        <v>0</v>
      </c>
      <c r="K66" s="39">
        <f t="shared" si="28"/>
        <v>-886.91</v>
      </c>
      <c r="L66" s="61">
        <f t="shared" si="28"/>
        <v>0</v>
      </c>
      <c r="M66" s="39">
        <f t="shared" si="28"/>
        <v>0</v>
      </c>
      <c r="N66" s="61">
        <f t="shared" ref="N66:S66" si="29">SUM(N64:N65)</f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>SUM(T64:T65)</f>
        <v>0</v>
      </c>
      <c r="U66" s="39">
        <f>SUM(U64:U65)</f>
        <v>7.0000000000000007E-2</v>
      </c>
      <c r="V66" s="61">
        <f>SUM(V64:V65)</f>
        <v>0</v>
      </c>
      <c r="W66" s="39">
        <f>SUM(W64:W65)</f>
        <v>-11565.97</v>
      </c>
      <c r="X66" s="61">
        <f>SUM(X64:X65)</f>
        <v>0</v>
      </c>
      <c r="Y66" s="39">
        <f t="shared" ref="Y66:AE66" si="30">SUM(Y64:Y65)</f>
        <v>0</v>
      </c>
      <c r="Z66" s="61">
        <f>SUM(Z64:Z65)</f>
        <v>0</v>
      </c>
      <c r="AA66" s="39">
        <f t="shared" si="30"/>
        <v>0</v>
      </c>
      <c r="AB66" s="61">
        <f>SUM(AB64:AB65)</f>
        <v>0</v>
      </c>
      <c r="AC66" s="39">
        <f t="shared" si="30"/>
        <v>0</v>
      </c>
      <c r="AD66" s="61">
        <f>SUM(AD64:AD65)</f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-1210108.6200000001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-1210108.6200000001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876739.35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876739.35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 t="shared" ref="D72:M72" si="31">SUM(D70:D71)</f>
        <v>0</v>
      </c>
      <c r="E72" s="39">
        <f t="shared" si="31"/>
        <v>-333369.27000000014</v>
      </c>
      <c r="F72" s="61">
        <f t="shared" si="31"/>
        <v>0</v>
      </c>
      <c r="G72" s="39">
        <f t="shared" si="31"/>
        <v>-333369.27000000014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ref="N72:S72" si="32">SUM(N70:N71)</f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>SUM(X70:X71)</f>
        <v>0</v>
      </c>
      <c r="Y72" s="39">
        <f t="shared" ref="Y72:AE72" si="33">SUM(Y70:Y71)</f>
        <v>0</v>
      </c>
      <c r="Z72" s="61">
        <f>SUM(Z70:Z71)</f>
        <v>0</v>
      </c>
      <c r="AA72" s="39">
        <f t="shared" si="33"/>
        <v>0</v>
      </c>
      <c r="AB72" s="61">
        <f>SUM(AB70:AB71)</f>
        <v>0</v>
      </c>
      <c r="AC72" s="39">
        <f t="shared" si="33"/>
        <v>0</v>
      </c>
      <c r="AD72" s="61">
        <f>SUM(AD70:AD71)</f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-902978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-902978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-10421.299999999999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-4125</v>
      </c>
      <c r="H76" s="60">
        <f>'TX-EGM-GL'!H76+'TX-HPLR-GL '!H76+'TX-HPLC-GL'!H76</f>
        <v>0</v>
      </c>
      <c r="I76" s="38">
        <f>'TX-EGM-GL'!I76+'TX-HPLR-GL '!I76+'TX-HPLC-GL'!I76</f>
        <v>-6296.3</v>
      </c>
      <c r="J76" s="60">
        <f>'TX-EGM-GL'!J76+'TX-HPLR-GL '!J76+'TX-HPLC-GL'!J76</f>
        <v>0</v>
      </c>
      <c r="K76" s="38">
        <f>'TX-EGM-GL'!K76+'TX-HPLR-GL '!K76+'TX-HPLC-GL'!K76</f>
        <v>0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-108300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-108300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650000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650000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1633018.9820000108</v>
      </c>
      <c r="F82" s="91">
        <f>F16+F24+F29+F36+F43+F45+F47+F49</f>
        <v>0</v>
      </c>
      <c r="G82" s="92">
        <f>SUM(G72:G81)+G16+G24+G29+G36+G43+G45+G47+G49+G51+G56+G61+G66</f>
        <v>-5865611.6499999994</v>
      </c>
      <c r="H82" s="91">
        <f>H16+H24+H29+H36+H43+H45+H47+H49</f>
        <v>0</v>
      </c>
      <c r="I82" s="92">
        <f>SUM(I72:I81)+I16+I24+I29+I36+I43+I45+I47+I49+I51+I56+I61+I66</f>
        <v>5592573.0610000044</v>
      </c>
      <c r="J82" s="91">
        <f>J16+J24+J29+J36+J43+J45+J47+J49</f>
        <v>0</v>
      </c>
      <c r="K82" s="92">
        <f>SUM(K72:K81)+K16+K24+K29+K36+K43+K45+K47+K49+K51+K56+K61+K66</f>
        <v>2005409.7840000002</v>
      </c>
      <c r="L82" s="91">
        <f>L16+L24+L29+L36+L43+L45+L47+L49</f>
        <v>0</v>
      </c>
      <c r="M82" s="92">
        <f>SUM(M72:M81)+M16+M24+M29+M36+M43+M45+M47+M49+M51+M56+M61+M66</f>
        <v>351940.36800000106</v>
      </c>
      <c r="N82" s="91">
        <f>N16+N24+N29+N36+N43+N45+N47+N49</f>
        <v>0</v>
      </c>
      <c r="O82" s="92">
        <f>SUM(O72:O81)+O16+O24+O29+O36+O43+O45+O47+O49+O51+O56+O61+O66</f>
        <v>374949.01899999985</v>
      </c>
      <c r="P82" s="91">
        <f>P16+P24+P29+P36+P43+P45+P47+P49</f>
        <v>0</v>
      </c>
      <c r="Q82" s="92">
        <f>SUM(Q72:Q81)+Q16+Q24+Q29+Q36+Q43+Q45+Q47+Q49+Q51+Q56+Q61+Q66</f>
        <v>319340.67000000004</v>
      </c>
      <c r="R82" s="91">
        <f>R16+R24+R29+R36+R43+R45+R47+R49</f>
        <v>0</v>
      </c>
      <c r="S82" s="92">
        <f>SUM(S72:S81)+S16+S24+S29+S36+S43+S45+S47+S49+S51+S56+S61+S66</f>
        <v>18905.919999999998</v>
      </c>
      <c r="T82" s="91">
        <f>T16+T24+T29+T36+T43+T45+T47+T49</f>
        <v>0</v>
      </c>
      <c r="U82" s="92">
        <f>SUM(U72:U81)+U16+U24+U29+U36+U43+U45+U47+U49+U51+U56+U61+U66</f>
        <v>-1160456.26</v>
      </c>
      <c r="V82" s="91">
        <f>V16+V24+V29+V36+V43+V45+V47+V49</f>
        <v>0</v>
      </c>
      <c r="W82" s="92">
        <f>SUM(W72:W81)+W16+W24+W29+W36+W43+W45+W47+W49+W51+W56+W61+W66</f>
        <v>-8355.0599999999267</v>
      </c>
      <c r="X82" s="91">
        <f>X16+X24+X29+X36+X43+X45+X47+X49</f>
        <v>0</v>
      </c>
      <c r="Y82" s="92">
        <f>SUM(Y72:Y81)+Y16+Y24+Y29+Y36+Y43+Y45+Y47+Y49+Y51+Y56+Y61+Y66</f>
        <v>9553.6099999999988</v>
      </c>
      <c r="Z82" s="91">
        <f>Z16+Z24+Z29+Z36+Z43+Z45+Z47+Z49</f>
        <v>0</v>
      </c>
      <c r="AA82" s="92">
        <f>SUM(AA72:AA81)+AA16+AA24+AA29+AA36+AA43+AA45+AA47+AA49+AA51+AA56+AA61+AA66</f>
        <v>-5236.9500000000007</v>
      </c>
      <c r="AB82" s="91">
        <f>AB16+AB24+AB29+AB36+AB43+AB45+AB47+AB49</f>
        <v>0</v>
      </c>
      <c r="AC82" s="92">
        <f>SUM(AC72:AC81)+AC16+AC24+AC29+AC36+AC43+AC45+AC47+AC49+AC51+AC56+AC61+AC66</f>
        <v>6.47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242607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242607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-390400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-390400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-147793</v>
      </c>
      <c r="F89" s="179">
        <f t="shared" si="36"/>
        <v>0</v>
      </c>
      <c r="G89" s="179">
        <f t="shared" si="36"/>
        <v>-147793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>SUM(V86:V88)</f>
        <v>0</v>
      </c>
      <c r="W89" s="179">
        <f>SUM(W86:W88)</f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1485225.9820000108</v>
      </c>
      <c r="F91" s="179">
        <f t="shared" si="38"/>
        <v>0</v>
      </c>
      <c r="G91" s="179">
        <f t="shared" si="38"/>
        <v>-6013404.6499999994</v>
      </c>
      <c r="H91" s="179">
        <f t="shared" si="38"/>
        <v>0</v>
      </c>
      <c r="I91" s="179">
        <f t="shared" si="38"/>
        <v>5592573.0610000044</v>
      </c>
      <c r="J91" s="179">
        <f>+J82+J89</f>
        <v>0</v>
      </c>
      <c r="K91" s="179">
        <f>+K82+K89</f>
        <v>2005409.7840000002</v>
      </c>
      <c r="L91" s="179">
        <f t="shared" si="38"/>
        <v>0</v>
      </c>
      <c r="M91" s="179">
        <f t="shared" si="38"/>
        <v>351940.36800000106</v>
      </c>
      <c r="N91" s="179">
        <f t="shared" ref="N91:AE91" si="39">+N82+N89</f>
        <v>0</v>
      </c>
      <c r="O91" s="179">
        <f t="shared" si="39"/>
        <v>374949.01899999985</v>
      </c>
      <c r="P91" s="179">
        <f t="shared" si="39"/>
        <v>0</v>
      </c>
      <c r="Q91" s="179">
        <f t="shared" si="39"/>
        <v>319340.67000000004</v>
      </c>
      <c r="R91" s="179">
        <f t="shared" si="39"/>
        <v>0</v>
      </c>
      <c r="S91" s="179">
        <f t="shared" si="39"/>
        <v>18905.919999999998</v>
      </c>
      <c r="T91" s="179">
        <f t="shared" si="39"/>
        <v>0</v>
      </c>
      <c r="U91" s="179">
        <f t="shared" si="39"/>
        <v>-1160456.26</v>
      </c>
      <c r="V91" s="179">
        <f>+V82+V89</f>
        <v>0</v>
      </c>
      <c r="W91" s="179">
        <f>+W82+W89</f>
        <v>-8355.0599999999267</v>
      </c>
      <c r="X91" s="179">
        <f t="shared" si="39"/>
        <v>0</v>
      </c>
      <c r="Y91" s="179">
        <f t="shared" si="39"/>
        <v>9553.6099999999988</v>
      </c>
      <c r="Z91" s="179">
        <f t="shared" si="39"/>
        <v>0</v>
      </c>
      <c r="AA91" s="179">
        <f t="shared" si="39"/>
        <v>-5236.9500000000007</v>
      </c>
      <c r="AB91" s="179">
        <f t="shared" si="39"/>
        <v>0</v>
      </c>
      <c r="AC91" s="179">
        <f t="shared" si="39"/>
        <v>6.47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J179"/>
  <sheetViews>
    <sheetView zoomScale="75" workbookViewId="0">
      <pane xSplit="3" ySplit="9" topLeftCell="U79" activePane="bottomRight" state="frozen"/>
      <selection activeCell="AB9" sqref="AB9"/>
      <selection pane="topRight" activeCell="AB9" sqref="AB9"/>
      <selection pane="bottomLeft" activeCell="AB9" sqref="AB9"/>
      <selection pane="bottomRight" activeCell="AC90" sqref="AC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27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29850257</v>
      </c>
      <c r="E11" s="38">
        <f>SUM(G11,I11,K11,M11,O11,Q11,S11,U11,W11,Y11,AA11,AC11,AE11)</f>
        <v>79654897.960000008</v>
      </c>
      <c r="F11" s="60">
        <f>'TIE-OUT'!P11+RECLASS!P11</f>
        <v>0</v>
      </c>
      <c r="G11" s="38">
        <f>'TIE-OUT'!Q11+RECLASS!Q11</f>
        <v>0</v>
      </c>
      <c r="H11" s="127">
        <f>+Actuals!E284</f>
        <v>29701760</v>
      </c>
      <c r="I11" s="128">
        <f>+Actuals!F284</f>
        <v>81563807.310000002</v>
      </c>
      <c r="J11" s="127">
        <f>+Actuals!G284</f>
        <v>39919</v>
      </c>
      <c r="K11" s="128">
        <f>+Actuals!H284</f>
        <v>-2145531.0299999998</v>
      </c>
      <c r="L11" s="127">
        <f>+Actuals!I484</f>
        <v>90673</v>
      </c>
      <c r="M11" s="128">
        <f>+Actuals!J484</f>
        <v>222897.7</v>
      </c>
      <c r="N11" s="127">
        <f>+Actuals!K484</f>
        <v>-11749</v>
      </c>
      <c r="O11" s="128">
        <f>+Actuals!L484</f>
        <v>-32378.39</v>
      </c>
      <c r="P11" s="127">
        <f>+Actuals!M484</f>
        <v>94</v>
      </c>
      <c r="Q11" s="128">
        <f>+Actuals!N484+-42003</f>
        <v>-41815.94</v>
      </c>
      <c r="R11" s="127">
        <f>+Actuals!O484</f>
        <v>-7940</v>
      </c>
      <c r="S11" s="128">
        <f>+Actuals!P484</f>
        <v>-20419.189999999999</v>
      </c>
      <c r="T11" s="127">
        <f>+Actuals!Q484</f>
        <v>37500</v>
      </c>
      <c r="U11" s="128">
        <f>+Actuals!R484</f>
        <v>108337.5</v>
      </c>
      <c r="V11" s="127">
        <f>+Actuals!S484</f>
        <v>0</v>
      </c>
      <c r="W11" s="128">
        <f>+Actuals!T484</f>
        <v>0</v>
      </c>
      <c r="X11" s="127">
        <f>+Actuals!U284</f>
        <v>0</v>
      </c>
      <c r="Y11" s="128">
        <f>+Actuals!V284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1951956.98</v>
      </c>
      <c r="F12" s="60">
        <f>'TIE-OUT'!P12+RECLASS!P12</f>
        <v>0</v>
      </c>
      <c r="G12" s="38">
        <f>'TIE-OUT'!Q12+RECLASS!Q12</f>
        <v>1951956.98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28">
        <f>+Actuals!H285</f>
        <v>0</v>
      </c>
      <c r="L12" s="127">
        <f>+Actuals!I485</f>
        <v>0</v>
      </c>
      <c r="M12" s="128">
        <f>+Actuals!J485</f>
        <v>0</v>
      </c>
      <c r="N12" s="127">
        <f>+Actuals!K485</f>
        <v>0</v>
      </c>
      <c r="O12" s="128">
        <f>+Actuals!L485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+Actuals!U285</f>
        <v>0</v>
      </c>
      <c r="Y12" s="128">
        <f>+Actuals!V285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14440811</v>
      </c>
      <c r="E13" s="38">
        <f t="shared" si="0"/>
        <v>34228120</v>
      </c>
      <c r="F13" s="60">
        <f>'TIE-OUT'!P13+RECLASS!P13</f>
        <v>0</v>
      </c>
      <c r="G13" s="38">
        <f>'TIE-OUT'!Q13+RECLASS!Q13</f>
        <v>0</v>
      </c>
      <c r="H13" s="127">
        <f>+Actuals!E286</f>
        <v>14440811</v>
      </c>
      <c r="I13" s="128">
        <f>+Actuals!F286</f>
        <v>34228120</v>
      </c>
      <c r="J13" s="127">
        <f>+Actuals!G286</f>
        <v>-13996001</v>
      </c>
      <c r="K13" s="128">
        <f>+Actuals!H286</f>
        <v>-32888363</v>
      </c>
      <c r="L13" s="127">
        <f>+Actuals!I486</f>
        <v>14440811</v>
      </c>
      <c r="M13" s="128">
        <f>+Actuals!J486</f>
        <v>34228120</v>
      </c>
      <c r="N13" s="127">
        <f>+Actuals!K486</f>
        <v>0</v>
      </c>
      <c r="O13" s="128">
        <f>+Actuals!L486</f>
        <v>0</v>
      </c>
      <c r="P13" s="127">
        <f>+Actuals!M486</f>
        <v>-14440811</v>
      </c>
      <c r="Q13" s="128">
        <f>+Actuals!N486</f>
        <v>-34228120</v>
      </c>
      <c r="R13" s="127">
        <f>+Actuals!O486</f>
        <v>0</v>
      </c>
      <c r="S13" s="128">
        <f>+Actuals!P486</f>
        <v>0</v>
      </c>
      <c r="T13" s="127">
        <f>+Actuals!Q486</f>
        <v>0</v>
      </c>
      <c r="U13" s="128">
        <f>+Actuals!R486</f>
        <v>0</v>
      </c>
      <c r="V13" s="127">
        <f>+Actuals!S486</f>
        <v>13996001</v>
      </c>
      <c r="W13" s="128">
        <f>+Actuals!T486</f>
        <v>32888363</v>
      </c>
      <c r="X13" s="127">
        <f>+Actuals!U286</f>
        <v>0</v>
      </c>
      <c r="Y13" s="128">
        <f>+Actuals!V286</f>
        <v>0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+Actuals!I487</f>
        <v>0</v>
      </c>
      <c r="M14" s="128">
        <f>+Actuals!J487</f>
        <v>0</v>
      </c>
      <c r="N14" s="127">
        <f>+Actuals!K487</f>
        <v>0</v>
      </c>
      <c r="O14" s="128">
        <f>+Actuals!L487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+Actuals!U287</f>
        <v>0</v>
      </c>
      <c r="Y14" s="128">
        <f>+Actuals!V287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1131190.43</v>
      </c>
      <c r="F15" s="81">
        <f>'TIE-OUT'!P15+RECLASS!P15</f>
        <v>0</v>
      </c>
      <c r="G15" s="82">
        <f>'TIE-OUT'!Q15+RECLASS!Q15</f>
        <v>0</v>
      </c>
      <c r="H15" s="127">
        <f>+Actuals!E288</f>
        <v>0</v>
      </c>
      <c r="I15" s="128">
        <f>+Actuals!F288</f>
        <v>23484.6</v>
      </c>
      <c r="J15" s="127">
        <f>+Actuals!G288</f>
        <v>0</v>
      </c>
      <c r="K15" s="128">
        <f>+Actuals!H288</f>
        <v>658371</v>
      </c>
      <c r="L15" s="127">
        <f>+Actuals!I488</f>
        <v>0</v>
      </c>
      <c r="M15" s="128">
        <f>+Actuals!J488</f>
        <v>0</v>
      </c>
      <c r="N15" s="127">
        <f>+Actuals!K488</f>
        <v>0</v>
      </c>
      <c r="O15" s="128">
        <f>+Actuals!L488</f>
        <v>0</v>
      </c>
      <c r="P15" s="127">
        <f>+Actuals!M488</f>
        <v>0</v>
      </c>
      <c r="Q15" s="128">
        <f>+Actuals!N488</f>
        <v>449334.83</v>
      </c>
      <c r="R15" s="127">
        <f>+Actuals!O488</f>
        <v>0</v>
      </c>
      <c r="S15" s="128">
        <f>+Actuals!P488</f>
        <v>0</v>
      </c>
      <c r="T15" s="127">
        <f>+Actuals!Q488</f>
        <v>0</v>
      </c>
      <c r="U15" s="128">
        <f>+Actuals!R488</f>
        <v>0</v>
      </c>
      <c r="V15" s="127">
        <f>+Actuals!S488</f>
        <v>0</v>
      </c>
      <c r="W15" s="128">
        <f>+Actuals!T488</f>
        <v>0</v>
      </c>
      <c r="X15" s="127">
        <f>+Actuals!U288</f>
        <v>0</v>
      </c>
      <c r="Y15" s="128">
        <f>+Actuals!V288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44291068</v>
      </c>
      <c r="E16" s="39">
        <f t="shared" si="1"/>
        <v>116966165.37000002</v>
      </c>
      <c r="F16" s="61">
        <f t="shared" si="1"/>
        <v>0</v>
      </c>
      <c r="G16" s="39">
        <f t="shared" si="1"/>
        <v>1951956.98</v>
      </c>
      <c r="H16" s="61">
        <f t="shared" si="1"/>
        <v>44142571</v>
      </c>
      <c r="I16" s="39">
        <f t="shared" si="1"/>
        <v>115815411.91</v>
      </c>
      <c r="J16" s="61">
        <f t="shared" si="1"/>
        <v>-13956082</v>
      </c>
      <c r="K16" s="39">
        <f t="shared" si="1"/>
        <v>-34375523.030000001</v>
      </c>
      <c r="L16" s="61">
        <f t="shared" si="1"/>
        <v>14531484</v>
      </c>
      <c r="M16" s="39">
        <f t="shared" si="1"/>
        <v>34451017.700000003</v>
      </c>
      <c r="N16" s="61">
        <f t="shared" ref="N16:S16" si="2">SUM(N11:N15)</f>
        <v>-11749</v>
      </c>
      <c r="O16" s="39">
        <f t="shared" si="2"/>
        <v>-32378.39</v>
      </c>
      <c r="P16" s="61">
        <f t="shared" si="2"/>
        <v>-14440717</v>
      </c>
      <c r="Q16" s="39">
        <f t="shared" si="2"/>
        <v>-33820601.109999999</v>
      </c>
      <c r="R16" s="61">
        <f t="shared" si="2"/>
        <v>-7940</v>
      </c>
      <c r="S16" s="39">
        <f t="shared" si="2"/>
        <v>-20419.189999999999</v>
      </c>
      <c r="T16" s="61">
        <f>SUM(T11:T15)</f>
        <v>37500</v>
      </c>
      <c r="U16" s="39">
        <f>SUM(U11:U15)</f>
        <v>108337.5</v>
      </c>
      <c r="V16" s="61">
        <f>SUM(V11:V15)</f>
        <v>13996001</v>
      </c>
      <c r="W16" s="39">
        <f>SUM(W11:W15)</f>
        <v>32888363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-31454557</v>
      </c>
      <c r="E19" s="38">
        <f t="shared" si="3"/>
        <v>-87283210.959999993</v>
      </c>
      <c r="F19" s="64">
        <f>'TIE-OUT'!P19+RECLASS!P19</f>
        <v>0</v>
      </c>
      <c r="G19" s="68">
        <f>'TIE-OUT'!Q19+RECLASS!Q19</f>
        <v>0</v>
      </c>
      <c r="H19" s="127">
        <f>+Actuals!E289</f>
        <v>-31505980</v>
      </c>
      <c r="I19" s="128">
        <f>+Actuals!F289</f>
        <v>-87833022.589999989</v>
      </c>
      <c r="J19" s="127">
        <f>+Actuals!G289</f>
        <v>169023</v>
      </c>
      <c r="K19" s="128">
        <f>+Actuals!H289</f>
        <v>956158.79</v>
      </c>
      <c r="L19" s="127">
        <f>+Actuals!I489</f>
        <v>-123818</v>
      </c>
      <c r="M19" s="128">
        <f>+Actuals!J489</f>
        <v>-340878.59</v>
      </c>
      <c r="N19" s="127">
        <f>+Actuals!K489</f>
        <v>784</v>
      </c>
      <c r="O19" s="128">
        <f>+Actuals!L489</f>
        <v>-26876.42</v>
      </c>
      <c r="P19" s="127">
        <f>+Actuals!M489</f>
        <v>4478</v>
      </c>
      <c r="Q19" s="128">
        <f>+Actuals!N489</f>
        <v>12456.57</v>
      </c>
      <c r="R19" s="127">
        <f>+Actuals!O489</f>
        <v>956</v>
      </c>
      <c r="S19" s="128">
        <f>+Actuals!P489</f>
        <v>1907.12</v>
      </c>
      <c r="T19" s="127">
        <f>+Actuals!Q489</f>
        <v>0</v>
      </c>
      <c r="U19" s="128">
        <f>+Actuals!R489</f>
        <v>0</v>
      </c>
      <c r="V19" s="127">
        <f>+Actuals!S489</f>
        <v>0</v>
      </c>
      <c r="W19" s="128">
        <f>+Actuals!T489</f>
        <v>-52955.839999999997</v>
      </c>
      <c r="X19" s="127">
        <f>+Actuals!U289</f>
        <v>0</v>
      </c>
      <c r="Y19" s="128">
        <f>+Actuals!V289</f>
        <v>0</v>
      </c>
      <c r="Z19" s="127">
        <f>+Actuals!W289</f>
        <v>0</v>
      </c>
      <c r="AA19" s="128">
        <f>+Actuals!X289</f>
        <v>0</v>
      </c>
      <c r="AB19" s="127">
        <f>+Actuals!Y289</f>
        <v>0</v>
      </c>
      <c r="AC19" s="128">
        <f>+Actuals!Z289</f>
        <v>0</v>
      </c>
      <c r="AD19" s="127">
        <f>+Actuals!AA289</f>
        <v>0</v>
      </c>
      <c r="AE19" s="128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-1061975.8400000001</v>
      </c>
      <c r="F20" s="60">
        <f>'TIE-OUT'!P20+RECLASS!P20</f>
        <v>0</v>
      </c>
      <c r="G20" s="38">
        <f>'TIE-OUT'!Q20+RECLASS!Q20</f>
        <v>-1061975.8400000001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+Actuals!I490</f>
        <v>0</v>
      </c>
      <c r="M20" s="155">
        <v>0</v>
      </c>
      <c r="N20" s="127">
        <f>+Actuals!K490</f>
        <v>0</v>
      </c>
      <c r="O20" s="155">
        <v>0</v>
      </c>
      <c r="P20" s="127">
        <f>+Actuals!M490</f>
        <v>0</v>
      </c>
      <c r="Q20" s="128">
        <v>0</v>
      </c>
      <c r="R20" s="127">
        <f>+Actuals!O490</f>
        <v>0</v>
      </c>
      <c r="S20" s="128">
        <v>0</v>
      </c>
      <c r="T20" s="127">
        <f>+Actuals!Q490</f>
        <v>0</v>
      </c>
      <c r="U20" s="128">
        <v>0</v>
      </c>
      <c r="V20" s="127">
        <f>+Actuals!S490</f>
        <v>0</v>
      </c>
      <c r="W20" s="128">
        <v>0</v>
      </c>
      <c r="X20" s="127">
        <f>+Actuals!U290</f>
        <v>0</v>
      </c>
      <c r="Y20" s="128">
        <f>+Actuals!V290</f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-13692828</v>
      </c>
      <c r="E21" s="38">
        <f t="shared" si="3"/>
        <v>-31908650</v>
      </c>
      <c r="F21" s="60">
        <f>'TIE-OUT'!P21+RECLASS!P21</f>
        <v>0</v>
      </c>
      <c r="G21" s="38">
        <f>'TIE-OUT'!Q21+RECLASS!Q21</f>
        <v>0</v>
      </c>
      <c r="H21" s="127">
        <f>+Actuals!E291</f>
        <v>-14139828</v>
      </c>
      <c r="I21" s="128">
        <f>+Actuals!F291</f>
        <v>-33221712</v>
      </c>
      <c r="J21" s="127">
        <f>+Actuals!G291</f>
        <v>13989738</v>
      </c>
      <c r="K21" s="128">
        <f>+Actuals!H291</f>
        <v>32869336</v>
      </c>
      <c r="L21" s="127">
        <f>+Actuals!I491</f>
        <v>-14139828</v>
      </c>
      <c r="M21" s="128">
        <f>+Actuals!J491</f>
        <v>-33221712</v>
      </c>
      <c r="N21" s="127">
        <f>+Actuals!K491</f>
        <v>0</v>
      </c>
      <c r="O21" s="128">
        <f>+Actuals!L491</f>
        <v>0</v>
      </c>
      <c r="P21" s="127">
        <f>+Actuals!M491</f>
        <v>14139828</v>
      </c>
      <c r="Q21" s="128">
        <f>+Actuals!N491</f>
        <v>33221712</v>
      </c>
      <c r="R21" s="127">
        <f>+Actuals!O491</f>
        <v>0</v>
      </c>
      <c r="S21" s="128">
        <f>+Actuals!P491</f>
        <v>0</v>
      </c>
      <c r="T21" s="127">
        <f>+Actuals!Q491</f>
        <v>0</v>
      </c>
      <c r="U21" s="128">
        <f>+Actuals!R491</f>
        <v>0</v>
      </c>
      <c r="V21" s="127">
        <f>+Actuals!S491</f>
        <v>-13542738</v>
      </c>
      <c r="W21" s="128">
        <f>+Actuals!T491</f>
        <v>-31556274</v>
      </c>
      <c r="X21" s="127">
        <f>+Actuals!U291</f>
        <v>0</v>
      </c>
      <c r="Y21" s="128">
        <f>+Actuals!V291</f>
        <v>0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+Actuals!I492</f>
        <v>0</v>
      </c>
      <c r="M22" s="128">
        <f>+Actuals!J492</f>
        <v>0</v>
      </c>
      <c r="N22" s="127">
        <f>+Actuals!K492</f>
        <v>0</v>
      </c>
      <c r="O22" s="128">
        <f>+Actuals!L492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+Actuals!U292</f>
        <v>0</v>
      </c>
      <c r="Y22" s="128">
        <f>+Actuals!V292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313415</v>
      </c>
      <c r="E23" s="38">
        <f t="shared" si="3"/>
        <v>905455.93400000001</v>
      </c>
      <c r="F23" s="81">
        <f>'TIE-OUT'!P23+RECLASS!P23</f>
        <v>0</v>
      </c>
      <c r="G23" s="82">
        <f>'TIE-OUT'!Q23+RECLASS!Q23</f>
        <v>0</v>
      </c>
      <c r="H23" s="127">
        <f>+Actuals!E293</f>
        <v>311938</v>
      </c>
      <c r="I23" s="128">
        <f>+Actuals!F293</f>
        <v>901188.88199999998</v>
      </c>
      <c r="J23" s="127">
        <f>+Actuals!G293</f>
        <v>-11876</v>
      </c>
      <c r="K23" s="128">
        <f>+Actuals!H293</f>
        <v>-34309.764000000003</v>
      </c>
      <c r="L23" s="127">
        <f>+Actuals!I493</f>
        <v>13417</v>
      </c>
      <c r="M23" s="128">
        <f>+Actuals!J493</f>
        <v>38761.713000000003</v>
      </c>
      <c r="N23" s="127">
        <f>+Actuals!K493</f>
        <v>0</v>
      </c>
      <c r="O23" s="128">
        <f>+Actuals!L493</f>
        <v>0</v>
      </c>
      <c r="P23" s="127">
        <f>+Actuals!M493</f>
        <v>-60</v>
      </c>
      <c r="Q23" s="128">
        <f>+Actuals!N493</f>
        <v>-173.34</v>
      </c>
      <c r="R23" s="127">
        <f>+Actuals!O493</f>
        <v>-3</v>
      </c>
      <c r="S23" s="128">
        <f>+Actuals!P493</f>
        <v>-8.6669999999999998</v>
      </c>
      <c r="T23" s="127">
        <f>+Actuals!Q493</f>
        <v>0</v>
      </c>
      <c r="U23" s="128">
        <f>+Actuals!R493</f>
        <v>0</v>
      </c>
      <c r="V23" s="127">
        <f>+Actuals!S493</f>
        <v>0</v>
      </c>
      <c r="W23" s="128">
        <f>+Actuals!T493</f>
        <v>0</v>
      </c>
      <c r="X23" s="127">
        <f>+Actuals!U293</f>
        <v>0</v>
      </c>
      <c r="Y23" s="128">
        <f>+Actuals!V293</f>
        <v>0</v>
      </c>
      <c r="Z23" s="127">
        <v>-1</v>
      </c>
      <c r="AA23" s="128">
        <v>-2.89</v>
      </c>
      <c r="AB23" s="127">
        <f>+Actuals!Y293</f>
        <v>0</v>
      </c>
      <c r="AC23" s="128">
        <f>+Actuals!Z293</f>
        <v>0</v>
      </c>
      <c r="AD23" s="127">
        <f>+Actuals!AA293</f>
        <v>0</v>
      </c>
      <c r="AE23" s="128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-44833970</v>
      </c>
      <c r="E24" s="39">
        <f t="shared" si="4"/>
        <v>-119348380.866</v>
      </c>
      <c r="F24" s="61">
        <f t="shared" si="4"/>
        <v>0</v>
      </c>
      <c r="G24" s="39">
        <f t="shared" si="4"/>
        <v>-1061975.8400000001</v>
      </c>
      <c r="H24" s="61">
        <f t="shared" si="4"/>
        <v>-45333870</v>
      </c>
      <c r="I24" s="39">
        <f t="shared" si="4"/>
        <v>-120153545.70799999</v>
      </c>
      <c r="J24" s="61">
        <f t="shared" si="4"/>
        <v>14146885</v>
      </c>
      <c r="K24" s="39">
        <f t="shared" si="4"/>
        <v>33791185.026000001</v>
      </c>
      <c r="L24" s="61">
        <f t="shared" si="4"/>
        <v>-14250229</v>
      </c>
      <c r="M24" s="39">
        <f t="shared" si="4"/>
        <v>-33523828.877000004</v>
      </c>
      <c r="N24" s="61">
        <f t="shared" ref="N24:S24" si="5">SUM(N19:N23)</f>
        <v>784</v>
      </c>
      <c r="O24" s="39">
        <f t="shared" si="5"/>
        <v>-26876.42</v>
      </c>
      <c r="P24" s="61">
        <f t="shared" si="5"/>
        <v>14144246</v>
      </c>
      <c r="Q24" s="39">
        <f t="shared" si="5"/>
        <v>33233995.23</v>
      </c>
      <c r="R24" s="61">
        <f t="shared" si="5"/>
        <v>953</v>
      </c>
      <c r="S24" s="39">
        <f t="shared" si="5"/>
        <v>1898.453</v>
      </c>
      <c r="T24" s="61">
        <f>SUM(T19:T23)</f>
        <v>0</v>
      </c>
      <c r="U24" s="39">
        <f>SUM(U19:U23)</f>
        <v>0</v>
      </c>
      <c r="V24" s="61">
        <f>SUM(V19:V23)</f>
        <v>-13542738</v>
      </c>
      <c r="W24" s="39">
        <f>SUM(W19:W23)</f>
        <v>-31609229.84</v>
      </c>
      <c r="X24" s="61">
        <f t="shared" si="4"/>
        <v>0</v>
      </c>
      <c r="Y24" s="39">
        <f t="shared" si="4"/>
        <v>0</v>
      </c>
      <c r="Z24" s="61">
        <f t="shared" si="4"/>
        <v>-1</v>
      </c>
      <c r="AA24" s="39">
        <f t="shared" si="4"/>
        <v>-2.89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683303</v>
      </c>
      <c r="E27" s="38">
        <f>SUM(G27,I27,K27,M27,O27,Q27,S27,U27,W27,Y27,AA27,AC27,AE27)</f>
        <v>1398317.28</v>
      </c>
      <c r="F27" s="64">
        <f>'TIE-OUT'!P27+RECLASS!P27</f>
        <v>0</v>
      </c>
      <c r="G27" s="68">
        <f>'TIE-OUT'!Q27+RECLASS!Q27</f>
        <v>0</v>
      </c>
      <c r="H27" s="127">
        <f>+Actuals!E294</f>
        <v>683303</v>
      </c>
      <c r="I27" s="128">
        <f>+Actuals!F294</f>
        <v>1398317.28</v>
      </c>
      <c r="J27" s="127">
        <f>+Actuals!G294</f>
        <v>0</v>
      </c>
      <c r="K27" s="128">
        <f>+Actuals!H294</f>
        <v>0</v>
      </c>
      <c r="L27" s="127">
        <f>+Actuals!I494</f>
        <v>0</v>
      </c>
      <c r="M27" s="128">
        <f>+Actuals!J494</f>
        <v>0</v>
      </c>
      <c r="N27" s="127">
        <f>+Actuals!K494</f>
        <v>0</v>
      </c>
      <c r="O27" s="128">
        <f>+Actuals!L494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+Actuals!Q494</f>
        <v>0</v>
      </c>
      <c r="U27" s="128">
        <f>+Actuals!R494</f>
        <v>0</v>
      </c>
      <c r="V27" s="127">
        <f>+Actuals!S494</f>
        <v>0</v>
      </c>
      <c r="W27" s="128">
        <f>+Actuals!T494</f>
        <v>0</v>
      </c>
      <c r="X27" s="127">
        <f>+Actuals!U294</f>
        <v>0</v>
      </c>
      <c r="Y27" s="128">
        <f>+Actuals!V294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f>+Actuals!AA294</f>
        <v>0</v>
      </c>
      <c r="AE27" s="128">
        <f>+Actuals!AB294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-143499</v>
      </c>
      <c r="E28" s="38">
        <f>SUM(G28,I28,K28,M28,O28,Q28,S28,U28,W28,Y28,AA28,AC28,AE28)</f>
        <v>-281037.87</v>
      </c>
      <c r="F28" s="81">
        <f>'TIE-OUT'!P28+RECLASS!P28</f>
        <v>0</v>
      </c>
      <c r="G28" s="82">
        <f>'TIE-OUT'!Q28+RECLASS!Q28</f>
        <v>0</v>
      </c>
      <c r="H28" s="127">
        <f>+Actuals!E295</f>
        <v>-143499</v>
      </c>
      <c r="I28" s="128">
        <f>+Actuals!F295</f>
        <v>-281037.87</v>
      </c>
      <c r="J28" s="127">
        <f>+Actuals!G295</f>
        <v>0</v>
      </c>
      <c r="K28" s="128">
        <f>+Actuals!H295</f>
        <v>0</v>
      </c>
      <c r="L28" s="127">
        <f>+Actuals!I495</f>
        <v>0</v>
      </c>
      <c r="M28" s="128">
        <f>+Actuals!J495</f>
        <v>0</v>
      </c>
      <c r="N28" s="127">
        <f>+Actuals!K495</f>
        <v>0</v>
      </c>
      <c r="O28" s="128">
        <f>+Actuals!L495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+Actuals!Q495</f>
        <v>0</v>
      </c>
      <c r="U28" s="128">
        <f>+Actuals!R495</f>
        <v>0</v>
      </c>
      <c r="V28" s="127">
        <f>+Actuals!S495</f>
        <v>0</v>
      </c>
      <c r="W28" s="128">
        <f>+Actuals!T495</f>
        <v>0</v>
      </c>
      <c r="X28" s="127">
        <f>+Actuals!U295</f>
        <v>0</v>
      </c>
      <c r="Y28" s="128">
        <f>+Actuals!V295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539804</v>
      </c>
      <c r="E29" s="39">
        <f t="shared" si="6"/>
        <v>1117279.4100000001</v>
      </c>
      <c r="F29" s="61">
        <f t="shared" si="6"/>
        <v>0</v>
      </c>
      <c r="G29" s="39">
        <f t="shared" si="6"/>
        <v>0</v>
      </c>
      <c r="H29" s="61">
        <f t="shared" si="6"/>
        <v>539804</v>
      </c>
      <c r="I29" s="39">
        <f t="shared" si="6"/>
        <v>1117279.4100000001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S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>SUM(W27:W28)</f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-65064</v>
      </c>
      <c r="E32" s="38">
        <f t="shared" si="8"/>
        <v>-187969.89500000002</v>
      </c>
      <c r="F32" s="64">
        <f>'TIE-OUT'!P32+RECLASS!P32</f>
        <v>0</v>
      </c>
      <c r="G32" s="68">
        <f>'TIE-OUT'!Q32+RECLASS!Q32</f>
        <v>0</v>
      </c>
      <c r="H32" s="127">
        <f>+Actuals!E296</f>
        <v>-5376</v>
      </c>
      <c r="I32" s="128">
        <f>+Actuals!F296</f>
        <v>-15531.263999999999</v>
      </c>
      <c r="J32" s="127">
        <f>+Actuals!G296</f>
        <v>119750</v>
      </c>
      <c r="K32" s="128">
        <f>+Actuals!H296</f>
        <v>345957.75</v>
      </c>
      <c r="L32" s="127">
        <f>+Actuals!I496</f>
        <v>-144170</v>
      </c>
      <c r="M32" s="128">
        <f>+Actuals!J496</f>
        <v>-416507.13</v>
      </c>
      <c r="N32" s="127">
        <f>+Actuals!K496</f>
        <v>0</v>
      </c>
      <c r="O32" s="128">
        <f>+Actuals!L496</f>
        <v>0</v>
      </c>
      <c r="P32" s="127">
        <f>+Actuals!M496</f>
        <v>-4295</v>
      </c>
      <c r="Q32" s="128">
        <f>+Actuals!N496</f>
        <v>-12408.254999999999</v>
      </c>
      <c r="R32" s="127">
        <f>+Actuals!O496</f>
        <v>-30974</v>
      </c>
      <c r="S32" s="128">
        <f>+Actuals!P496</f>
        <v>-89483.885999999999</v>
      </c>
      <c r="T32" s="127">
        <f>+Actuals!Q496</f>
        <v>0</v>
      </c>
      <c r="U32" s="128">
        <f>+Actuals!R496</f>
        <v>0</v>
      </c>
      <c r="V32" s="127">
        <f>+Actuals!S496</f>
        <v>0</v>
      </c>
      <c r="W32" s="128">
        <f>+Actuals!T496</f>
        <v>0</v>
      </c>
      <c r="X32" s="127">
        <f>+Actuals!U296</f>
        <v>0</v>
      </c>
      <c r="Y32" s="128">
        <f>+Actuals!V296</f>
        <v>0</v>
      </c>
      <c r="Z32" s="127">
        <v>1</v>
      </c>
      <c r="AA32" s="128">
        <v>2.89</v>
      </c>
      <c r="AB32" s="127">
        <f>+Actuals!Y296</f>
        <v>0</v>
      </c>
      <c r="AC32" s="128">
        <f>+Actuals!Z296</f>
        <v>0</v>
      </c>
      <c r="AD32" s="127">
        <f>+Actuals!AA296</f>
        <v>0</v>
      </c>
      <c r="AE32" s="128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-6959</v>
      </c>
      <c r="E33" s="38">
        <f t="shared" si="8"/>
        <v>-2773.2400000000002</v>
      </c>
      <c r="F33" s="60">
        <f>'TIE-OUT'!P33+RECLASS!P33</f>
        <v>0</v>
      </c>
      <c r="G33" s="38">
        <f>'TIE-OUT'!Q33+RECLASS!Q33</f>
        <v>0</v>
      </c>
      <c r="H33" s="127">
        <f>+Actuals!E297</f>
        <v>0</v>
      </c>
      <c r="I33" s="128">
        <f>+Actuals!F297</f>
        <v>0</v>
      </c>
      <c r="J33" s="127">
        <f>+Actuals!G297</f>
        <v>-959</v>
      </c>
      <c r="K33" s="128">
        <f>+Actuals!H297</f>
        <v>-2761.92</v>
      </c>
      <c r="L33" s="127">
        <f>+Actuals!I497</f>
        <v>-4</v>
      </c>
      <c r="M33" s="128">
        <f>+Actuals!J497</f>
        <v>-11.32</v>
      </c>
      <c r="N33" s="127">
        <f>+Actuals!K497</f>
        <v>0</v>
      </c>
      <c r="O33" s="128">
        <f>+Actuals!L497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+Actuals!U297</f>
        <v>0</v>
      </c>
      <c r="Y33" s="128">
        <f>+Actuals!V297</f>
        <v>0</v>
      </c>
      <c r="Z33" s="127">
        <v>-5996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24613</v>
      </c>
      <c r="E34" s="38">
        <f t="shared" si="8"/>
        <v>46412.55</v>
      </c>
      <c r="F34" s="60">
        <f>'TIE-OUT'!P34+RECLASS!P34</f>
        <v>0</v>
      </c>
      <c r="G34" s="38">
        <f>'TIE-OUT'!Q34+RECLASS!Q34</f>
        <v>0</v>
      </c>
      <c r="H34" s="127">
        <f>+Actuals!E298</f>
        <v>0</v>
      </c>
      <c r="I34" s="128">
        <f>+Actuals!F298</f>
        <v>0</v>
      </c>
      <c r="J34" s="127">
        <f>+Actuals!G298</f>
        <v>6868</v>
      </c>
      <c r="K34" s="128">
        <f>+Actuals!H298</f>
        <v>19037.38</v>
      </c>
      <c r="L34" s="127">
        <f>+Actuals!I498</f>
        <v>0</v>
      </c>
      <c r="M34" s="128">
        <f>+Actuals!J498</f>
        <v>0</v>
      </c>
      <c r="N34" s="127">
        <f>+Actuals!K498</f>
        <v>11749</v>
      </c>
      <c r="O34" s="128">
        <f>+Actuals!L498</f>
        <v>27375.17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+Actuals!U298</f>
        <v>0</v>
      </c>
      <c r="Y34" s="128">
        <f>+Actuals!V298</f>
        <v>0</v>
      </c>
      <c r="Z34" s="127">
        <v>5996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-148615.94</v>
      </c>
      <c r="F35" s="81">
        <f>'TIE-OUT'!P35+RECLASS!P35</f>
        <v>0</v>
      </c>
      <c r="G35" s="82">
        <f>'TIE-OUT'!Q35+RECLASS!Q35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+Actuals!I499</f>
        <v>0</v>
      </c>
      <c r="M35" s="128">
        <f>+Actuals!J499</f>
        <v>0</v>
      </c>
      <c r="N35" s="127">
        <f>+Actuals!K499</f>
        <v>0</v>
      </c>
      <c r="O35" s="128">
        <f>+Actuals!L499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+Actuals!U299</f>
        <v>0</v>
      </c>
      <c r="Y35" s="128">
        <v>-148615.94</v>
      </c>
      <c r="Z35" s="127">
        <f>+Actuals!W299</f>
        <v>0</v>
      </c>
      <c r="AA35" s="128">
        <f>+Actuals!X299</f>
        <v>0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-47410</v>
      </c>
      <c r="E36" s="39">
        <f t="shared" si="9"/>
        <v>-292946.52500000002</v>
      </c>
      <c r="F36" s="61">
        <f t="shared" si="9"/>
        <v>0</v>
      </c>
      <c r="G36" s="39">
        <f t="shared" si="9"/>
        <v>0</v>
      </c>
      <c r="H36" s="61">
        <f t="shared" si="9"/>
        <v>-5376</v>
      </c>
      <c r="I36" s="39">
        <f t="shared" si="9"/>
        <v>-15531.263999999999</v>
      </c>
      <c r="J36" s="61">
        <f t="shared" si="9"/>
        <v>125659</v>
      </c>
      <c r="K36" s="39">
        <f t="shared" si="9"/>
        <v>362233.21</v>
      </c>
      <c r="L36" s="61">
        <f t="shared" si="9"/>
        <v>-144174</v>
      </c>
      <c r="M36" s="39">
        <f t="shared" si="9"/>
        <v>-416518.45</v>
      </c>
      <c r="N36" s="61">
        <f t="shared" ref="N36:S36" si="10">SUM(N32:N35)</f>
        <v>11749</v>
      </c>
      <c r="O36" s="39">
        <f t="shared" si="10"/>
        <v>27375.17</v>
      </c>
      <c r="P36" s="61">
        <f t="shared" si="10"/>
        <v>-4295</v>
      </c>
      <c r="Q36" s="39">
        <f t="shared" si="10"/>
        <v>-12408.254999999999</v>
      </c>
      <c r="R36" s="61">
        <f t="shared" si="10"/>
        <v>-30974</v>
      </c>
      <c r="S36" s="39">
        <f t="shared" si="10"/>
        <v>-89483.885999999999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9"/>
        <v>0</v>
      </c>
      <c r="Y36" s="39">
        <f t="shared" si="9"/>
        <v>-148615.94</v>
      </c>
      <c r="Z36" s="61">
        <f t="shared" si="9"/>
        <v>1</v>
      </c>
      <c r="AA36" s="39">
        <f t="shared" si="9"/>
        <v>2.89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94537</v>
      </c>
      <c r="E39" s="38">
        <f t="shared" si="11"/>
        <v>245148.74</v>
      </c>
      <c r="F39" s="64">
        <f>'TIE-OUT'!P39+RECLASS!P39</f>
        <v>0</v>
      </c>
      <c r="G39" s="68">
        <f>'TIE-OUT'!Q39+RECLASS!Q39</f>
        <v>0</v>
      </c>
      <c r="H39" s="127">
        <f>+Actuals!E300</f>
        <v>44573</v>
      </c>
      <c r="I39" s="128">
        <f>+Actuals!F300</f>
        <v>99843.520000000004</v>
      </c>
      <c r="J39" s="127">
        <f>+Actuals!G300</f>
        <v>49964</v>
      </c>
      <c r="K39" s="128">
        <f>+Actuals!H300</f>
        <v>145305.22</v>
      </c>
      <c r="L39" s="127">
        <f>+Actuals!I500</f>
        <v>0</v>
      </c>
      <c r="M39" s="128">
        <f>+Actuals!J500</f>
        <v>0</v>
      </c>
      <c r="N39" s="127">
        <f>+Actuals!K500</f>
        <v>0</v>
      </c>
      <c r="O39" s="128">
        <f>+Actuals!L500</f>
        <v>0</v>
      </c>
      <c r="P39" s="127">
        <f>+Actuals!M500</f>
        <v>0</v>
      </c>
      <c r="Q39" s="128">
        <f>+Actuals!N500</f>
        <v>0</v>
      </c>
      <c r="R39" s="127">
        <f>+Actuals!O500</f>
        <v>0</v>
      </c>
      <c r="S39" s="128">
        <f>+Actuals!P500</f>
        <v>0</v>
      </c>
      <c r="T39" s="127">
        <f>+Actuals!Q500</f>
        <v>0</v>
      </c>
      <c r="U39" s="128">
        <f>+Actuals!R500</f>
        <v>0</v>
      </c>
      <c r="V39" s="127">
        <f>+Actuals!S500</f>
        <v>0</v>
      </c>
      <c r="W39" s="128">
        <f>+Actuals!T500</f>
        <v>0</v>
      </c>
      <c r="X39" s="127">
        <f>+Actuals!U300</f>
        <v>0</v>
      </c>
      <c r="Y39" s="128">
        <f>+Actuals!V300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+Actuals!I501</f>
        <v>0</v>
      </c>
      <c r="M40" s="128">
        <f>+Actuals!J501</f>
        <v>0</v>
      </c>
      <c r="N40" s="127">
        <f>+Actuals!K501</f>
        <v>0</v>
      </c>
      <c r="O40" s="128">
        <f>+Actuals!L501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0</v>
      </c>
      <c r="X40" s="127">
        <f>+Actuals!U301</f>
        <v>0</v>
      </c>
      <c r="Y40" s="128">
        <f>+Actuals!V301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+Actuals!I502</f>
        <v>0</v>
      </c>
      <c r="M41" s="128">
        <f>+Actuals!J502</f>
        <v>0</v>
      </c>
      <c r="N41" s="127">
        <f>+Actuals!K502</f>
        <v>0</v>
      </c>
      <c r="O41" s="128">
        <f>+Actuals!L502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+Actuals!U302</f>
        <v>0</v>
      </c>
      <c r="Y41" s="128">
        <f>+Actuals!V302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S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94537</v>
      </c>
      <c r="E43" s="39">
        <f t="shared" si="14"/>
        <v>245148.74</v>
      </c>
      <c r="F43" s="61">
        <f t="shared" si="14"/>
        <v>0</v>
      </c>
      <c r="G43" s="39">
        <f t="shared" si="14"/>
        <v>0</v>
      </c>
      <c r="H43" s="61">
        <f t="shared" si="14"/>
        <v>44573</v>
      </c>
      <c r="I43" s="39">
        <f t="shared" si="14"/>
        <v>99843.520000000004</v>
      </c>
      <c r="J43" s="61">
        <f t="shared" si="14"/>
        <v>49964</v>
      </c>
      <c r="K43" s="39">
        <f t="shared" si="14"/>
        <v>145305.22</v>
      </c>
      <c r="L43" s="61">
        <f t="shared" si="14"/>
        <v>0</v>
      </c>
      <c r="M43" s="39">
        <f t="shared" si="14"/>
        <v>0</v>
      </c>
      <c r="N43" s="61">
        <f t="shared" ref="N43:S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+Actuals!I503</f>
        <v>0</v>
      </c>
      <c r="M45" s="128">
        <f>+Actuals!J503</f>
        <v>0</v>
      </c>
      <c r="N45" s="127">
        <f>+Actuals!K503</f>
        <v>0</v>
      </c>
      <c r="O45" s="128">
        <f>+Actuals!L503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+Actuals!U303</f>
        <v>0</v>
      </c>
      <c r="Y45" s="128">
        <f>+Actuals!V303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'TIE-OUT'!P47+RECLASS!P47</f>
        <v>0</v>
      </c>
      <c r="G47" s="38">
        <f>'TIE-OUT'!Q47+RECLASS!Q47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+Actuals!I504</f>
        <v>0</v>
      </c>
      <c r="M47" s="128">
        <f>+Actuals!J504</f>
        <v>0</v>
      </c>
      <c r="N47" s="127">
        <f>+Actuals!K504</f>
        <v>0</v>
      </c>
      <c r="O47" s="128">
        <f>+Actuals!L504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+Actuals!U304</f>
        <v>0</v>
      </c>
      <c r="Y47" s="128">
        <f>+Actuals!V304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-44029</v>
      </c>
      <c r="E49" s="38">
        <f>SUM(G49,I49,K49,M49,O49,Q49,S49,U49,W49,Y49,AA49,AC49,AE49)</f>
        <v>-127199.78100000019</v>
      </c>
      <c r="F49" s="60">
        <f>'TIE-OUT'!P49+RECLASS!P49</f>
        <v>0</v>
      </c>
      <c r="G49" s="38">
        <f>'TIE-OUT'!Q49+RECLASS!Q49</f>
        <v>0</v>
      </c>
      <c r="H49" s="127">
        <f>+Actuals!E305</f>
        <v>612298</v>
      </c>
      <c r="I49" s="128">
        <f>+Actuals!F305</f>
        <v>1768928.922</v>
      </c>
      <c r="J49" s="127">
        <f>+Actuals!G305</f>
        <v>-366426</v>
      </c>
      <c r="K49" s="128">
        <f>+Actuals!H305</f>
        <v>-1058604.7140000002</v>
      </c>
      <c r="L49" s="127">
        <f>+Actuals!I505</f>
        <v>-137081</v>
      </c>
      <c r="M49" s="128">
        <f>+Actuals!J505</f>
        <v>-396027.00900000002</v>
      </c>
      <c r="N49" s="127">
        <f>+Actuals!K505</f>
        <v>-784</v>
      </c>
      <c r="O49" s="128">
        <f>+Actuals!L505</f>
        <v>-2264.9760000000001</v>
      </c>
      <c r="P49" s="127">
        <f>+Actuals!M505</f>
        <v>300766</v>
      </c>
      <c r="Q49" s="128">
        <f>+Actuals!N505</f>
        <v>868912.97400000005</v>
      </c>
      <c r="R49" s="127">
        <f>+Actuals!O505</f>
        <v>37961</v>
      </c>
      <c r="S49" s="128">
        <f>+Actuals!P505</f>
        <v>109669.329</v>
      </c>
      <c r="T49" s="127">
        <f>+Actuals!Q505</f>
        <v>-37500</v>
      </c>
      <c r="U49" s="128">
        <f>+Actuals!R505</f>
        <v>-108337.5</v>
      </c>
      <c r="V49" s="127">
        <f>+Actuals!S505</f>
        <v>-453263</v>
      </c>
      <c r="W49" s="128">
        <f>+Actuals!T505</f>
        <v>-1309476.807</v>
      </c>
      <c r="X49" s="127">
        <f>+Actuals!U305</f>
        <v>0</v>
      </c>
      <c r="Y49" s="128">
        <f>+Actuals!V305</f>
        <v>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f>+Actuals!AA305</f>
        <v>0</v>
      </c>
      <c r="AE49" s="128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-313415</v>
      </c>
      <c r="E51" s="38">
        <f>SUM(G51,I51,K51,M51,O51,Q51,S51,U51,W51,Y51,AA51,AC51,AE51)</f>
        <v>-905455.93400000001</v>
      </c>
      <c r="F51" s="60">
        <f>'TIE-OUT'!P51+RECLASS!P51</f>
        <v>0</v>
      </c>
      <c r="G51" s="38">
        <f>'TIE-OUT'!Q51+RECLASS!Q51</f>
        <v>0</v>
      </c>
      <c r="H51" s="127">
        <f>+Actuals!E306</f>
        <v>-311938</v>
      </c>
      <c r="I51" s="128">
        <f>+Actuals!F306</f>
        <v>-901188.88199999998</v>
      </c>
      <c r="J51" s="127">
        <f>+Actuals!G306</f>
        <v>11876</v>
      </c>
      <c r="K51" s="128">
        <f>+Actuals!H306</f>
        <v>34309.764000000003</v>
      </c>
      <c r="L51" s="127">
        <f>+Actuals!I506</f>
        <v>-13417</v>
      </c>
      <c r="M51" s="128">
        <f>+Actuals!J506</f>
        <v>-38761.713000000003</v>
      </c>
      <c r="N51" s="127">
        <f>+Actuals!K506</f>
        <v>0</v>
      </c>
      <c r="O51" s="128">
        <f>+Actuals!L506</f>
        <v>0</v>
      </c>
      <c r="P51" s="127">
        <f>+Actuals!M506</f>
        <v>60</v>
      </c>
      <c r="Q51" s="128">
        <f>+Actuals!N506</f>
        <v>173.34</v>
      </c>
      <c r="R51" s="127">
        <f>+Actuals!O506</f>
        <v>3</v>
      </c>
      <c r="S51" s="128">
        <f>+Actuals!P506</f>
        <v>8.6669999999999998</v>
      </c>
      <c r="T51" s="127">
        <f>+Actuals!Q506</f>
        <v>0</v>
      </c>
      <c r="U51" s="128">
        <f>+Actuals!R506</f>
        <v>0</v>
      </c>
      <c r="V51" s="127">
        <f>+Actuals!S506</f>
        <v>0</v>
      </c>
      <c r="W51" s="128">
        <f>+Actuals!T506</f>
        <v>0</v>
      </c>
      <c r="X51" s="127">
        <f>+Actuals!U306</f>
        <v>0</v>
      </c>
      <c r="Y51" s="128">
        <f>+Actuals!V306</f>
        <v>0</v>
      </c>
      <c r="Z51" s="127">
        <v>1</v>
      </c>
      <c r="AA51" s="128">
        <v>2.89</v>
      </c>
      <c r="AB51" s="127">
        <f>+Actuals!Y306</f>
        <v>0</v>
      </c>
      <c r="AC51" s="128">
        <f>+Actuals!Z306</f>
        <v>0</v>
      </c>
      <c r="AD51" s="127">
        <f>+Actuals!AA306</f>
        <v>0</v>
      </c>
      <c r="AE51" s="12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-22388172</v>
      </c>
      <c r="E54" s="38">
        <f>SUM(G54,I54,K54,M54,O54,Q54,S54,U54,W54,Y54,AA54,AC54,AE54)</f>
        <v>-52853.44999999999</v>
      </c>
      <c r="F54" s="64">
        <f>'TIE-OUT'!P54+RECLASS!P54</f>
        <v>0</v>
      </c>
      <c r="G54" s="68">
        <f>'TIE-OUT'!Q54+RECLASS!Q54</f>
        <v>0</v>
      </c>
      <c r="H54" s="127">
        <f>+Actuals!E307</f>
        <v>-20303606</v>
      </c>
      <c r="I54" s="128">
        <f>+Actuals!F307</f>
        <v>-58526.68</v>
      </c>
      <c r="J54" s="127">
        <f>+Actuals!G307</f>
        <v>2567596</v>
      </c>
      <c r="K54" s="128">
        <f>+Actuals!H307</f>
        <v>-99602.38</v>
      </c>
      <c r="L54" s="127">
        <f>+Actuals!I507</f>
        <v>-1216019</v>
      </c>
      <c r="M54" s="128">
        <f>+Actuals!J507</f>
        <v>87413.86</v>
      </c>
      <c r="N54" s="127">
        <f>+Actuals!K507</f>
        <v>-3088105</v>
      </c>
      <c r="O54" s="128">
        <f>+Actuals!L507</f>
        <v>-1038.93</v>
      </c>
      <c r="P54" s="127">
        <f>+Actuals!M507</f>
        <v>118</v>
      </c>
      <c r="Q54" s="128">
        <f>+Actuals!N507</f>
        <v>-69.049999999999272</v>
      </c>
      <c r="R54" s="127">
        <f>+Actuals!O507</f>
        <v>-354808</v>
      </c>
      <c r="S54" s="128">
        <f>+Actuals!P507</f>
        <v>-405.43</v>
      </c>
      <c r="T54" s="127">
        <f>+Actuals!Q507</f>
        <v>0</v>
      </c>
      <c r="U54" s="128">
        <f>+Actuals!R507</f>
        <v>19817.599999999999</v>
      </c>
      <c r="V54" s="127">
        <f>+Actuals!S507</f>
        <v>312856</v>
      </c>
      <c r="W54" s="128">
        <f>+Actuals!T507</f>
        <v>0.5</v>
      </c>
      <c r="X54" s="127">
        <v>-312850</v>
      </c>
      <c r="Y54" s="128">
        <f>+Actuals!V307</f>
        <v>0</v>
      </c>
      <c r="Z54" s="127">
        <f>+Actuals!W307</f>
        <v>0</v>
      </c>
      <c r="AA54" s="128">
        <f>+Actuals!X307</f>
        <v>0</v>
      </c>
      <c r="AB54" s="127">
        <v>6646</v>
      </c>
      <c r="AC54" s="128">
        <v>-442.94</v>
      </c>
      <c r="AD54" s="127">
        <f>+Actuals!AA307</f>
        <v>0</v>
      </c>
      <c r="AE54" s="128">
        <f>+Actuals!AB307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-2524306.5999999996</v>
      </c>
      <c r="F55" s="81">
        <f>'TIE-OUT'!P55+RECLASS!P55</f>
        <v>0</v>
      </c>
      <c r="G55" s="82">
        <f>'TIE-OUT'!Q55+RECLASS!Q55</f>
        <v>0</v>
      </c>
      <c r="H55" s="127">
        <f>+Actuals!E308</f>
        <v>0</v>
      </c>
      <c r="I55" s="128">
        <f>+Actuals!F308</f>
        <v>-2504319.7999999998</v>
      </c>
      <c r="J55" s="127">
        <f>+Actuals!G308</f>
        <v>0</v>
      </c>
      <c r="K55" s="128">
        <f>+Actuals!H308</f>
        <v>-501813.16</v>
      </c>
      <c r="L55" s="127">
        <f>+Actuals!I508</f>
        <v>0</v>
      </c>
      <c r="M55" s="128">
        <f>+Actuals!J508</f>
        <v>-6115.5</v>
      </c>
      <c r="N55" s="127">
        <f>+Actuals!K508</f>
        <v>0</v>
      </c>
      <c r="O55" s="128">
        <f>+Actuals!L508</f>
        <v>1038.93</v>
      </c>
      <c r="P55" s="127">
        <f>+Actuals!M508</f>
        <v>0</v>
      </c>
      <c r="Q55" s="128">
        <f>+Actuals!N508</f>
        <v>0</v>
      </c>
      <c r="R55" s="127">
        <f>+Actuals!O508</f>
        <v>0</v>
      </c>
      <c r="S55" s="128">
        <f>+Actuals!P508</f>
        <v>405.43</v>
      </c>
      <c r="T55" s="127">
        <f>+Actuals!Q508</f>
        <v>0</v>
      </c>
      <c r="U55" s="158">
        <f>+Actuals!R508+486498</f>
        <v>486498</v>
      </c>
      <c r="V55" s="127">
        <f>+Actuals!S508</f>
        <v>0</v>
      </c>
      <c r="W55" s="158">
        <f>+Actuals!T508</f>
        <v>-0.5</v>
      </c>
      <c r="X55" s="127">
        <f>+Actuals!U308</f>
        <v>0</v>
      </c>
      <c r="Y55" s="128">
        <f>+Actuals!V308</f>
        <v>0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-22388172</v>
      </c>
      <c r="E56" s="39">
        <f t="shared" si="16"/>
        <v>-2577160.0499999998</v>
      </c>
      <c r="F56" s="61">
        <f t="shared" si="16"/>
        <v>0</v>
      </c>
      <c r="G56" s="39">
        <f t="shared" si="16"/>
        <v>0</v>
      </c>
      <c r="H56" s="61">
        <f t="shared" si="16"/>
        <v>-20303606</v>
      </c>
      <c r="I56" s="39">
        <f t="shared" si="16"/>
        <v>-2562846.48</v>
      </c>
      <c r="J56" s="61">
        <f t="shared" si="16"/>
        <v>2567596</v>
      </c>
      <c r="K56" s="39">
        <f t="shared" si="16"/>
        <v>-601415.54</v>
      </c>
      <c r="L56" s="61">
        <f t="shared" si="16"/>
        <v>-1216019</v>
      </c>
      <c r="M56" s="39">
        <f t="shared" si="16"/>
        <v>81298.36</v>
      </c>
      <c r="N56" s="61">
        <f t="shared" ref="N56:S56" si="17">SUM(N54:N55)</f>
        <v>-3088105</v>
      </c>
      <c r="O56" s="39">
        <f t="shared" si="17"/>
        <v>0</v>
      </c>
      <c r="P56" s="61">
        <f t="shared" si="17"/>
        <v>118</v>
      </c>
      <c r="Q56" s="39">
        <f t="shared" si="17"/>
        <v>-69.049999999999272</v>
      </c>
      <c r="R56" s="61">
        <f t="shared" si="17"/>
        <v>-354808</v>
      </c>
      <c r="S56" s="39">
        <f t="shared" si="17"/>
        <v>0</v>
      </c>
      <c r="T56" s="61">
        <f>SUM(T54:T55)</f>
        <v>0</v>
      </c>
      <c r="U56" s="39">
        <f>SUM(U54:U55)</f>
        <v>506315.6</v>
      </c>
      <c r="V56" s="61">
        <f>SUM(V54:V55)</f>
        <v>312856</v>
      </c>
      <c r="W56" s="39">
        <f>SUM(W54:W55)</f>
        <v>0</v>
      </c>
      <c r="X56" s="61">
        <f t="shared" si="16"/>
        <v>-312850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6646</v>
      </c>
      <c r="AC56" s="39">
        <f t="shared" si="16"/>
        <v>-442.94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'TIE-OUT'!P59+RECLASS!P59</f>
        <v>0</v>
      </c>
      <c r="G59" s="68">
        <f>'TIE-OUT'!Q59+RECLASS!Q59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+Actuals!I509</f>
        <v>0</v>
      </c>
      <c r="M59" s="128">
        <f>+Actuals!J509</f>
        <v>0</v>
      </c>
      <c r="N59" s="127">
        <f>+Actuals!K509</f>
        <v>0</v>
      </c>
      <c r="O59" s="128">
        <f>+Actuals!L509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+Actuals!U309</f>
        <v>0</v>
      </c>
      <c r="Y59" s="128">
        <f>+Actuals!V309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+Actuals!I510</f>
        <v>0</v>
      </c>
      <c r="M60" s="128">
        <f>+Actuals!J510</f>
        <v>0</v>
      </c>
      <c r="N60" s="127">
        <f>+Actuals!K510</f>
        <v>0</v>
      </c>
      <c r="O60" s="128">
        <f>+Actuals!L510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+Actuals!U310</f>
        <v>0</v>
      </c>
      <c r="Y60" s="128">
        <f>+Actuals!V310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S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'TIE-OUT'!P64+RECLASS!P64</f>
        <v>0</v>
      </c>
      <c r="G64" s="68">
        <f>'TIE-OUT'!Q64+RECLASS!Q64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+Actuals!I511</f>
        <v>0</v>
      </c>
      <c r="M64" s="128">
        <f>+Actuals!J511</f>
        <v>0</v>
      </c>
      <c r="N64" s="127">
        <f>+Actuals!K511</f>
        <v>0</v>
      </c>
      <c r="O64" s="128">
        <f>+Actuals!L511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+Actuals!U311</f>
        <v>0</v>
      </c>
      <c r="Y64" s="128">
        <f>+Actuals!V311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'TIE-OUT'!P65+RECLASS!P65</f>
        <v>0</v>
      </c>
      <c r="G65" s="82">
        <f>'TIE-OUT'!Q65+RECLASS!Q65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+Actuals!I512</f>
        <v>0</v>
      </c>
      <c r="M65" s="128">
        <f>+Actuals!J512</f>
        <v>0</v>
      </c>
      <c r="N65" s="127">
        <f>+Actuals!K512</f>
        <v>0</v>
      </c>
      <c r="O65" s="128">
        <f>+Actuals!L512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+Actuals!U312</f>
        <v>0</v>
      </c>
      <c r="Y65" s="128">
        <f>+Actuals!V312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S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1968882.46</v>
      </c>
      <c r="F70" s="64">
        <f>'TIE-OUT'!P70+RECLASS!P70</f>
        <v>0</v>
      </c>
      <c r="G70" s="68">
        <f>'TIE-OUT'!Q70+RECLASS!Q70</f>
        <v>1968882.46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+Actuals!I513</f>
        <v>0</v>
      </c>
      <c r="M70" s="128">
        <f>+Actuals!J513</f>
        <v>0</v>
      </c>
      <c r="N70" s="127">
        <f>+Actuals!K513</f>
        <v>0</v>
      </c>
      <c r="O70" s="128">
        <f>+Actuals!L513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+Actuals!U313</f>
        <v>0</v>
      </c>
      <c r="Y70" s="128">
        <f>+Actuals!V313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1343082</v>
      </c>
      <c r="F71" s="81">
        <f>'TIE-OUT'!P71+RECLASS!P71</f>
        <v>0</v>
      </c>
      <c r="G71" s="82">
        <f>'TIE-OUT'!Q71+RECLASS!Q71</f>
        <v>1343082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+Actuals!I514</f>
        <v>0</v>
      </c>
      <c r="M71" s="128">
        <f>+Actuals!J514</f>
        <v>0</v>
      </c>
      <c r="N71" s="127">
        <f>+Actuals!K514</f>
        <v>0</v>
      </c>
      <c r="O71" s="128">
        <f>+Actuals!L514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+Actuals!U314</f>
        <v>0</v>
      </c>
      <c r="Y71" s="128">
        <f>+Actuals!V314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3311964.46</v>
      </c>
      <c r="F72" s="61">
        <f t="shared" si="22"/>
        <v>0</v>
      </c>
      <c r="G72" s="39">
        <f t="shared" si="22"/>
        <v>3311964.46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S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+Actuals!I515</f>
        <v>0</v>
      </c>
      <c r="M73" s="128">
        <f>+Actuals!J515</f>
        <v>0</v>
      </c>
      <c r="N73" s="127">
        <f>+Actuals!K515</f>
        <v>0</v>
      </c>
      <c r="O73" s="128">
        <f>+Actuals!L515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+Actuals!U315</f>
        <v>0</v>
      </c>
      <c r="Y73" s="128">
        <f>+Actuals!V315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2473554</v>
      </c>
      <c r="F74" s="60">
        <f>'TIE-OUT'!P74+RECLASS!P74</f>
        <v>0</v>
      </c>
      <c r="G74" s="60">
        <f>'TIE-OUT'!Q74+RECLASS!Q74</f>
        <v>3874176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f>21738+14100-16996.84-1436460+16996.84</f>
        <v>-1400622</v>
      </c>
      <c r="L74" s="127">
        <f>+Actuals!I516</f>
        <v>0</v>
      </c>
      <c r="M74" s="128">
        <f>+Actuals!J516</f>
        <v>0</v>
      </c>
      <c r="N74" s="127">
        <f>+Actuals!K516</f>
        <v>0</v>
      </c>
      <c r="O74" s="128">
        <f>+Actuals!L516</f>
        <v>0</v>
      </c>
      <c r="P74" s="127">
        <f>+Actuals!M516</f>
        <v>0</v>
      </c>
      <c r="Q74" s="128">
        <f>+Actuals!N516</f>
        <v>0</v>
      </c>
      <c r="R74" s="127">
        <f>+Actuals!O516</f>
        <v>0</v>
      </c>
      <c r="S74" s="128">
        <f>+Actuals!P516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+Actuals!U316</f>
        <v>0</v>
      </c>
      <c r="Y74" s="128">
        <f>+Actuals!V316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78500</v>
      </c>
      <c r="F75" s="60">
        <f>'TIE-OUT'!P75+RECLASS!P75</f>
        <v>0</v>
      </c>
      <c r="G75" s="60">
        <f>'TIE-OUT'!Q75+RECLASS!Q75</f>
        <v>78500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+Actuals!I517</f>
        <v>0</v>
      </c>
      <c r="M75" s="128">
        <f>+Actuals!J517</f>
        <v>0</v>
      </c>
      <c r="N75" s="127">
        <f>+Actuals!K517</f>
        <v>0</v>
      </c>
      <c r="O75" s="128">
        <f>+Actuals!L517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+Actuals!U317</f>
        <v>0</v>
      </c>
      <c r="Y75" s="128">
        <f>+Actuals!V317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-21883.7</v>
      </c>
      <c r="F76" s="60">
        <f>'TIE-OUT'!P76+RECLASS!P76</f>
        <v>0</v>
      </c>
      <c r="G76" s="60">
        <f>'TIE-OUT'!Q76+RECLASS!Q76</f>
        <v>0</v>
      </c>
      <c r="H76" s="127">
        <f>+Actuals!E318</f>
        <v>0</v>
      </c>
      <c r="I76" s="128">
        <f>+Actuals!F318</f>
        <v>-21509.95</v>
      </c>
      <c r="J76" s="127">
        <f>+Actuals!G318</f>
        <v>0</v>
      </c>
      <c r="K76" s="128">
        <f>+Actuals!H318</f>
        <v>-373.75</v>
      </c>
      <c r="L76" s="127">
        <f>+Actuals!I518</f>
        <v>0</v>
      </c>
      <c r="M76" s="128">
        <f>+Actuals!J518</f>
        <v>0</v>
      </c>
      <c r="N76" s="127">
        <f>+Actuals!K518</f>
        <v>0</v>
      </c>
      <c r="O76" s="128">
        <f>+Actuals!L518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+Actuals!U318</f>
        <v>0</v>
      </c>
      <c r="Y76" s="128">
        <f>+Actuals!V318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+Actuals!I519</f>
        <v>0</v>
      </c>
      <c r="M77" s="128">
        <f>+Actuals!J519</f>
        <v>0</v>
      </c>
      <c r="N77" s="127">
        <f>+Actuals!K519</f>
        <v>0</v>
      </c>
      <c r="O77" s="128">
        <f>+Actuals!L519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+Actuals!U319</f>
        <v>0</v>
      </c>
      <c r="Y77" s="128">
        <f>+Actuals!V319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+Actuals!I520</f>
        <v>0</v>
      </c>
      <c r="M78" s="128">
        <f>+Actuals!J520</f>
        <v>0</v>
      </c>
      <c r="N78" s="127">
        <f>+Actuals!K520</f>
        <v>0</v>
      </c>
      <c r="O78" s="128">
        <f>+Actuals!L520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+Actuals!U320</f>
        <v>0</v>
      </c>
      <c r="Y78" s="128">
        <f>+Actuals!V320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+Actuals!I521</f>
        <v>0</v>
      </c>
      <c r="M79" s="128">
        <f>+Actuals!J521</f>
        <v>0</v>
      </c>
      <c r="N79" s="127">
        <f>+Actuals!K521</f>
        <v>0</v>
      </c>
      <c r="O79" s="128">
        <f>+Actuals!L521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+Actuals!U321</f>
        <v>0</v>
      </c>
      <c r="Y79" s="128">
        <f>+Actuals!V321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+Actuals!I522</f>
        <v>0</v>
      </c>
      <c r="M80" s="128">
        <f>+Actuals!J522</f>
        <v>0</v>
      </c>
      <c r="N80" s="127">
        <f>+Actuals!K522</f>
        <v>0</v>
      </c>
      <c r="O80" s="128">
        <f>+Actuals!L522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+Actuals!U322</f>
        <v>0</v>
      </c>
      <c r="Y80" s="128">
        <f>+Actuals!V322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55256.86</v>
      </c>
      <c r="F81" s="60">
        <f>'TIE-OUT'!P81+RECLASS!P81</f>
        <v>0</v>
      </c>
      <c r="G81" s="60">
        <f>'TIE-OUT'!Q81+RECLASS!Q81</f>
        <v>0</v>
      </c>
      <c r="H81" s="127">
        <f>+Actuals!E323</f>
        <v>0</v>
      </c>
      <c r="I81" s="128">
        <f>+Actuals!F323</f>
        <v>59703.86</v>
      </c>
      <c r="J81" s="127">
        <f>+Actuals!G323</f>
        <v>0</v>
      </c>
      <c r="K81" s="128">
        <f>+Actuals!H323</f>
        <v>-4447</v>
      </c>
      <c r="L81" s="127">
        <f>+Actuals!I523</f>
        <v>0</v>
      </c>
      <c r="M81" s="128">
        <f>+Actuals!J523</f>
        <v>0</v>
      </c>
      <c r="N81" s="127">
        <f>+Actuals!K523</f>
        <v>0</v>
      </c>
      <c r="O81" s="128">
        <f>+Actuals!L523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+Actuals!U323</f>
        <v>0</v>
      </c>
      <c r="Y81" s="128">
        <f>+Actuals!V323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974841.98400002765</v>
      </c>
      <c r="F82" s="91">
        <f>F16+F24+F29+F36+F43+F45+F47+F49</f>
        <v>0</v>
      </c>
      <c r="G82" s="92">
        <f>SUM(G72:G81)+G16+G24+G29+G36+G43+G45+G47+G49+G51+G56+G61+G66</f>
        <v>8154621.5999999996</v>
      </c>
      <c r="H82" s="91">
        <f>H16+H24+H29+H36+H43+H45+H47+H49</f>
        <v>0</v>
      </c>
      <c r="I82" s="92">
        <f>SUM(I72:I81)+I16+I24+I29+I36+I43+I45+I47+I49+I51+I56+I61+I66</f>
        <v>-4793454.6619999968</v>
      </c>
      <c r="J82" s="91">
        <f>J16+J24+J29+J36+J43+J45+J47+J49</f>
        <v>0</v>
      </c>
      <c r="K82" s="156">
        <f>SUM(K72:K81)+K16+K24+K29+K36+K43+K45+K47+K49+K51+K56+K61+K66</f>
        <v>-3107952.8140000007</v>
      </c>
      <c r="L82" s="91">
        <f>L16+L24+L29+L36+L43+L45+L47+L49</f>
        <v>0</v>
      </c>
      <c r="M82" s="92">
        <f>SUM(M72:M81)+M16+M24+M29+M36+M43+M45+M47+M49+M51+M56+M61+M66</f>
        <v>157180.01099999889</v>
      </c>
      <c r="N82" s="91">
        <f>N16+N24+N29+N36+N43+N45+N47+N49</f>
        <v>0</v>
      </c>
      <c r="O82" s="92">
        <f>SUM(O72:O81)+O16+O24+O29+O36+O43+O45+O47+O49+O51+O56+O61+O66</f>
        <v>-34144.616000000002</v>
      </c>
      <c r="P82" s="91">
        <f>P16+P24+P29+P36+P43+P45+P47+P49</f>
        <v>0</v>
      </c>
      <c r="Q82" s="92">
        <f>SUM(Q72:Q81)+Q16+Q24+Q29+Q36+Q43+Q45+Q47+Q49+Q51+Q56+Q61+Q66</f>
        <v>270003.12900000112</v>
      </c>
      <c r="R82" s="91">
        <f>R16+R24+R29+R36+R43+R45+R47+R49</f>
        <v>0</v>
      </c>
      <c r="S82" s="92">
        <f>SUM(S72:S81)+S16+S24+S29+S36+S43+S45+S47+S49+S51+S56+S61+S66</f>
        <v>1673.3730000000055</v>
      </c>
      <c r="T82" s="91">
        <f>T16+T24+T29+T36+T43+T45+T47+T49</f>
        <v>0</v>
      </c>
      <c r="U82" s="92">
        <f>SUM(U72:U81)+U16+U24+U29+U36+U43+U45+U47+U49+U51+U56+U61+U66</f>
        <v>506315.6</v>
      </c>
      <c r="V82" s="91">
        <f>V16+V24+V29+V36+V43+V45+V47+V49</f>
        <v>0</v>
      </c>
      <c r="W82" s="92">
        <f>SUM(W72:W81)+W16+W24+W29+W36+W43+W45+W47+W49+W51+W56+W61+W66</f>
        <v>-30343.646999999881</v>
      </c>
      <c r="X82" s="91">
        <f>X16+X24+X29+X36+X43+X45+X47+X49</f>
        <v>0</v>
      </c>
      <c r="Y82" s="92">
        <f>SUM(Y72:Y81)+Y16+Y24+Y29+Y36+Y43+Y45+Y47+Y49+Y51+Y56+Y61+Y66</f>
        <v>-148615.94</v>
      </c>
      <c r="Z82" s="91">
        <f>Z16+Z24+Z29+Z36+Z43+Z45+Z47+Z49</f>
        <v>0</v>
      </c>
      <c r="AA82" s="92">
        <f>SUM(AA72:AA81)+AA16+AA24+AA29+AA36+AA43+AA45+AA47+AA49+AA51+AA56+AA61+AA66</f>
        <v>2.89</v>
      </c>
      <c r="AB82" s="91">
        <f>AB16+AB24+AB29+AB36+AB43+AB45+AB47+AB49</f>
        <v>0</v>
      </c>
      <c r="AC82" s="92">
        <f>SUM(AC72:AC81)+AC16+AC24+AC29+AC36+AC43+AC45+AC47+AC49+AC51+AC56+AC61+AC66</f>
        <v>-442.94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J179"/>
  <sheetViews>
    <sheetView zoomScale="75" workbookViewId="0">
      <pane xSplit="3" ySplit="9" topLeftCell="T70" activePane="bottomRight" state="frozen"/>
      <selection activeCell="AB9" sqref="AB9"/>
      <selection pane="topRight" activeCell="AB9" sqref="AB9"/>
      <selection pane="bottomLeft" activeCell="AB9" sqref="AB9"/>
      <selection pane="bottomRight" activeCell="AB9" sqref="AB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56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12989211</v>
      </c>
      <c r="E11" s="38">
        <f>SUM(G11,I11,K11,M11,O11,Q11,S11,U11,W11,Y11,AA11,AC11,AE11)</f>
        <v>40465893.060000002</v>
      </c>
      <c r="F11" s="60">
        <f>'TIE-OUT'!AD11+RECLASS!AD11</f>
        <v>0</v>
      </c>
      <c r="G11" s="38">
        <f>'TIE-OUT'!AE11+RECLASS!AE11</f>
        <v>1591805</v>
      </c>
      <c r="H11" s="130">
        <f>7500+12788119</f>
        <v>12795619</v>
      </c>
      <c r="I11" s="131">
        <f>25740+34845578</f>
        <v>34871318</v>
      </c>
      <c r="J11" s="130">
        <v>92472</v>
      </c>
      <c r="K11" s="131">
        <v>2424306</v>
      </c>
      <c r="L11" s="127">
        <f>+Actuals!I124</f>
        <v>97576</v>
      </c>
      <c r="M11" s="131">
        <f>+Actuals!J124</f>
        <v>1578167.54</v>
      </c>
      <c r="N11" s="127">
        <f>+Actuals!K124</f>
        <v>0</v>
      </c>
      <c r="O11" s="131">
        <f>+Actuals!L124</f>
        <v>10.52</v>
      </c>
      <c r="P11" s="130">
        <f>+Actuals!M124</f>
        <v>0</v>
      </c>
      <c r="Q11" s="131">
        <f>+Actuals!N124</f>
        <v>0</v>
      </c>
      <c r="R11" s="130">
        <f>+Actuals!O124</f>
        <v>0</v>
      </c>
      <c r="S11" s="131">
        <f>+Actuals!P124</f>
        <v>0</v>
      </c>
      <c r="T11" s="130">
        <f>+Actuals!Q124</f>
        <v>3544</v>
      </c>
      <c r="U11" s="131">
        <f>+Actuals!R124</f>
        <v>286</v>
      </c>
      <c r="V11" s="130">
        <f>+Actuals!S124</f>
        <v>0</v>
      </c>
      <c r="W11" s="131">
        <f>+Actuals!T124</f>
        <v>0</v>
      </c>
      <c r="X11" s="130">
        <f>+Actuals!U84</f>
        <v>0</v>
      </c>
      <c r="Y11" s="131">
        <f>+Actuals!V84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'TIE-OUT'!AD12+RECLASS!AD12</f>
        <v>0</v>
      </c>
      <c r="G12" s="38">
        <f>'TIE-OUT'!AE12+RECLASS!AE12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31">
        <f>+Actuals!H85</f>
        <v>0</v>
      </c>
      <c r="L12" s="130">
        <f>+Actuals!I125</f>
        <v>0</v>
      </c>
      <c r="M12" s="131">
        <f>+Actuals!J125</f>
        <v>0</v>
      </c>
      <c r="N12" s="130">
        <f>+Actuals!K125</f>
        <v>0</v>
      </c>
      <c r="O12" s="131">
        <f>+Actuals!L125</f>
        <v>0</v>
      </c>
      <c r="P12" s="130">
        <f>+Actuals!M125</f>
        <v>0</v>
      </c>
      <c r="Q12" s="131">
        <f>+Actuals!N125</f>
        <v>0</v>
      </c>
      <c r="R12" s="130">
        <f>+Actuals!O125</f>
        <v>0</v>
      </c>
      <c r="S12" s="131">
        <f>+Actuals!P125</f>
        <v>0</v>
      </c>
      <c r="T12" s="130">
        <f>+Actuals!Q125</f>
        <v>0</v>
      </c>
      <c r="U12" s="131">
        <f>+Actuals!R125</f>
        <v>0</v>
      </c>
      <c r="V12" s="130">
        <f>+Actuals!S125</f>
        <v>0</v>
      </c>
      <c r="W12" s="131">
        <f>+Actuals!T125</f>
        <v>0</v>
      </c>
      <c r="X12" s="130">
        <f>+Actuals!U85</f>
        <v>0</v>
      </c>
      <c r="Y12" s="131">
        <f>+Actuals!V85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28397164</v>
      </c>
      <c r="E13" s="38">
        <f t="shared" si="0"/>
        <v>76589544</v>
      </c>
      <c r="F13" s="60">
        <f>'TIE-OUT'!AD13+RECLASS!AD13</f>
        <v>0</v>
      </c>
      <c r="G13" s="38">
        <f>'TIE-OUT'!AE13+RECLASS!AE13</f>
        <v>0</v>
      </c>
      <c r="H13" s="130">
        <v>28397164</v>
      </c>
      <c r="I13" s="131">
        <v>76589544</v>
      </c>
      <c r="J13" s="130">
        <v>-18141175</v>
      </c>
      <c r="K13" s="131">
        <v>-48032436</v>
      </c>
      <c r="L13" s="130">
        <f>+Actuals!I126</f>
        <v>28397164</v>
      </c>
      <c r="M13" s="131">
        <f>+Actuals!J126</f>
        <v>76589544</v>
      </c>
      <c r="N13" s="130">
        <f>+Actuals!K126</f>
        <v>0</v>
      </c>
      <c r="O13" s="131">
        <f>+Actuals!L126</f>
        <v>0</v>
      </c>
      <c r="P13" s="130">
        <f>+Actuals!M126</f>
        <v>-28397164</v>
      </c>
      <c r="Q13" s="131">
        <f>+Actuals!N126</f>
        <v>-76589544</v>
      </c>
      <c r="R13" s="130">
        <f>+Actuals!O126</f>
        <v>0</v>
      </c>
      <c r="S13" s="131">
        <f>+Actuals!P126</f>
        <v>0</v>
      </c>
      <c r="T13" s="130">
        <f>+Actuals!Q126</f>
        <v>0</v>
      </c>
      <c r="U13" s="131">
        <f>+Actuals!R126</f>
        <v>0</v>
      </c>
      <c r="V13" s="130">
        <f>+Actuals!S126</f>
        <v>18141175</v>
      </c>
      <c r="W13" s="131">
        <f>+Actuals!T126</f>
        <v>48032436</v>
      </c>
      <c r="X13" s="130">
        <f>+Actuals!U86</f>
        <v>0</v>
      </c>
      <c r="Y13" s="131">
        <f>+Actuals!V86</f>
        <v>0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'TIE-OUT'!AD14+RECLASS!AD14</f>
        <v>0</v>
      </c>
      <c r="G14" s="38">
        <f>'TIE-OUT'!AE14+RECLASS!AE14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31">
        <f>+Actuals!H87</f>
        <v>0</v>
      </c>
      <c r="L14" s="130">
        <f>+Actuals!I127</f>
        <v>0</v>
      </c>
      <c r="M14" s="131">
        <f>+Actuals!J127</f>
        <v>0</v>
      </c>
      <c r="N14" s="130">
        <f>+Actuals!K127</f>
        <v>0</v>
      </c>
      <c r="O14" s="131">
        <f>+Actuals!L127</f>
        <v>0</v>
      </c>
      <c r="P14" s="130">
        <f>+Actuals!M127</f>
        <v>0</v>
      </c>
      <c r="Q14" s="131">
        <f>+Actuals!N127</f>
        <v>0</v>
      </c>
      <c r="R14" s="130">
        <f>+Actuals!O127</f>
        <v>0</v>
      </c>
      <c r="S14" s="131">
        <f>+Actuals!P127</f>
        <v>0</v>
      </c>
      <c r="T14" s="130">
        <f>+Actuals!Q127</f>
        <v>0</v>
      </c>
      <c r="U14" s="131">
        <f>+Actuals!R127</f>
        <v>0</v>
      </c>
      <c r="V14" s="130">
        <f>+Actuals!S127</f>
        <v>0</v>
      </c>
      <c r="W14" s="131">
        <f>+Actuals!T127</f>
        <v>0</v>
      </c>
      <c r="X14" s="130">
        <f>+Actuals!U87</f>
        <v>0</v>
      </c>
      <c r="Y14" s="131">
        <f>+Actuals!V87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10414942</v>
      </c>
      <c r="F15" s="81">
        <f>'TIE-OUT'!AD15+RECLASS!AD15</f>
        <v>0</v>
      </c>
      <c r="G15" s="82">
        <f>'TIE-OUT'!AE15+RECLASS!AE15</f>
        <v>-4035874</v>
      </c>
      <c r="H15" s="130">
        <f>+Actuals!E88</f>
        <v>0</v>
      </c>
      <c r="I15" s="131">
        <v>13125565</v>
      </c>
      <c r="J15" s="130">
        <f>+Actuals!G88</f>
        <v>0</v>
      </c>
      <c r="K15" s="131">
        <v>1343100</v>
      </c>
      <c r="L15" s="130">
        <f>+Actuals!I128</f>
        <v>0</v>
      </c>
      <c r="M15" s="131">
        <f>+Actuals!J128</f>
        <v>0</v>
      </c>
      <c r="N15" s="130">
        <f>+Actuals!K128</f>
        <v>0</v>
      </c>
      <c r="O15" s="131">
        <f>+Actuals!L128</f>
        <v>7947</v>
      </c>
      <c r="P15" s="130">
        <f>+Actuals!M128</f>
        <v>0</v>
      </c>
      <c r="Q15" s="131">
        <f>+Actuals!N128</f>
        <v>-25796</v>
      </c>
      <c r="R15" s="130">
        <f>+Actuals!O128</f>
        <v>0</v>
      </c>
      <c r="S15" s="131">
        <f>+Actuals!P128</f>
        <v>0</v>
      </c>
      <c r="T15" s="130">
        <f>+Actuals!Q128</f>
        <v>0</v>
      </c>
      <c r="U15" s="131">
        <f>+Actuals!R128</f>
        <v>0</v>
      </c>
      <c r="V15" s="130">
        <f>+Actuals!S128</f>
        <v>0</v>
      </c>
      <c r="W15" s="131">
        <f>+Actuals!T128</f>
        <v>0</v>
      </c>
      <c r="X15" s="130">
        <f>+Actuals!U88</f>
        <v>0</v>
      </c>
      <c r="Y15" s="131">
        <f>+Actuals!V88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41386375</v>
      </c>
      <c r="E16" s="39">
        <f t="shared" si="1"/>
        <v>127470379.06</v>
      </c>
      <c r="F16" s="61">
        <f t="shared" si="1"/>
        <v>0</v>
      </c>
      <c r="G16" s="39">
        <f t="shared" si="1"/>
        <v>-2444069</v>
      </c>
      <c r="H16" s="61">
        <f t="shared" si="1"/>
        <v>41192783</v>
      </c>
      <c r="I16" s="39">
        <f t="shared" si="1"/>
        <v>124586427</v>
      </c>
      <c r="J16" s="61">
        <f t="shared" ref="J16:O16" si="2">SUM(J11:J15)</f>
        <v>-18048703</v>
      </c>
      <c r="K16" s="39">
        <f t="shared" si="2"/>
        <v>-44265030</v>
      </c>
      <c r="L16" s="61">
        <f t="shared" si="2"/>
        <v>28494740</v>
      </c>
      <c r="M16" s="39">
        <f t="shared" si="2"/>
        <v>78167711.540000007</v>
      </c>
      <c r="N16" s="61">
        <f t="shared" si="2"/>
        <v>0</v>
      </c>
      <c r="O16" s="39">
        <f t="shared" si="2"/>
        <v>7957.52</v>
      </c>
      <c r="P16" s="61">
        <f t="shared" ref="P16:U16" si="3">SUM(P11:P15)</f>
        <v>-28397164</v>
      </c>
      <c r="Q16" s="39">
        <f t="shared" si="3"/>
        <v>-76615340</v>
      </c>
      <c r="R16" s="61">
        <f t="shared" si="3"/>
        <v>0</v>
      </c>
      <c r="S16" s="39">
        <f t="shared" si="3"/>
        <v>0</v>
      </c>
      <c r="T16" s="61">
        <f t="shared" si="3"/>
        <v>3544</v>
      </c>
      <c r="U16" s="39">
        <f t="shared" si="3"/>
        <v>286</v>
      </c>
      <c r="V16" s="61">
        <f>SUM(V11:V15)</f>
        <v>18141175</v>
      </c>
      <c r="W16" s="39">
        <f>SUM(W11:W15)</f>
        <v>48032436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-6914047</v>
      </c>
      <c r="E19" s="38">
        <f t="shared" si="4"/>
        <v>-22688902.149999999</v>
      </c>
      <c r="F19" s="64">
        <f>'TIE-OUT'!AD19+RECLASS!AD19</f>
        <v>0</v>
      </c>
      <c r="G19" s="68">
        <f>'TIE-OUT'!AE19+RECLASS!AE19</f>
        <v>32229</v>
      </c>
      <c r="H19" s="130">
        <v>-6931794</v>
      </c>
      <c r="I19" s="131">
        <v>-22128826</v>
      </c>
      <c r="J19" s="130">
        <v>2677</v>
      </c>
      <c r="K19" s="131">
        <v>-592309</v>
      </c>
      <c r="L19" s="130">
        <f>+Actuals!I129</f>
        <v>15070</v>
      </c>
      <c r="M19" s="131">
        <f>+Actuals!J129</f>
        <v>36020.32</v>
      </c>
      <c r="N19" s="130">
        <f>+Actuals!K129</f>
        <v>0</v>
      </c>
      <c r="O19" s="131">
        <f>+Actuals!L129</f>
        <v>-5</v>
      </c>
      <c r="P19" s="130">
        <f>+Actuals!M129</f>
        <v>0</v>
      </c>
      <c r="Q19" s="131">
        <f>+Actuals!N129</f>
        <v>0</v>
      </c>
      <c r="R19" s="130">
        <f>+Actuals!O129</f>
        <v>0</v>
      </c>
      <c r="S19" s="131">
        <f>+Actuals!P129</f>
        <v>0</v>
      </c>
      <c r="T19" s="130">
        <f>+Actuals!Q129</f>
        <v>0</v>
      </c>
      <c r="U19" s="131">
        <f>+Actuals!R129</f>
        <v>0</v>
      </c>
      <c r="V19" s="130">
        <f>+Actuals!S129</f>
        <v>0</v>
      </c>
      <c r="W19" s="131">
        <f>+Actuals!T129</f>
        <v>-36011.47</v>
      </c>
      <c r="X19" s="130">
        <f>+Actuals!U89</f>
        <v>0</v>
      </c>
      <c r="Y19" s="131">
        <f>+Actuals!V89</f>
        <v>0</v>
      </c>
      <c r="Z19" s="130">
        <f>+Actuals!W89</f>
        <v>0</v>
      </c>
      <c r="AA19" s="131">
        <f>+Actuals!X89</f>
        <v>0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-100590</v>
      </c>
      <c r="F20" s="60">
        <f>'TIE-OUT'!AD20+RECLASS!AD20</f>
        <v>0</v>
      </c>
      <c r="G20" s="38">
        <f>'TIE-OUT'!AE20+RECLASS!AE20</f>
        <v>-100590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31">
        <f>+Actuals!H90</f>
        <v>0</v>
      </c>
      <c r="L20" s="130">
        <f>+Actuals!I130</f>
        <v>0</v>
      </c>
      <c r="M20" s="155">
        <v>0</v>
      </c>
      <c r="N20" s="130">
        <f>+Actuals!K130</f>
        <v>0</v>
      </c>
      <c r="O20" s="155">
        <v>0</v>
      </c>
      <c r="P20" s="130">
        <f>+Actuals!M130</f>
        <v>0</v>
      </c>
      <c r="Q20" s="131">
        <v>0</v>
      </c>
      <c r="R20" s="130">
        <f>+Actuals!O130</f>
        <v>0</v>
      </c>
      <c r="S20" s="131">
        <v>0</v>
      </c>
      <c r="T20" s="130">
        <f>+Actuals!Q130</f>
        <v>0</v>
      </c>
      <c r="U20" s="131">
        <v>0</v>
      </c>
      <c r="V20" s="130">
        <f>+Actuals!S130</f>
        <v>0</v>
      </c>
      <c r="W20" s="131">
        <v>0</v>
      </c>
      <c r="X20" s="130">
        <f>+Actuals!U90</f>
        <v>0</v>
      </c>
      <c r="Y20" s="131">
        <f>+Actuals!V90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-33209597</v>
      </c>
      <c r="E21" s="38">
        <f t="shared" si="4"/>
        <v>-88728638</v>
      </c>
      <c r="F21" s="60">
        <f>'TIE-OUT'!AD21+RECLASS!AD21</f>
        <v>0</v>
      </c>
      <c r="G21" s="38">
        <f>'TIE-OUT'!AE21+RECLASS!AE21</f>
        <v>0</v>
      </c>
      <c r="H21" s="130">
        <v>-33209597</v>
      </c>
      <c r="I21" s="131">
        <v>-88728638</v>
      </c>
      <c r="J21" s="130">
        <v>18526538</v>
      </c>
      <c r="K21" s="131">
        <v>48775926</v>
      </c>
      <c r="L21" s="130">
        <f>+Actuals!I131</f>
        <v>-33209597</v>
      </c>
      <c r="M21" s="131">
        <f>+Actuals!J131</f>
        <v>-88728638</v>
      </c>
      <c r="N21" s="130">
        <f>+Actuals!K131</f>
        <v>0</v>
      </c>
      <c r="O21" s="131">
        <f>+Actuals!L131</f>
        <v>0</v>
      </c>
      <c r="P21" s="130">
        <f>+Actuals!M131</f>
        <v>33209597</v>
      </c>
      <c r="Q21" s="131">
        <f>+Actuals!N131</f>
        <v>88728638</v>
      </c>
      <c r="R21" s="130">
        <f>+Actuals!O131</f>
        <v>-1034</v>
      </c>
      <c r="S21" s="131">
        <f>+Actuals!P131</f>
        <v>-2895</v>
      </c>
      <c r="T21" s="130">
        <f>+Actuals!Q131</f>
        <v>0</v>
      </c>
      <c r="U21" s="131">
        <f>+Actuals!R131</f>
        <v>0</v>
      </c>
      <c r="V21" s="130">
        <f>+Actuals!S131</f>
        <v>-18525504</v>
      </c>
      <c r="W21" s="131">
        <f>+Actuals!T131</f>
        <v>-48773031</v>
      </c>
      <c r="X21" s="130">
        <f>+Actuals!U91</f>
        <v>0</v>
      </c>
      <c r="Y21" s="131">
        <f>+Actuals!V91</f>
        <v>0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'TIE-OUT'!AD22+RECLASS!AD22</f>
        <v>0</v>
      </c>
      <c r="G22" s="38">
        <f>'TIE-OUT'!AE22+RECLASS!AE22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31">
        <f>+Actuals!H92</f>
        <v>0</v>
      </c>
      <c r="L22" s="130">
        <f>+Actuals!I132</f>
        <v>0</v>
      </c>
      <c r="M22" s="131">
        <f>+Actuals!J132</f>
        <v>0</v>
      </c>
      <c r="N22" s="130">
        <f>+Actuals!K132</f>
        <v>0</v>
      </c>
      <c r="O22" s="131">
        <f>+Actuals!L132</f>
        <v>0</v>
      </c>
      <c r="P22" s="130">
        <f>+Actuals!M132</f>
        <v>0</v>
      </c>
      <c r="Q22" s="131">
        <f>+Actuals!N132</f>
        <v>0</v>
      </c>
      <c r="R22" s="130">
        <f>+Actuals!O132</f>
        <v>0</v>
      </c>
      <c r="S22" s="131">
        <f>+Actuals!P132</f>
        <v>0</v>
      </c>
      <c r="T22" s="130">
        <f>+Actuals!Q132</f>
        <v>0</v>
      </c>
      <c r="U22" s="131">
        <f>+Actuals!R132</f>
        <v>0</v>
      </c>
      <c r="V22" s="130">
        <f>+Actuals!S132</f>
        <v>0</v>
      </c>
      <c r="W22" s="131">
        <f>+Actuals!T132</f>
        <v>0</v>
      </c>
      <c r="X22" s="130">
        <f>+Actuals!U92</f>
        <v>0</v>
      </c>
      <c r="Y22" s="131">
        <f>+Actuals!V92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547431</v>
      </c>
      <c r="E23" s="38">
        <f t="shared" si="4"/>
        <v>0</v>
      </c>
      <c r="F23" s="81">
        <f>'TIE-OUT'!AD23+RECLASS!AD23</f>
        <v>0</v>
      </c>
      <c r="G23" s="82">
        <f>'TIE-OUT'!AE23+RECLASS!AE23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31">
        <f>+Actuals!H93</f>
        <v>0</v>
      </c>
      <c r="L23" s="130">
        <f>+Actuals!I133</f>
        <v>0</v>
      </c>
      <c r="M23" s="131">
        <f>+Actuals!J133</f>
        <v>0</v>
      </c>
      <c r="N23" s="130">
        <f>+Actuals!K133</f>
        <v>547431</v>
      </c>
      <c r="O23" s="131">
        <f>+Actuals!L133</f>
        <v>0</v>
      </c>
      <c r="P23" s="130">
        <f>+Actuals!M133</f>
        <v>0</v>
      </c>
      <c r="Q23" s="131">
        <f>+Actuals!N133</f>
        <v>0</v>
      </c>
      <c r="R23" s="130">
        <f>+Actuals!O133</f>
        <v>0</v>
      </c>
      <c r="S23" s="131">
        <f>+Actuals!P133</f>
        <v>0</v>
      </c>
      <c r="T23" s="130">
        <f>+Actuals!Q133</f>
        <v>0</v>
      </c>
      <c r="U23" s="131">
        <f>+Actuals!R133</f>
        <v>0</v>
      </c>
      <c r="V23" s="130">
        <f>+Actuals!S133</f>
        <v>0</v>
      </c>
      <c r="W23" s="131">
        <f>+Actuals!T133</f>
        <v>0</v>
      </c>
      <c r="X23" s="130">
        <f>+Actuals!U93</f>
        <v>0</v>
      </c>
      <c r="Y23" s="131">
        <f>+Actuals!V93</f>
        <v>0</v>
      </c>
      <c r="Z23" s="130">
        <f>+Actuals!W93</f>
        <v>0</v>
      </c>
      <c r="AA23" s="131">
        <f>+Actuals!X93</f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5">SUM(D19:D23)</f>
        <v>-39576213</v>
      </c>
      <c r="E24" s="39">
        <f t="shared" si="5"/>
        <v>-111518130.15000001</v>
      </c>
      <c r="F24" s="61">
        <f t="shared" si="5"/>
        <v>0</v>
      </c>
      <c r="G24" s="39">
        <f t="shared" si="5"/>
        <v>-68361</v>
      </c>
      <c r="H24" s="61">
        <f t="shared" si="5"/>
        <v>-40141391</v>
      </c>
      <c r="I24" s="39">
        <f t="shared" si="5"/>
        <v>-110857464</v>
      </c>
      <c r="J24" s="61">
        <f t="shared" ref="J24:O24" si="6">SUM(J19:J23)</f>
        <v>18529215</v>
      </c>
      <c r="K24" s="39">
        <f t="shared" si="6"/>
        <v>48183617</v>
      </c>
      <c r="L24" s="61">
        <f t="shared" si="6"/>
        <v>-33194527</v>
      </c>
      <c r="M24" s="39">
        <f t="shared" si="6"/>
        <v>-88692617.680000007</v>
      </c>
      <c r="N24" s="61">
        <f t="shared" si="6"/>
        <v>547431</v>
      </c>
      <c r="O24" s="39">
        <f t="shared" si="6"/>
        <v>-5</v>
      </c>
      <c r="P24" s="61">
        <f t="shared" ref="P24:U24" si="7">SUM(P19:P23)</f>
        <v>33209597</v>
      </c>
      <c r="Q24" s="39">
        <f t="shared" si="7"/>
        <v>88728638</v>
      </c>
      <c r="R24" s="61">
        <f t="shared" si="7"/>
        <v>-1034</v>
      </c>
      <c r="S24" s="39">
        <f t="shared" si="7"/>
        <v>-2895</v>
      </c>
      <c r="T24" s="61">
        <f t="shared" si="7"/>
        <v>0</v>
      </c>
      <c r="U24" s="39">
        <f t="shared" si="7"/>
        <v>0</v>
      </c>
      <c r="V24" s="61">
        <f>SUM(V19:V23)</f>
        <v>-18525504</v>
      </c>
      <c r="W24" s="39">
        <f>SUM(W19:W23)</f>
        <v>-48809042.469999999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'TIE-OUT'!AD27+RECLASS!AD27</f>
        <v>0</v>
      </c>
      <c r="G27" s="68">
        <f>'TIE-OUT'!AE27+RECLASS!AE27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31">
        <f>+Actuals!H94</f>
        <v>0</v>
      </c>
      <c r="L27" s="130">
        <f>+Actuals!I134</f>
        <v>0</v>
      </c>
      <c r="M27" s="131">
        <f>+Actuals!J134</f>
        <v>0</v>
      </c>
      <c r="N27" s="130">
        <f>+Actuals!K134</f>
        <v>0</v>
      </c>
      <c r="O27" s="131">
        <f>+Actuals!L134</f>
        <v>0</v>
      </c>
      <c r="P27" s="130">
        <f>+Actuals!M134</f>
        <v>0</v>
      </c>
      <c r="Q27" s="131">
        <f>+Actuals!N134</f>
        <v>0</v>
      </c>
      <c r="R27" s="130">
        <f>+Actuals!O134</f>
        <v>0</v>
      </c>
      <c r="S27" s="131">
        <f>+Actuals!P134</f>
        <v>0</v>
      </c>
      <c r="T27" s="130">
        <f>+Actuals!Q134</f>
        <v>0</v>
      </c>
      <c r="U27" s="131">
        <f>+Actuals!R134</f>
        <v>0</v>
      </c>
      <c r="V27" s="130">
        <f>+Actuals!S134</f>
        <v>0</v>
      </c>
      <c r="W27" s="131">
        <f>+Actuals!T134</f>
        <v>0</v>
      </c>
      <c r="X27" s="130">
        <f>+Actuals!U94</f>
        <v>0</v>
      </c>
      <c r="Y27" s="131">
        <f>+Actuals!V94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'TIE-OUT'!AD28+RECLASS!AD28</f>
        <v>0</v>
      </c>
      <c r="G28" s="82">
        <f>'TIE-OUT'!AE28+RECLASS!AE28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31">
        <f>+Actuals!H95</f>
        <v>0</v>
      </c>
      <c r="L28" s="130">
        <f>+Actuals!I135</f>
        <v>0</v>
      </c>
      <c r="M28" s="131">
        <f>+Actuals!J135</f>
        <v>0</v>
      </c>
      <c r="N28" s="130">
        <f>+Actuals!K135</f>
        <v>0</v>
      </c>
      <c r="O28" s="131">
        <f>+Actuals!L135</f>
        <v>0</v>
      </c>
      <c r="P28" s="130">
        <f>+Actuals!M135</f>
        <v>0</v>
      </c>
      <c r="Q28" s="131">
        <f>+Actuals!N135</f>
        <v>0</v>
      </c>
      <c r="R28" s="130">
        <f>+Actuals!O135</f>
        <v>0</v>
      </c>
      <c r="S28" s="131">
        <f>+Actuals!P135</f>
        <v>0</v>
      </c>
      <c r="T28" s="130">
        <f>+Actuals!Q135</f>
        <v>0</v>
      </c>
      <c r="U28" s="131">
        <f>+Actuals!R135</f>
        <v>0</v>
      </c>
      <c r="V28" s="130">
        <f>+Actuals!S135</f>
        <v>0</v>
      </c>
      <c r="W28" s="131">
        <f>+Actuals!T135</f>
        <v>0</v>
      </c>
      <c r="X28" s="130">
        <f>+Actuals!U95</f>
        <v>0</v>
      </c>
      <c r="Y28" s="131">
        <f>+Actuals!V95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ref="J29:O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ref="P29:U29" si="10">SUM(P27:P28)</f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>SUM(V27:V28)</f>
        <v>0</v>
      </c>
      <c r="W29" s="39">
        <f>SUM(W27:W28)</f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31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'TIE-OUT'!AD32+RECLASS!AD32</f>
        <v>0</v>
      </c>
      <c r="G32" s="68">
        <f>'TIE-OUT'!AE32+RECLASS!AE32</f>
        <v>0</v>
      </c>
      <c r="H32" s="130">
        <v>658164</v>
      </c>
      <c r="I32" s="131">
        <v>2030436</v>
      </c>
      <c r="J32" s="130">
        <v>-658164</v>
      </c>
      <c r="K32" s="131">
        <v>-2030436</v>
      </c>
      <c r="L32" s="130">
        <f>+Actuals!I136</f>
        <v>0</v>
      </c>
      <c r="M32" s="131">
        <f>+Actuals!J136</f>
        <v>0</v>
      </c>
      <c r="N32" s="130">
        <f>+Actuals!K136</f>
        <v>0</v>
      </c>
      <c r="O32" s="131">
        <f>+Actuals!L136</f>
        <v>0</v>
      </c>
      <c r="P32" s="130">
        <f>+Actuals!M136</f>
        <v>0</v>
      </c>
      <c r="Q32" s="131">
        <f>+Actuals!N136</f>
        <v>0</v>
      </c>
      <c r="R32" s="130">
        <f>+Actuals!O136</f>
        <v>0</v>
      </c>
      <c r="S32" s="131">
        <f>+Actuals!P136</f>
        <v>0</v>
      </c>
      <c r="T32" s="130">
        <f>+Actuals!Q136</f>
        <v>0</v>
      </c>
      <c r="U32" s="131">
        <f>+Actuals!R136</f>
        <v>0</v>
      </c>
      <c r="V32" s="130">
        <f>+Actuals!S136</f>
        <v>0</v>
      </c>
      <c r="W32" s="131">
        <f>+Actuals!T136</f>
        <v>0</v>
      </c>
      <c r="X32" s="130">
        <f>+Actuals!U96</f>
        <v>0</v>
      </c>
      <c r="Y32" s="131">
        <f>+Actuals!V96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'TIE-OUT'!AD33+RECLASS!AD33</f>
        <v>0</v>
      </c>
      <c r="G33" s="38">
        <f>'TIE-OUT'!AE33+RECLASS!AE33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31">
        <f>+Actuals!H97</f>
        <v>0</v>
      </c>
      <c r="L33" s="130">
        <f>+Actuals!I137</f>
        <v>0</v>
      </c>
      <c r="M33" s="131">
        <f>+Actuals!J137</f>
        <v>0</v>
      </c>
      <c r="N33" s="130">
        <f>+Actuals!K137</f>
        <v>0</v>
      </c>
      <c r="O33" s="131">
        <f>+Actuals!L137</f>
        <v>0</v>
      </c>
      <c r="P33" s="130">
        <f>+Actuals!M137</f>
        <v>0</v>
      </c>
      <c r="Q33" s="131">
        <f>+Actuals!N137</f>
        <v>0</v>
      </c>
      <c r="R33" s="130">
        <f>+Actuals!O137</f>
        <v>0</v>
      </c>
      <c r="S33" s="131">
        <f>+Actuals!P137</f>
        <v>0</v>
      </c>
      <c r="T33" s="130">
        <f>+Actuals!Q137</f>
        <v>0</v>
      </c>
      <c r="U33" s="131">
        <f>+Actuals!R137</f>
        <v>0</v>
      </c>
      <c r="V33" s="130">
        <f>+Actuals!S137</f>
        <v>0</v>
      </c>
      <c r="W33" s="131">
        <f>+Actuals!T137</f>
        <v>0</v>
      </c>
      <c r="X33" s="130">
        <f>+Actuals!U97</f>
        <v>0</v>
      </c>
      <c r="Y33" s="131">
        <f>+Actuals!V97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'TIE-OUT'!AD34+RECLASS!AD34</f>
        <v>0</v>
      </c>
      <c r="G34" s="38">
        <f>'TIE-OUT'!AE34+RECLASS!AE34</f>
        <v>0</v>
      </c>
      <c r="H34" s="130">
        <f>+Actuals!E98</f>
        <v>0</v>
      </c>
      <c r="I34" s="131">
        <f>+Actuals!F98</f>
        <v>0</v>
      </c>
      <c r="J34" s="130">
        <f>+Actuals!G98</f>
        <v>0</v>
      </c>
      <c r="K34" s="131">
        <f>+Actuals!H98</f>
        <v>0</v>
      </c>
      <c r="L34" s="130">
        <f>+Actuals!I138</f>
        <v>0</v>
      </c>
      <c r="M34" s="131">
        <f>+Actuals!J138</f>
        <v>0</v>
      </c>
      <c r="N34" s="130">
        <f>+Actuals!K138</f>
        <v>0</v>
      </c>
      <c r="O34" s="131">
        <f>+Actuals!L138</f>
        <v>0</v>
      </c>
      <c r="P34" s="130">
        <f>+Actuals!M138</f>
        <v>0</v>
      </c>
      <c r="Q34" s="131">
        <f>+Actuals!N138</f>
        <v>0</v>
      </c>
      <c r="R34" s="130">
        <f>+Actuals!O138</f>
        <v>0</v>
      </c>
      <c r="S34" s="131">
        <f>+Actuals!P138</f>
        <v>0</v>
      </c>
      <c r="T34" s="130">
        <f>+Actuals!Q138</f>
        <v>0</v>
      </c>
      <c r="U34" s="131">
        <f>+Actuals!R138</f>
        <v>0</v>
      </c>
      <c r="V34" s="130">
        <f>+Actuals!S138</f>
        <v>0</v>
      </c>
      <c r="W34" s="131">
        <f>+Actuals!T138</f>
        <v>0</v>
      </c>
      <c r="X34" s="130">
        <f>+Actuals!U98</f>
        <v>0</v>
      </c>
      <c r="Y34" s="131">
        <f>+Actuals!V98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-9200</v>
      </c>
      <c r="E35" s="38">
        <f t="shared" si="11"/>
        <v>0</v>
      </c>
      <c r="F35" s="81">
        <f>'TIE-OUT'!AD35+RECLASS!AD35</f>
        <v>0</v>
      </c>
      <c r="G35" s="82">
        <f>'TIE-OUT'!AE35+RECLASS!AE35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31">
        <f>+Actuals!H99</f>
        <v>0</v>
      </c>
      <c r="L35" s="130">
        <f>+Actuals!I139</f>
        <v>0</v>
      </c>
      <c r="M35" s="131">
        <f>+Actuals!J139</f>
        <v>0</v>
      </c>
      <c r="N35" s="130">
        <f>+Actuals!K139</f>
        <v>0</v>
      </c>
      <c r="O35" s="131">
        <f>+Actuals!L139</f>
        <v>0</v>
      </c>
      <c r="P35" s="130">
        <f>+Actuals!M139</f>
        <v>-9200</v>
      </c>
      <c r="Q35" s="131">
        <f>+Actuals!N139</f>
        <v>0</v>
      </c>
      <c r="R35" s="130">
        <f>+Actuals!O139</f>
        <v>0</v>
      </c>
      <c r="S35" s="131">
        <f>+Actuals!P139</f>
        <v>0</v>
      </c>
      <c r="T35" s="130">
        <f>+Actuals!Q139</f>
        <v>0</v>
      </c>
      <c r="U35" s="131">
        <f>+Actuals!R139</f>
        <v>0</v>
      </c>
      <c r="V35" s="130">
        <f>+Actuals!S139</f>
        <v>0</v>
      </c>
      <c r="W35" s="131">
        <f>+Actuals!T139</f>
        <v>0</v>
      </c>
      <c r="X35" s="130">
        <f>+Actuals!U99</f>
        <v>0</v>
      </c>
      <c r="Y35" s="131">
        <f>+Actuals!V99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12">SUM(D32:D35)</f>
        <v>-9200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658164</v>
      </c>
      <c r="I36" s="39">
        <f t="shared" si="12"/>
        <v>2030436</v>
      </c>
      <c r="J36" s="61">
        <f t="shared" ref="J36:O36" si="13">SUM(J32:J35)</f>
        <v>-658164</v>
      </c>
      <c r="K36" s="39">
        <f t="shared" si="13"/>
        <v>-2030436</v>
      </c>
      <c r="L36" s="61">
        <f t="shared" si="13"/>
        <v>0</v>
      </c>
      <c r="M36" s="39">
        <f t="shared" si="13"/>
        <v>0</v>
      </c>
      <c r="N36" s="61">
        <f t="shared" si="13"/>
        <v>0</v>
      </c>
      <c r="O36" s="39">
        <f t="shared" si="13"/>
        <v>0</v>
      </c>
      <c r="P36" s="61">
        <f t="shared" ref="P36:U36" si="14">SUM(P32:P35)</f>
        <v>-9200</v>
      </c>
      <c r="Q36" s="39">
        <f t="shared" si="14"/>
        <v>0</v>
      </c>
      <c r="R36" s="61">
        <f t="shared" si="14"/>
        <v>0</v>
      </c>
      <c r="S36" s="39">
        <f t="shared" si="14"/>
        <v>0</v>
      </c>
      <c r="T36" s="61">
        <f t="shared" si="14"/>
        <v>0</v>
      </c>
      <c r="U36" s="39">
        <f t="shared" si="14"/>
        <v>0</v>
      </c>
      <c r="V36" s="61">
        <f>SUM(V32:V35)</f>
        <v>0</v>
      </c>
      <c r="W36" s="39">
        <f>SUM(W32:W35)</f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-210193</v>
      </c>
      <c r="E39" s="38">
        <f t="shared" si="15"/>
        <v>-2371244</v>
      </c>
      <c r="F39" s="64">
        <f>'TIE-OUT'!AD39+RECLASS!AD39</f>
        <v>0</v>
      </c>
      <c r="G39" s="68">
        <f>'TIE-OUT'!AE39+RECLASS!AE39</f>
        <v>0</v>
      </c>
      <c r="H39" s="130">
        <v>0</v>
      </c>
      <c r="I39" s="131">
        <v>0</v>
      </c>
      <c r="J39" s="130">
        <v>-210193</v>
      </c>
      <c r="K39" s="131">
        <v>-2371244</v>
      </c>
      <c r="L39" s="130">
        <f>+Actuals!I140</f>
        <v>0</v>
      </c>
      <c r="M39" s="131">
        <f>+Actuals!J140</f>
        <v>0</v>
      </c>
      <c r="N39" s="130">
        <f>+Actuals!K140</f>
        <v>0</v>
      </c>
      <c r="O39" s="131">
        <f>+Actuals!L140</f>
        <v>0</v>
      </c>
      <c r="P39" s="130">
        <f>+Actuals!M140</f>
        <v>0</v>
      </c>
      <c r="Q39" s="131">
        <f>+Actuals!N140</f>
        <v>0</v>
      </c>
      <c r="R39" s="130">
        <f>+Actuals!O140</f>
        <v>0</v>
      </c>
      <c r="S39" s="131">
        <f>+Actuals!P140</f>
        <v>0</v>
      </c>
      <c r="T39" s="130">
        <f>+Actuals!Q140</f>
        <v>0</v>
      </c>
      <c r="U39" s="131">
        <f>+Actuals!R140</f>
        <v>0</v>
      </c>
      <c r="V39" s="130">
        <f>+Actuals!S140</f>
        <v>0</v>
      </c>
      <c r="W39" s="131">
        <f>+Actuals!T140</f>
        <v>0</v>
      </c>
      <c r="X39" s="130">
        <f>+Actuals!U100</f>
        <v>0</v>
      </c>
      <c r="Y39" s="131">
        <f>+Actuals!V100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-1883417</v>
      </c>
      <c r="E40" s="38">
        <f t="shared" si="15"/>
        <v>-202731.25999999995</v>
      </c>
      <c r="F40" s="60">
        <f>'TIE-OUT'!AD40+RECLASS!AD40</f>
        <v>0</v>
      </c>
      <c r="G40" s="38">
        <f>'TIE-OUT'!AE40+RECLASS!AE40</f>
        <v>2444069</v>
      </c>
      <c r="H40" s="130">
        <v>-1709556</v>
      </c>
      <c r="I40" s="131">
        <v>-4155139</v>
      </c>
      <c r="J40" s="130">
        <v>-22753</v>
      </c>
      <c r="K40" s="131">
        <v>-66064</v>
      </c>
      <c r="L40" s="130">
        <f>+Actuals!I141</f>
        <v>-85499</v>
      </c>
      <c r="M40" s="131">
        <f>+Actuals!J141</f>
        <v>1688693.03</v>
      </c>
      <c r="N40" s="130">
        <f>+Actuals!K141</f>
        <v>0</v>
      </c>
      <c r="O40" s="131">
        <f>+Actuals!L141</f>
        <v>0</v>
      </c>
      <c r="P40" s="130">
        <f>+Actuals!M141</f>
        <v>-2738</v>
      </c>
      <c r="Q40" s="131">
        <f>+Actuals!N141</f>
        <v>-6561.01</v>
      </c>
      <c r="R40" s="130">
        <f>+Actuals!O141</f>
        <v>-271</v>
      </c>
      <c r="S40" s="131">
        <f>+Actuals!P141</f>
        <v>-730.94</v>
      </c>
      <c r="T40" s="130">
        <f>+Actuals!Q141</f>
        <v>-62600</v>
      </c>
      <c r="U40" s="131">
        <f>+Actuals!R141</f>
        <v>-106998.34</v>
      </c>
      <c r="V40" s="130">
        <f>+Actuals!S141</f>
        <v>0</v>
      </c>
      <c r="W40" s="131">
        <f>+Actuals!T141</f>
        <v>0</v>
      </c>
      <c r="X40" s="130">
        <f>+Actuals!U101</f>
        <v>0</v>
      </c>
      <c r="Y40" s="131">
        <f>+Actuals!V101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'TIE-OUT'!AD41+RECLASS!AD41</f>
        <v>0</v>
      </c>
      <c r="G41" s="82">
        <f>'TIE-OUT'!AE41+RECLASS!AE41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31">
        <f>+Actuals!H102</f>
        <v>0</v>
      </c>
      <c r="L41" s="130">
        <f>+Actuals!I142</f>
        <v>0</v>
      </c>
      <c r="M41" s="131">
        <f>+Actuals!J142</f>
        <v>0</v>
      </c>
      <c r="N41" s="130">
        <f>+Actuals!K142</f>
        <v>0</v>
      </c>
      <c r="O41" s="131">
        <f>+Actuals!L142</f>
        <v>0</v>
      </c>
      <c r="P41" s="130">
        <f>+Actuals!M142</f>
        <v>0</v>
      </c>
      <c r="Q41" s="131">
        <f>+Actuals!N142</f>
        <v>0</v>
      </c>
      <c r="R41" s="130">
        <f>+Actuals!O142</f>
        <v>0</v>
      </c>
      <c r="S41" s="131">
        <f>+Actuals!P142</f>
        <v>0</v>
      </c>
      <c r="T41" s="130">
        <f>+Actuals!Q142</f>
        <v>0</v>
      </c>
      <c r="U41" s="131">
        <f>+Actuals!R142</f>
        <v>0</v>
      </c>
      <c r="V41" s="130">
        <f>+Actuals!S142</f>
        <v>0</v>
      </c>
      <c r="W41" s="131">
        <f>+Actuals!T142</f>
        <v>0</v>
      </c>
      <c r="X41" s="130">
        <f>+Actuals!U102</f>
        <v>0</v>
      </c>
      <c r="Y41" s="131">
        <f>+Actuals!V102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6">SUM(D40:D41)</f>
        <v>-1883417</v>
      </c>
      <c r="E42" s="39">
        <f t="shared" si="16"/>
        <v>-202731.25999999995</v>
      </c>
      <c r="F42" s="61">
        <f t="shared" si="16"/>
        <v>0</v>
      </c>
      <c r="G42" s="39">
        <f t="shared" si="16"/>
        <v>2444069</v>
      </c>
      <c r="H42" s="61">
        <f t="shared" si="16"/>
        <v>-1709556</v>
      </c>
      <c r="I42" s="39">
        <f t="shared" si="16"/>
        <v>-4155139</v>
      </c>
      <c r="J42" s="61">
        <f t="shared" ref="J42:O42" si="17">SUM(J40:J41)</f>
        <v>-22753</v>
      </c>
      <c r="K42" s="39">
        <f t="shared" si="17"/>
        <v>-66064</v>
      </c>
      <c r="L42" s="61">
        <f t="shared" si="17"/>
        <v>-85499</v>
      </c>
      <c r="M42" s="39">
        <f t="shared" si="17"/>
        <v>1688693.03</v>
      </c>
      <c r="N42" s="61">
        <f t="shared" si="17"/>
        <v>0</v>
      </c>
      <c r="O42" s="39">
        <f t="shared" si="17"/>
        <v>0</v>
      </c>
      <c r="P42" s="61">
        <f t="shared" ref="P42:U42" si="18">SUM(P40:P41)</f>
        <v>-2738</v>
      </c>
      <c r="Q42" s="39">
        <f t="shared" si="18"/>
        <v>-6561.01</v>
      </c>
      <c r="R42" s="61">
        <f t="shared" si="18"/>
        <v>-271</v>
      </c>
      <c r="S42" s="39">
        <f t="shared" si="18"/>
        <v>-730.94</v>
      </c>
      <c r="T42" s="61">
        <f t="shared" si="18"/>
        <v>-62600</v>
      </c>
      <c r="U42" s="39">
        <f t="shared" si="18"/>
        <v>-106998.34</v>
      </c>
      <c r="V42" s="61">
        <f>SUM(V40:V41)</f>
        <v>0</v>
      </c>
      <c r="W42" s="39">
        <f>SUM(W40:W41)</f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9">D42+D39</f>
        <v>-2093610</v>
      </c>
      <c r="E43" s="39">
        <f t="shared" si="19"/>
        <v>-2573975.2599999998</v>
      </c>
      <c r="F43" s="61">
        <f t="shared" si="19"/>
        <v>0</v>
      </c>
      <c r="G43" s="39">
        <f t="shared" si="19"/>
        <v>2444069</v>
      </c>
      <c r="H43" s="61">
        <f t="shared" si="19"/>
        <v>-1709556</v>
      </c>
      <c r="I43" s="39">
        <f t="shared" si="19"/>
        <v>-4155139</v>
      </c>
      <c r="J43" s="61">
        <f t="shared" ref="J43:O43" si="20">J42+J39</f>
        <v>-232946</v>
      </c>
      <c r="K43" s="39">
        <f t="shared" si="20"/>
        <v>-2437308</v>
      </c>
      <c r="L43" s="61">
        <f t="shared" si="20"/>
        <v>-85499</v>
      </c>
      <c r="M43" s="39">
        <f t="shared" si="20"/>
        <v>1688693.03</v>
      </c>
      <c r="N43" s="61">
        <f t="shared" si="20"/>
        <v>0</v>
      </c>
      <c r="O43" s="39">
        <f t="shared" si="20"/>
        <v>0</v>
      </c>
      <c r="P43" s="61">
        <f t="shared" ref="P43:U43" si="21">P42+P39</f>
        <v>-2738</v>
      </c>
      <c r="Q43" s="39">
        <f t="shared" si="21"/>
        <v>-6561.01</v>
      </c>
      <c r="R43" s="61">
        <f t="shared" si="21"/>
        <v>-271</v>
      </c>
      <c r="S43" s="39">
        <f t="shared" si="21"/>
        <v>-730.94</v>
      </c>
      <c r="T43" s="61">
        <f t="shared" si="21"/>
        <v>-62600</v>
      </c>
      <c r="U43" s="39">
        <f t="shared" si="21"/>
        <v>-106998.34</v>
      </c>
      <c r="V43" s="61">
        <f>V42+V39</f>
        <v>0</v>
      </c>
      <c r="W43" s="39">
        <f>W42+W39</f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'TIE-OUT'!AD45+RECLASS!AD45</f>
        <v>0</v>
      </c>
      <c r="G45" s="68">
        <f>'TIE-OUT'!AE45+RECLASS!AE45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31">
        <f>+Actuals!H103</f>
        <v>0</v>
      </c>
      <c r="L45" s="130">
        <f>+Actuals!I143</f>
        <v>0</v>
      </c>
      <c r="M45" s="131">
        <f>+Actuals!J143</f>
        <v>0</v>
      </c>
      <c r="N45" s="130">
        <f>+Actuals!K143</f>
        <v>0</v>
      </c>
      <c r="O45" s="131">
        <f>+Actuals!L143</f>
        <v>0</v>
      </c>
      <c r="P45" s="130">
        <f>+Actuals!M143</f>
        <v>0</v>
      </c>
      <c r="Q45" s="131">
        <f>+Actuals!N143</f>
        <v>0</v>
      </c>
      <c r="R45" s="130">
        <f>+Actuals!O143</f>
        <v>0</v>
      </c>
      <c r="S45" s="131">
        <f>+Actuals!P143</f>
        <v>0</v>
      </c>
      <c r="T45" s="130">
        <f>+Actuals!Q143</f>
        <v>0</v>
      </c>
      <c r="U45" s="131">
        <f>+Actuals!R143</f>
        <v>0</v>
      </c>
      <c r="V45" s="130">
        <f>+Actuals!S143</f>
        <v>0</v>
      </c>
      <c r="W45" s="131">
        <f>+Actuals!T143</f>
        <v>0</v>
      </c>
      <c r="X45" s="130">
        <f>+Actuals!U103</f>
        <v>0</v>
      </c>
      <c r="Y45" s="131">
        <f>+Actuals!V103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'TIE-OUT'!AD47+RECLASS!AD47</f>
        <v>0</v>
      </c>
      <c r="G47" s="38">
        <f>'TIE-OUT'!AE47+RECLASS!AE47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31">
        <f>+Actuals!H104</f>
        <v>0</v>
      </c>
      <c r="L47" s="130">
        <f>+Actuals!I144</f>
        <v>0</v>
      </c>
      <c r="M47" s="131">
        <f>+Actuals!J144</f>
        <v>0</v>
      </c>
      <c r="N47" s="130">
        <f>+Actuals!K144</f>
        <v>0</v>
      </c>
      <c r="O47" s="131">
        <f>+Actuals!L144</f>
        <v>0</v>
      </c>
      <c r="P47" s="130">
        <f>+Actuals!M144</f>
        <v>0</v>
      </c>
      <c r="Q47" s="131">
        <f>+Actuals!N144</f>
        <v>0</v>
      </c>
      <c r="R47" s="130">
        <f>+Actuals!O144</f>
        <v>0</v>
      </c>
      <c r="S47" s="131">
        <f>+Actuals!P144</f>
        <v>0</v>
      </c>
      <c r="T47" s="130">
        <f>+Actuals!Q144</f>
        <v>0</v>
      </c>
      <c r="U47" s="131">
        <f>+Actuals!R144</f>
        <v>0</v>
      </c>
      <c r="V47" s="130">
        <f>+Actuals!S144</f>
        <v>0</v>
      </c>
      <c r="W47" s="131">
        <f>+Actuals!T144</f>
        <v>0</v>
      </c>
      <c r="X47" s="130">
        <f>+Actuals!U104</f>
        <v>0</v>
      </c>
      <c r="Y47" s="131">
        <f>+Actuals!V104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292648</v>
      </c>
      <c r="E49" s="38">
        <f>SUM(G49,I49,K49,M49,O49,Q49,S49,U49,W49,Y49,AA49,AC49,AE49)</f>
        <v>902819.25000000163</v>
      </c>
      <c r="F49" s="60">
        <f>'TIE-OUT'!AD49+RECLASS!AD49</f>
        <v>0</v>
      </c>
      <c r="G49" s="38">
        <f>'TIE-OUT'!AE49+RECLASS!AE49</f>
        <v>0</v>
      </c>
      <c r="H49" s="130">
        <f>+Actuals!E105</f>
        <v>0</v>
      </c>
      <c r="I49" s="131">
        <f>+Actuals!F105</f>
        <v>0</v>
      </c>
      <c r="J49" s="130">
        <v>410598</v>
      </c>
      <c r="K49" s="131">
        <v>1266695</v>
      </c>
      <c r="L49" s="130">
        <f>+Actuals!I145</f>
        <v>4785286</v>
      </c>
      <c r="M49" s="131">
        <f>+Actuals!J145</f>
        <v>14762607.310000001</v>
      </c>
      <c r="N49" s="130">
        <f>+Actuals!K145</f>
        <v>-547431</v>
      </c>
      <c r="O49" s="131">
        <f>+Actuals!L145</f>
        <v>-1688824.635</v>
      </c>
      <c r="P49" s="130">
        <f>+Actuals!M145</f>
        <v>-4800495</v>
      </c>
      <c r="Q49" s="131">
        <f>+Actuals!N145</f>
        <v>-14809527.074999999</v>
      </c>
      <c r="R49" s="130">
        <f>+Actuals!O145</f>
        <v>1305</v>
      </c>
      <c r="S49" s="131">
        <f>+Actuals!P145</f>
        <v>4025.9250000000002</v>
      </c>
      <c r="T49" s="130">
        <f>+Actuals!Q145</f>
        <v>59056</v>
      </c>
      <c r="U49" s="131">
        <f>+Actuals!R145</f>
        <v>182187.76</v>
      </c>
      <c r="V49" s="130">
        <f>+Actuals!S145</f>
        <v>384329</v>
      </c>
      <c r="W49" s="131">
        <f>+Actuals!T145</f>
        <v>1185654.9650000001</v>
      </c>
      <c r="X49" s="130">
        <f>+Actuals!U105</f>
        <v>0</v>
      </c>
      <c r="Y49" s="131">
        <f>+Actuals!V105</f>
        <v>0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'TIE-OUT'!AD51+RECLASS!AD51</f>
        <v>0</v>
      </c>
      <c r="G51" s="38">
        <f>'TIE-OUT'!AE51+RECLASS!AE51</f>
        <v>0</v>
      </c>
      <c r="H51" s="130">
        <v>0</v>
      </c>
      <c r="I51" s="131">
        <v>0</v>
      </c>
      <c r="J51" s="130">
        <v>0</v>
      </c>
      <c r="K51" s="131">
        <v>0</v>
      </c>
      <c r="L51" s="130">
        <f>+Actuals!I146</f>
        <v>0</v>
      </c>
      <c r="M51" s="131">
        <f>+Actuals!J146</f>
        <v>0</v>
      </c>
      <c r="N51" s="130">
        <f>+Actuals!K146</f>
        <v>0</v>
      </c>
      <c r="O51" s="131">
        <f>+Actuals!L146</f>
        <v>0</v>
      </c>
      <c r="P51" s="130">
        <f>+Actuals!M146</f>
        <v>0</v>
      </c>
      <c r="Q51" s="131">
        <f>+Actuals!N146</f>
        <v>0</v>
      </c>
      <c r="R51" s="130">
        <f>+Actuals!O146</f>
        <v>0</v>
      </c>
      <c r="S51" s="131">
        <f>+Actuals!P146</f>
        <v>0</v>
      </c>
      <c r="T51" s="130">
        <f>+Actuals!Q146</f>
        <v>0</v>
      </c>
      <c r="U51" s="131">
        <f>+Actuals!R146</f>
        <v>0</v>
      </c>
      <c r="V51" s="130">
        <f>+Actuals!S146</f>
        <v>0</v>
      </c>
      <c r="W51" s="131">
        <f>+Actuals!T146</f>
        <v>0</v>
      </c>
      <c r="X51" s="130">
        <f>+Actuals!U106</f>
        <v>0</v>
      </c>
      <c r="Y51" s="131">
        <f>+Actuals!V106</f>
        <v>0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-18729520</v>
      </c>
      <c r="E54" s="38">
        <f>SUM(G54,I54,K54,M54,O54,Q54,S54,U54,W54,Y54,AA54,AC54,AE54)</f>
        <v>-722327.93000000017</v>
      </c>
      <c r="F54" s="64">
        <f>'TIE-OUT'!AD54+RECLASS!AD54</f>
        <v>0</v>
      </c>
      <c r="G54" s="68">
        <f>'TIE-OUT'!AE54+RECLASS!AE54</f>
        <v>-60830</v>
      </c>
      <c r="H54" s="130">
        <f>-17757897-951390</f>
        <v>-18709287</v>
      </c>
      <c r="I54" s="131">
        <f>-123643-425385-60618</f>
        <v>-609646</v>
      </c>
      <c r="J54" s="130">
        <f>-13945+232938-67454</f>
        <v>151539</v>
      </c>
      <c r="K54" s="131">
        <f>5688-18466-14217</f>
        <v>-26995</v>
      </c>
      <c r="L54" s="130">
        <f>+Actuals!I147</f>
        <v>0</v>
      </c>
      <c r="M54" s="131">
        <f>+Actuals!J147</f>
        <v>621.74</v>
      </c>
      <c r="N54" s="130">
        <f>+Actuals!K147</f>
        <v>-46459</v>
      </c>
      <c r="O54" s="131">
        <f>+Actuals!L147</f>
        <v>-499.05</v>
      </c>
      <c r="P54" s="130">
        <f>+Actuals!M147</f>
        <v>2738</v>
      </c>
      <c r="Q54" s="131">
        <f>+Actuals!N147</f>
        <v>-960.13</v>
      </c>
      <c r="R54" s="130">
        <f>+Actuals!O147</f>
        <v>-19</v>
      </c>
      <c r="S54" s="131">
        <f>+Actuals!P147</f>
        <v>-1.93</v>
      </c>
      <c r="T54" s="130">
        <f>+Actuals!Q147</f>
        <v>-128032</v>
      </c>
      <c r="U54" s="131">
        <f>+Actuals!R147</f>
        <v>-6222.36</v>
      </c>
      <c r="V54" s="130">
        <f>+Actuals!S147</f>
        <v>0</v>
      </c>
      <c r="W54" s="131">
        <f>+Actuals!T147</f>
        <v>-405962.2</v>
      </c>
      <c r="X54" s="130">
        <f>+Actuals!U107</f>
        <v>0</v>
      </c>
      <c r="Y54" s="131">
        <v>388167</v>
      </c>
      <c r="Z54" s="130">
        <f>+Actuals!W107</f>
        <v>0</v>
      </c>
      <c r="AA54" s="131">
        <f>+Actuals!X107</f>
        <v>0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f>+Actuals!AB107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-10241713.779999999</v>
      </c>
      <c r="F55" s="81">
        <f>'TIE-OUT'!AD55+RECLASS!AD55</f>
        <v>0</v>
      </c>
      <c r="G55" s="82">
        <f>'TIE-OUT'!AE55+RECLASS!AE55</f>
        <v>-39054</v>
      </c>
      <c r="H55" s="130">
        <v>0</v>
      </c>
      <c r="I55" s="131">
        <f>-7519340-2520889</f>
        <v>-10040229</v>
      </c>
      <c r="J55" s="130">
        <v>0</v>
      </c>
      <c r="K55" s="131">
        <f>160365-37786</f>
        <v>122579</v>
      </c>
      <c r="L55" s="130">
        <f>+Actuals!I148</f>
        <v>0</v>
      </c>
      <c r="M55" s="131">
        <f>+Actuals!J148</f>
        <v>-1216229.04</v>
      </c>
      <c r="N55" s="130">
        <f>+Actuals!K148</f>
        <v>0</v>
      </c>
      <c r="O55" s="131">
        <f>+Actuals!L148</f>
        <v>863323.87</v>
      </c>
      <c r="P55" s="130">
        <f>+Actuals!M148</f>
        <v>0</v>
      </c>
      <c r="Q55" s="131">
        <f>+Actuals!N148</f>
        <v>71038.509999999995</v>
      </c>
      <c r="R55" s="130">
        <f>+Actuals!O148</f>
        <v>0</v>
      </c>
      <c r="S55" s="131">
        <f>+Actuals!P148</f>
        <v>0</v>
      </c>
      <c r="T55" s="130">
        <f>+Actuals!Q148</f>
        <v>0</v>
      </c>
      <c r="U55" s="131">
        <f>+Actuals!R148</f>
        <v>0</v>
      </c>
      <c r="V55" s="130">
        <f>+Actuals!S148</f>
        <v>0</v>
      </c>
      <c r="W55" s="131">
        <f>+Actuals!T148</f>
        <v>-75934.12</v>
      </c>
      <c r="X55" s="130">
        <f>+Actuals!U108</f>
        <v>0</v>
      </c>
      <c r="Y55" s="131">
        <v>72791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f>+Actuals!AB108</f>
        <v>0</v>
      </c>
    </row>
    <row r="56" spans="1:31" x14ac:dyDescent="0.2">
      <c r="A56" s="9"/>
      <c r="B56" s="7" t="s">
        <v>57</v>
      </c>
      <c r="C56" s="6"/>
      <c r="D56" s="61">
        <f t="shared" ref="D56:AE56" si="22">SUM(D54:D55)</f>
        <v>-18729520</v>
      </c>
      <c r="E56" s="39">
        <f t="shared" si="22"/>
        <v>-10964041.709999999</v>
      </c>
      <c r="F56" s="61">
        <f t="shared" si="22"/>
        <v>0</v>
      </c>
      <c r="G56" s="39">
        <f t="shared" si="22"/>
        <v>-99884</v>
      </c>
      <c r="H56" s="61">
        <f t="shared" si="22"/>
        <v>-18709287</v>
      </c>
      <c r="I56" s="39">
        <f t="shared" si="22"/>
        <v>-10649875</v>
      </c>
      <c r="J56" s="61">
        <f t="shared" ref="J56:O56" si="23">SUM(J54:J55)</f>
        <v>151539</v>
      </c>
      <c r="K56" s="39">
        <f t="shared" si="23"/>
        <v>95584</v>
      </c>
      <c r="L56" s="61">
        <f t="shared" si="23"/>
        <v>0</v>
      </c>
      <c r="M56" s="39">
        <f t="shared" si="23"/>
        <v>-1215607.3</v>
      </c>
      <c r="N56" s="61">
        <f t="shared" si="23"/>
        <v>-46459</v>
      </c>
      <c r="O56" s="39">
        <f t="shared" si="23"/>
        <v>862824.82</v>
      </c>
      <c r="P56" s="61">
        <f t="shared" ref="P56:U56" si="24">SUM(P54:P55)</f>
        <v>2738</v>
      </c>
      <c r="Q56" s="39">
        <f t="shared" si="24"/>
        <v>70078.37999999999</v>
      </c>
      <c r="R56" s="61">
        <f t="shared" si="24"/>
        <v>-19</v>
      </c>
      <c r="S56" s="39">
        <f t="shared" si="24"/>
        <v>-1.93</v>
      </c>
      <c r="T56" s="61">
        <f t="shared" si="24"/>
        <v>-128032</v>
      </c>
      <c r="U56" s="39">
        <f t="shared" si="24"/>
        <v>-6222.36</v>
      </c>
      <c r="V56" s="61">
        <f>SUM(V54:V55)</f>
        <v>0</v>
      </c>
      <c r="W56" s="39">
        <f>SUM(W54:W55)</f>
        <v>-481896.32</v>
      </c>
      <c r="X56" s="61">
        <f t="shared" si="22"/>
        <v>0</v>
      </c>
      <c r="Y56" s="39">
        <f t="shared" si="22"/>
        <v>460958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si="22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8196.6200000000008</v>
      </c>
      <c r="F59" s="64">
        <f>'TIE-OUT'!AD59+RECLASS!AD59</f>
        <v>0</v>
      </c>
      <c r="G59" s="68">
        <f>'TIE-OUT'!AE59+RECLASS!AE59</f>
        <v>0</v>
      </c>
      <c r="H59" s="130">
        <f>+Actuals!E109</f>
        <v>0</v>
      </c>
      <c r="I59" s="131">
        <v>0</v>
      </c>
      <c r="J59" s="130">
        <f>+Actuals!G109</f>
        <v>0</v>
      </c>
      <c r="K59" s="131">
        <v>0</v>
      </c>
      <c r="L59" s="130">
        <f>+Actuals!I149</f>
        <v>0</v>
      </c>
      <c r="M59" s="131">
        <f>+Actuals!J149</f>
        <v>8196.6200000000008</v>
      </c>
      <c r="N59" s="130">
        <f>+Actuals!K149</f>
        <v>0</v>
      </c>
      <c r="O59" s="131">
        <f>+Actuals!L149</f>
        <v>0</v>
      </c>
      <c r="P59" s="130">
        <f>+Actuals!M149</f>
        <v>0</v>
      </c>
      <c r="Q59" s="131">
        <f>+Actuals!N149</f>
        <v>0</v>
      </c>
      <c r="R59" s="130">
        <f>+Actuals!O149</f>
        <v>0</v>
      </c>
      <c r="S59" s="131">
        <f>+Actuals!P149</f>
        <v>0</v>
      </c>
      <c r="T59" s="130">
        <f>+Actuals!Q149</f>
        <v>0</v>
      </c>
      <c r="U59" s="131">
        <f>+Actuals!R149</f>
        <v>0</v>
      </c>
      <c r="V59" s="130">
        <f>+Actuals!S149</f>
        <v>0</v>
      </c>
      <c r="W59" s="131">
        <f>+Actuals!T149</f>
        <v>0</v>
      </c>
      <c r="X59" s="130">
        <f>+Actuals!U109</f>
        <v>0</v>
      </c>
      <c r="Y59" s="131">
        <f>+Actuals!V109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'TIE-OUT'!AD60+RECLASS!AD60</f>
        <v>0</v>
      </c>
      <c r="G60" s="82">
        <f>'TIE-OUT'!AE60+RECLASS!AE60</f>
        <v>0</v>
      </c>
      <c r="H60" s="130">
        <f>+Actuals!E110</f>
        <v>0</v>
      </c>
      <c r="I60" s="131">
        <v>0</v>
      </c>
      <c r="J60" s="130">
        <f>+Actuals!G110</f>
        <v>0</v>
      </c>
      <c r="K60" s="131">
        <v>0</v>
      </c>
      <c r="L60" s="130">
        <f>+Actuals!I150</f>
        <v>0</v>
      </c>
      <c r="M60" s="131">
        <f>+Actuals!J150</f>
        <v>0</v>
      </c>
      <c r="N60" s="130">
        <f>+Actuals!K150</f>
        <v>0</v>
      </c>
      <c r="O60" s="131">
        <f>+Actuals!L150</f>
        <v>0</v>
      </c>
      <c r="P60" s="130">
        <f>+Actuals!M150</f>
        <v>0</v>
      </c>
      <c r="Q60" s="131">
        <f>+Actuals!N150</f>
        <v>0</v>
      </c>
      <c r="R60" s="130">
        <f>+Actuals!O150</f>
        <v>0</v>
      </c>
      <c r="S60" s="131">
        <f>+Actuals!P150</f>
        <v>0</v>
      </c>
      <c r="T60" s="130">
        <f>+Actuals!Q150</f>
        <v>0</v>
      </c>
      <c r="U60" s="131">
        <f>+Actuals!R150</f>
        <v>0</v>
      </c>
      <c r="V60" s="130">
        <f>+Actuals!S150</f>
        <v>0</v>
      </c>
      <c r="W60" s="131">
        <f>+Actuals!T150</f>
        <v>0</v>
      </c>
      <c r="X60" s="130">
        <f>+Actuals!U110</f>
        <v>0</v>
      </c>
      <c r="Y60" s="131">
        <f>+Actuals!V110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25">SUM(D59:D60)</f>
        <v>0</v>
      </c>
      <c r="E61" s="39">
        <f t="shared" si="25"/>
        <v>8196.6200000000008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O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8196.6200000000008</v>
      </c>
      <c r="N61" s="61">
        <f t="shared" si="26"/>
        <v>0</v>
      </c>
      <c r="O61" s="39">
        <f t="shared" si="26"/>
        <v>0</v>
      </c>
      <c r="P61" s="61">
        <f t="shared" ref="P61:U61" si="27">SUM(P59:P60)</f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>SUM(V59:V60)</f>
        <v>0</v>
      </c>
      <c r="W61" s="39">
        <f>SUM(W59:W60)</f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si="25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'TIE-OUT'!AD64+RECLASS!AD64</f>
        <v>0</v>
      </c>
      <c r="G64" s="68">
        <f>'TIE-OUT'!AE64+RECLASS!AE64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31">
        <f>+Actuals!H111</f>
        <v>0</v>
      </c>
      <c r="L64" s="130">
        <f>+Actuals!I151</f>
        <v>0</v>
      </c>
      <c r="M64" s="131">
        <f>+Actuals!J151</f>
        <v>0</v>
      </c>
      <c r="N64" s="130">
        <f>+Actuals!K151</f>
        <v>0</v>
      </c>
      <c r="O64" s="131">
        <f>+Actuals!L151</f>
        <v>0</v>
      </c>
      <c r="P64" s="130">
        <f>+Actuals!M151</f>
        <v>0</v>
      </c>
      <c r="Q64" s="131">
        <f>+Actuals!N151</f>
        <v>0</v>
      </c>
      <c r="R64" s="130">
        <f>+Actuals!O151</f>
        <v>0</v>
      </c>
      <c r="S64" s="131">
        <f>+Actuals!P151</f>
        <v>0</v>
      </c>
      <c r="T64" s="130">
        <f>+Actuals!Q151</f>
        <v>0</v>
      </c>
      <c r="U64" s="131">
        <f>+Actuals!R151</f>
        <v>0</v>
      </c>
      <c r="V64" s="130">
        <f>+Actuals!S151</f>
        <v>0</v>
      </c>
      <c r="W64" s="131">
        <f>+Actuals!T151</f>
        <v>0</v>
      </c>
      <c r="X64" s="130">
        <f>+Actuals!U111</f>
        <v>0</v>
      </c>
      <c r="Y64" s="131">
        <f>+Actuals!V111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'TIE-OUT'!AD65+RECLASS!AD65</f>
        <v>0</v>
      </c>
      <c r="G65" s="82">
        <f>'TIE-OUT'!AE65+RECLASS!AE65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31">
        <f>+Actuals!H112</f>
        <v>0</v>
      </c>
      <c r="L65" s="130">
        <f>+Actuals!I152</f>
        <v>0</v>
      </c>
      <c r="M65" s="131">
        <f>+Actuals!J152</f>
        <v>0</v>
      </c>
      <c r="N65" s="130">
        <f>+Actuals!K152</f>
        <v>0</v>
      </c>
      <c r="O65" s="131">
        <f>+Actuals!L152</f>
        <v>0</v>
      </c>
      <c r="P65" s="130">
        <f>+Actuals!M152</f>
        <v>0</v>
      </c>
      <c r="Q65" s="131">
        <f>+Actuals!N152</f>
        <v>0</v>
      </c>
      <c r="R65" s="130">
        <f>+Actuals!O152</f>
        <v>0</v>
      </c>
      <c r="S65" s="131">
        <f>+Actuals!P152</f>
        <v>0</v>
      </c>
      <c r="T65" s="130">
        <f>+Actuals!Q152</f>
        <v>0</v>
      </c>
      <c r="U65" s="131">
        <f>+Actuals!R152</f>
        <v>0</v>
      </c>
      <c r="V65" s="130">
        <f>+Actuals!S152</f>
        <v>0</v>
      </c>
      <c r="W65" s="131">
        <f>+Actuals!T152</f>
        <v>0</v>
      </c>
      <c r="X65" s="130">
        <f>+Actuals!U112</f>
        <v>0</v>
      </c>
      <c r="Y65" s="131">
        <f>+Actuals!V112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O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ref="P66:U66" si="30">SUM(P64:P65)</f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>SUM(V64:V65)</f>
        <v>0</v>
      </c>
      <c r="W66" s="39">
        <f>SUM(W64:W65)</f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si="28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6830063</v>
      </c>
      <c r="F70" s="64">
        <f>'TIE-OUT'!AD70+RECLASS!AD70</f>
        <v>0</v>
      </c>
      <c r="G70" s="68">
        <f>'TIE-OUT'!AE70+RECLASS!AE70</f>
        <v>6830063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31">
        <f>+Actuals!H113</f>
        <v>0</v>
      </c>
      <c r="L70" s="130">
        <f>+Actuals!I153</f>
        <v>0</v>
      </c>
      <c r="M70" s="131">
        <f>+Actuals!J153</f>
        <v>0</v>
      </c>
      <c r="N70" s="130">
        <f>+Actuals!K153</f>
        <v>0</v>
      </c>
      <c r="O70" s="131">
        <f>+Actuals!L153</f>
        <v>0</v>
      </c>
      <c r="P70" s="130">
        <f>+Actuals!M153</f>
        <v>0</v>
      </c>
      <c r="Q70" s="131">
        <f>+Actuals!N153</f>
        <v>0</v>
      </c>
      <c r="R70" s="130">
        <f>+Actuals!O153</f>
        <v>0</v>
      </c>
      <c r="S70" s="131">
        <f>+Actuals!P153</f>
        <v>0</v>
      </c>
      <c r="T70" s="130">
        <f>+Actuals!Q153</f>
        <v>0</v>
      </c>
      <c r="U70" s="131">
        <f>+Actuals!R153</f>
        <v>0</v>
      </c>
      <c r="V70" s="130">
        <f>+Actuals!S153</f>
        <v>0</v>
      </c>
      <c r="W70" s="131">
        <f>+Actuals!T153</f>
        <v>0</v>
      </c>
      <c r="X70" s="130">
        <f>+Actuals!U113</f>
        <v>0</v>
      </c>
      <c r="Y70" s="131">
        <f>+Actuals!V113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-8066078.1500000004</v>
      </c>
      <c r="F71" s="81">
        <f>'TIE-OUT'!AD71+RECLASS!AD71</f>
        <v>0</v>
      </c>
      <c r="G71" s="82">
        <f>'TIE-OUT'!AE71+RECLASS!AE71</f>
        <v>-8066078.1500000004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31">
        <f>+Actuals!H114</f>
        <v>0</v>
      </c>
      <c r="L71" s="130">
        <f>+Actuals!I154</f>
        <v>0</v>
      </c>
      <c r="M71" s="131">
        <f>+Actuals!J154</f>
        <v>0</v>
      </c>
      <c r="N71" s="130">
        <f>+Actuals!K154</f>
        <v>0</v>
      </c>
      <c r="O71" s="131">
        <f>+Actuals!L154</f>
        <v>0</v>
      </c>
      <c r="P71" s="130">
        <f>+Actuals!M154</f>
        <v>0</v>
      </c>
      <c r="Q71" s="131">
        <f>+Actuals!N154</f>
        <v>0</v>
      </c>
      <c r="R71" s="130">
        <f>+Actuals!O154</f>
        <v>0</v>
      </c>
      <c r="S71" s="131">
        <f>+Actuals!P154</f>
        <v>0</v>
      </c>
      <c r="T71" s="130">
        <f>+Actuals!Q154</f>
        <v>0</v>
      </c>
      <c r="U71" s="131">
        <f>+Actuals!R154</f>
        <v>0</v>
      </c>
      <c r="V71" s="130">
        <f>+Actuals!S154</f>
        <v>0</v>
      </c>
      <c r="W71" s="131">
        <f>+Actuals!T154</f>
        <v>0</v>
      </c>
      <c r="X71" s="130">
        <f>+Actuals!U114</f>
        <v>0</v>
      </c>
      <c r="Y71" s="131">
        <f>+Actuals!V114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31">SUM(D70:D71)</f>
        <v>0</v>
      </c>
      <c r="E72" s="39">
        <f t="shared" si="31"/>
        <v>-1236015.1500000004</v>
      </c>
      <c r="F72" s="61">
        <f t="shared" si="31"/>
        <v>0</v>
      </c>
      <c r="G72" s="39">
        <f t="shared" si="31"/>
        <v>-1236015.1500000004</v>
      </c>
      <c r="H72" s="61">
        <f t="shared" si="31"/>
        <v>0</v>
      </c>
      <c r="I72" s="39">
        <f t="shared" si="31"/>
        <v>0</v>
      </c>
      <c r="J72" s="61">
        <f t="shared" ref="J72:O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ref="P72:U72" si="33">SUM(P70:P71)</f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>SUM(V70:V71)</f>
        <v>0</v>
      </c>
      <c r="W72" s="39">
        <f>SUM(W70:W71)</f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si="31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'TIE-OUT'!AD73+RECLASS!AD73</f>
        <v>0</v>
      </c>
      <c r="G73" s="60">
        <f>'TIE-OUT'!AE73+RECLASS!AE73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31">
        <f>+Actuals!H115</f>
        <v>0</v>
      </c>
      <c r="L73" s="130">
        <f>+Actuals!I155</f>
        <v>0</v>
      </c>
      <c r="M73" s="131">
        <f>+Actuals!J155</f>
        <v>0</v>
      </c>
      <c r="N73" s="130">
        <f>+Actuals!K155</f>
        <v>0</v>
      </c>
      <c r="O73" s="131">
        <f>+Actuals!L155</f>
        <v>0</v>
      </c>
      <c r="P73" s="130">
        <f>+Actuals!M155</f>
        <v>0</v>
      </c>
      <c r="Q73" s="131">
        <f>+Actuals!N155</f>
        <v>0</v>
      </c>
      <c r="R73" s="130">
        <f>+Actuals!O155</f>
        <v>0</v>
      </c>
      <c r="S73" s="131">
        <f>+Actuals!P155</f>
        <v>0</v>
      </c>
      <c r="T73" s="130">
        <f>+Actuals!Q155</f>
        <v>0</v>
      </c>
      <c r="U73" s="131">
        <f>+Actuals!R155</f>
        <v>0</v>
      </c>
      <c r="V73" s="130">
        <f>+Actuals!S155</f>
        <v>0</v>
      </c>
      <c r="W73" s="131">
        <f>+Actuals!T155</f>
        <v>0</v>
      </c>
      <c r="X73" s="130">
        <f>+Actuals!U115</f>
        <v>0</v>
      </c>
      <c r="Y73" s="131">
        <f>+Actuals!V115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-3265305</v>
      </c>
      <c r="F74" s="60">
        <f>'TIE-OUT'!AD74+RECLASS!AD74</f>
        <v>0</v>
      </c>
      <c r="G74" s="60">
        <f>'TIE-OUT'!AE74+RECLASS!AE74</f>
        <v>-3265305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31">
        <f>+Actuals!H116</f>
        <v>0</v>
      </c>
      <c r="L74" s="130">
        <f>+Actuals!I156</f>
        <v>0</v>
      </c>
      <c r="M74" s="131">
        <f>+Actuals!J156</f>
        <v>0</v>
      </c>
      <c r="N74" s="130">
        <f>+Actuals!K156</f>
        <v>0</v>
      </c>
      <c r="O74" s="131">
        <f>+Actuals!L156</f>
        <v>0</v>
      </c>
      <c r="P74" s="130">
        <f>+Actuals!M156</f>
        <v>0</v>
      </c>
      <c r="Q74" s="131">
        <f>+Actuals!N156</f>
        <v>0</v>
      </c>
      <c r="R74" s="130">
        <f>+Actuals!O156</f>
        <v>0</v>
      </c>
      <c r="S74" s="131">
        <f>+Actuals!P156</f>
        <v>0</v>
      </c>
      <c r="T74" s="130">
        <f>+Actuals!Q156</f>
        <v>0</v>
      </c>
      <c r="U74" s="131">
        <f>+Actuals!R156</f>
        <v>0</v>
      </c>
      <c r="V74" s="130">
        <f>+Actuals!S156</f>
        <v>0</v>
      </c>
      <c r="W74" s="131">
        <f>+Actuals!T156</f>
        <v>0</v>
      </c>
      <c r="X74" s="130">
        <f>+Actuals!U116</f>
        <v>0</v>
      </c>
      <c r="Y74" s="131">
        <f>+Actuals!V116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2900</v>
      </c>
      <c r="F75" s="60">
        <f>'TIE-OUT'!AD75+RECLASS!AD75</f>
        <v>0</v>
      </c>
      <c r="G75" s="60">
        <f>'TIE-OUT'!AE75+RECLASS!AE75</f>
        <v>2900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31">
        <f>+Actuals!H117</f>
        <v>0</v>
      </c>
      <c r="L75" s="130">
        <f>+Actuals!I157</f>
        <v>0</v>
      </c>
      <c r="M75" s="131">
        <f>+Actuals!J157</f>
        <v>0</v>
      </c>
      <c r="N75" s="130">
        <f>+Actuals!K157</f>
        <v>0</v>
      </c>
      <c r="O75" s="131">
        <f>+Actuals!L157</f>
        <v>0</v>
      </c>
      <c r="P75" s="130">
        <f>+Actuals!M157</f>
        <v>0</v>
      </c>
      <c r="Q75" s="131">
        <f>+Actuals!N157</f>
        <v>0</v>
      </c>
      <c r="R75" s="130">
        <f>+Actuals!O157</f>
        <v>0</v>
      </c>
      <c r="S75" s="131">
        <f>+Actuals!P157</f>
        <v>0</v>
      </c>
      <c r="T75" s="130">
        <f>+Actuals!Q157</f>
        <v>0</v>
      </c>
      <c r="U75" s="131">
        <f>+Actuals!R157</f>
        <v>0</v>
      </c>
      <c r="V75" s="130">
        <f>+Actuals!S157</f>
        <v>0</v>
      </c>
      <c r="W75" s="131">
        <f>+Actuals!T157</f>
        <v>0</v>
      </c>
      <c r="X75" s="130">
        <f>+Actuals!U117</f>
        <v>0</v>
      </c>
      <c r="Y75" s="131">
        <f>+Actuals!V117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0</v>
      </c>
      <c r="F76" s="60">
        <f>'TIE-OUT'!AD76+RECLASS!AD76</f>
        <v>0</v>
      </c>
      <c r="G76" s="60">
        <f>'TIE-OUT'!AE76+RECLASS!AE76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31">
        <f>+Actuals!H118</f>
        <v>0</v>
      </c>
      <c r="L76" s="130">
        <f>+Actuals!I158</f>
        <v>0</v>
      </c>
      <c r="M76" s="131">
        <f>+Actuals!J158</f>
        <v>0</v>
      </c>
      <c r="N76" s="130">
        <f>+Actuals!K158</f>
        <v>0</v>
      </c>
      <c r="O76" s="131">
        <f>+Actuals!L158</f>
        <v>0</v>
      </c>
      <c r="P76" s="130">
        <f>+Actuals!M158</f>
        <v>0</v>
      </c>
      <c r="Q76" s="131">
        <f>+Actuals!N158</f>
        <v>0</v>
      </c>
      <c r="R76" s="130">
        <f>+Actuals!O158</f>
        <v>0</v>
      </c>
      <c r="S76" s="131">
        <f>+Actuals!P158</f>
        <v>0</v>
      </c>
      <c r="T76" s="130">
        <f>+Actuals!Q158</f>
        <v>0</v>
      </c>
      <c r="U76" s="131">
        <f>+Actuals!R158</f>
        <v>0</v>
      </c>
      <c r="V76" s="130">
        <f>+Actuals!S158</f>
        <v>0</v>
      </c>
      <c r="W76" s="131">
        <f>+Actuals!T158</f>
        <v>0</v>
      </c>
      <c r="X76" s="130">
        <f>+Actuals!U118</f>
        <v>0</v>
      </c>
      <c r="Y76" s="131">
        <f>+Actuals!V118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'TIE-OUT'!AD77+RECLASS!AD77</f>
        <v>0</v>
      </c>
      <c r="G77" s="60">
        <f>'TIE-OUT'!AE77+RECLASS!AE77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31">
        <f>+Actuals!H119</f>
        <v>0</v>
      </c>
      <c r="L77" s="130">
        <f>+Actuals!I159</f>
        <v>0</v>
      </c>
      <c r="M77" s="131">
        <f>+Actuals!J159</f>
        <v>0</v>
      </c>
      <c r="N77" s="130">
        <f>+Actuals!K159</f>
        <v>0</v>
      </c>
      <c r="O77" s="131">
        <f>+Actuals!L159</f>
        <v>0</v>
      </c>
      <c r="P77" s="130">
        <f>+Actuals!M159</f>
        <v>0</v>
      </c>
      <c r="Q77" s="131">
        <f>+Actuals!N159</f>
        <v>0</v>
      </c>
      <c r="R77" s="130">
        <f>+Actuals!O159</f>
        <v>0</v>
      </c>
      <c r="S77" s="131">
        <f>+Actuals!P159</f>
        <v>0</v>
      </c>
      <c r="T77" s="130">
        <f>+Actuals!Q159</f>
        <v>0</v>
      </c>
      <c r="U77" s="131">
        <f>+Actuals!R159</f>
        <v>0</v>
      </c>
      <c r="V77" s="130">
        <f>+Actuals!S159</f>
        <v>0</v>
      </c>
      <c r="W77" s="131">
        <f>+Actuals!T159</f>
        <v>0</v>
      </c>
      <c r="X77" s="130">
        <f>+Actuals!U119</f>
        <v>0</v>
      </c>
      <c r="Y77" s="131">
        <f>+Actuals!V119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'TIE-OUT'!AD78+RECLASS!AD78</f>
        <v>0</v>
      </c>
      <c r="G78" s="60">
        <f>'TIE-OUT'!AE78+RECLASS!AE78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31">
        <f>+Actuals!H120</f>
        <v>0</v>
      </c>
      <c r="L78" s="130">
        <f>+Actuals!I160</f>
        <v>0</v>
      </c>
      <c r="M78" s="131">
        <f>+Actuals!J160</f>
        <v>0</v>
      </c>
      <c r="N78" s="130">
        <f>+Actuals!K160</f>
        <v>0</v>
      </c>
      <c r="O78" s="131">
        <f>+Actuals!L160</f>
        <v>0</v>
      </c>
      <c r="P78" s="130">
        <f>+Actuals!M160</f>
        <v>0</v>
      </c>
      <c r="Q78" s="131">
        <f>+Actuals!N160</f>
        <v>0</v>
      </c>
      <c r="R78" s="130">
        <f>+Actuals!O160</f>
        <v>0</v>
      </c>
      <c r="S78" s="131">
        <f>+Actuals!P160</f>
        <v>0</v>
      </c>
      <c r="T78" s="130">
        <f>+Actuals!Q160</f>
        <v>0</v>
      </c>
      <c r="U78" s="131">
        <f>+Actuals!R160</f>
        <v>0</v>
      </c>
      <c r="V78" s="130">
        <f>+Actuals!S160</f>
        <v>0</v>
      </c>
      <c r="W78" s="131">
        <f>+Actuals!T160</f>
        <v>0</v>
      </c>
      <c r="X78" s="130">
        <f>+Actuals!U120</f>
        <v>0</v>
      </c>
      <c r="Y78" s="131">
        <f>+Actuals!V120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'TIE-OUT'!AD79+RECLASS!AD79</f>
        <v>0</v>
      </c>
      <c r="G79" s="60">
        <f>'TIE-OUT'!AE79+RECLASS!AE79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31">
        <f>+Actuals!H121</f>
        <v>0</v>
      </c>
      <c r="L79" s="130">
        <f>+Actuals!I161</f>
        <v>0</v>
      </c>
      <c r="M79" s="131">
        <f>+Actuals!J161</f>
        <v>0</v>
      </c>
      <c r="N79" s="130">
        <f>+Actuals!K161</f>
        <v>0</v>
      </c>
      <c r="O79" s="131">
        <f>+Actuals!L161</f>
        <v>0</v>
      </c>
      <c r="P79" s="130">
        <f>+Actuals!M161</f>
        <v>0</v>
      </c>
      <c r="Q79" s="131">
        <f>+Actuals!N161</f>
        <v>0</v>
      </c>
      <c r="R79" s="130">
        <f>+Actuals!O161</f>
        <v>0</v>
      </c>
      <c r="S79" s="131">
        <f>+Actuals!P161</f>
        <v>0</v>
      </c>
      <c r="T79" s="130">
        <f>+Actuals!Q161</f>
        <v>0</v>
      </c>
      <c r="U79" s="131">
        <f>+Actuals!R161</f>
        <v>0</v>
      </c>
      <c r="V79" s="130">
        <f>+Actuals!S161</f>
        <v>0</v>
      </c>
      <c r="W79" s="131">
        <f>+Actuals!T161</f>
        <v>0</v>
      </c>
      <c r="X79" s="130">
        <f>+Actuals!U121</f>
        <v>0</v>
      </c>
      <c r="Y79" s="131">
        <f>+Actuals!V121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'TIE-OUT'!AD80+RECLASS!AD80</f>
        <v>0</v>
      </c>
      <c r="G80" s="60">
        <f>'TIE-OUT'!AE80+RECLASS!AE80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31">
        <f>+Actuals!H122</f>
        <v>0</v>
      </c>
      <c r="L80" s="130">
        <f>+Actuals!I162</f>
        <v>0</v>
      </c>
      <c r="M80" s="131">
        <f>+Actuals!J162</f>
        <v>0</v>
      </c>
      <c r="N80" s="130">
        <f>+Actuals!K162</f>
        <v>0</v>
      </c>
      <c r="O80" s="131">
        <f>+Actuals!L162</f>
        <v>0</v>
      </c>
      <c r="P80" s="130">
        <f>+Actuals!M162</f>
        <v>0</v>
      </c>
      <c r="Q80" s="131">
        <f>+Actuals!N162</f>
        <v>0</v>
      </c>
      <c r="R80" s="130">
        <f>+Actuals!O162</f>
        <v>0</v>
      </c>
      <c r="S80" s="131">
        <f>+Actuals!P162</f>
        <v>0</v>
      </c>
      <c r="T80" s="130">
        <f>+Actuals!Q162</f>
        <v>0</v>
      </c>
      <c r="U80" s="131">
        <f>+Actuals!R162</f>
        <v>0</v>
      </c>
      <c r="V80" s="130">
        <f>+Actuals!S162</f>
        <v>0</v>
      </c>
      <c r="W80" s="131">
        <f>+Actuals!T162</f>
        <v>0</v>
      </c>
      <c r="X80" s="130">
        <f>+Actuals!U122</f>
        <v>0</v>
      </c>
      <c r="Y80" s="131">
        <f>+Actuals!V122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'TIE-OUT'!AD81+RECLASS!AD81</f>
        <v>0</v>
      </c>
      <c r="G81" s="60">
        <f>'TIE-OUT'!AE81+RECLASS!AE81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31">
        <f>+Actuals!H123</f>
        <v>0</v>
      </c>
      <c r="L81" s="130">
        <f>+Actuals!I163</f>
        <v>0</v>
      </c>
      <c r="M81" s="131">
        <f>+Actuals!J163</f>
        <v>0</v>
      </c>
      <c r="N81" s="130">
        <f>+Actuals!K163</f>
        <v>0</v>
      </c>
      <c r="O81" s="131">
        <f>+Actuals!L163</f>
        <v>0</v>
      </c>
      <c r="P81" s="130">
        <f>+Actuals!M163</f>
        <v>0</v>
      </c>
      <c r="Q81" s="131">
        <f>+Actuals!N163</f>
        <v>0</v>
      </c>
      <c r="R81" s="130">
        <f>+Actuals!O163</f>
        <v>0</v>
      </c>
      <c r="S81" s="131">
        <f>+Actuals!P163</f>
        <v>0</v>
      </c>
      <c r="T81" s="130">
        <f>+Actuals!Q163</f>
        <v>0</v>
      </c>
      <c r="U81" s="131">
        <f>+Actuals!R163</f>
        <v>0</v>
      </c>
      <c r="V81" s="130">
        <f>+Actuals!S163</f>
        <v>0</v>
      </c>
      <c r="W81" s="131">
        <f>+Actuals!T163</f>
        <v>0</v>
      </c>
      <c r="X81" s="130">
        <f>+Actuals!U123</f>
        <v>0</v>
      </c>
      <c r="Y81" s="131">
        <f>+Actuals!V123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-1173172.3400000064</v>
      </c>
      <c r="F82" s="91">
        <f>F16+F24+F29+F36+F43+F45+F47+F49</f>
        <v>0</v>
      </c>
      <c r="G82" s="92">
        <f>SUM(G72:G81)+G16+G24+G29+G36+G43+G45+G47+G49+G51+G56+G61+G66</f>
        <v>-4666665.1500000004</v>
      </c>
      <c r="H82" s="91">
        <f>H16+H24+H29+H36+H43+H45+H47+H49</f>
        <v>0</v>
      </c>
      <c r="I82" s="92">
        <f>SUM(I72:I81)+I16+I24+I29+I36+I43+I45+I47+I49+I51+I56+I61+I66</f>
        <v>954385</v>
      </c>
      <c r="J82" s="91">
        <f>J16+J24+J29+J36+J43+J45+J47+J49</f>
        <v>0</v>
      </c>
      <c r="K82" s="156">
        <f>SUM(K72:K81)+K16+K24+K29+K36+K43+K45+K47+K49+K51+K56+K61+K66</f>
        <v>813122</v>
      </c>
      <c r="L82" s="91">
        <f>L16+L24+L29+L36+L43+L45+L47+L49</f>
        <v>0</v>
      </c>
      <c r="M82" s="92">
        <f>SUM(M72:M81)+M16+M24+M29+M36+M43+M45+M47+M49+M51+M56+M61+M66</f>
        <v>4718983.5199999996</v>
      </c>
      <c r="N82" s="91">
        <f>N16+N24+N29+N36+N43+N45+N47+N49</f>
        <v>0</v>
      </c>
      <c r="O82" s="92">
        <f>SUM(O72:O81)+O16+O24+O29+O36+O43+O45+O47+O49+O51+O56+O61+O66</f>
        <v>-818047.29500000004</v>
      </c>
      <c r="P82" s="91">
        <f>P16+P24+P29+P36+P43+P45+P47+P49</f>
        <v>0</v>
      </c>
      <c r="Q82" s="92">
        <f>SUM(Q72:Q81)+Q16+Q24+Q29+Q36+Q43+Q45+Q47+Q49+Q51+Q56+Q61+Q66</f>
        <v>-2632711.7049999991</v>
      </c>
      <c r="R82" s="91">
        <f>R16+R24+R29+R36+R43+R45+R47+R49</f>
        <v>0</v>
      </c>
      <c r="S82" s="92">
        <f>SUM(S72:S81)+S16+S24+S29+S36+S43+S45+S47+S49+S51+S56+S61+S66</f>
        <v>398.05500000000012</v>
      </c>
      <c r="T82" s="91">
        <f>T16+T24+T29+T36+T43+T45+T47+T49</f>
        <v>0</v>
      </c>
      <c r="U82" s="92">
        <f>SUM(U72:U81)+U16+U24+U29+U36+U43+U45+U47+U49+U51+U56+U61+U66</f>
        <v>69253.060000000012</v>
      </c>
      <c r="V82" s="91">
        <f>V16+V24+V29+V36+V43+V45+V47+V49</f>
        <v>0</v>
      </c>
      <c r="W82" s="92">
        <f>SUM(W72:W81)+W16+W24+W29+W36+W43+W45+W47+W49+W51+W56+W61+W66</f>
        <v>-72847.824999998731</v>
      </c>
      <c r="X82" s="91">
        <f>X16+X24+X29+X36+X43+X45+X47+X49</f>
        <v>0</v>
      </c>
      <c r="Y82" s="92">
        <f>SUM(Y72:Y81)+Y16+Y24+Y29+Y36+Y43+Y45+Y47+Y49+Y51+Y56+Y61+Y66</f>
        <v>460958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J168"/>
  <sheetViews>
    <sheetView zoomScale="75" workbookViewId="0">
      <pane xSplit="3" ySplit="9" topLeftCell="S10" activePane="bottomRight" state="frozen"/>
      <selection activeCell="AB9" sqref="AB9"/>
      <selection pane="topRight" activeCell="AB9" sqref="AB9"/>
      <selection pane="bottomLeft" activeCell="AB9" sqref="AB9"/>
      <selection pane="bottomRight" activeCell="AB9" sqref="AB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55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-37500</v>
      </c>
      <c r="F12" s="60">
        <f>'TIE-OUT'!X12+RECLASS!V12</f>
        <v>0</v>
      </c>
      <c r="G12" s="38">
        <f>'TIE-OUT'!Y12+RECLASS!W12</f>
        <v>-37500</v>
      </c>
      <c r="H12" s="60"/>
      <c r="I12" s="38"/>
      <c r="J12" s="60"/>
      <c r="K12" s="147"/>
      <c r="L12" s="60"/>
      <c r="M12" s="38">
        <v>0</v>
      </c>
      <c r="N12" s="60"/>
      <c r="O12" s="38">
        <v>0</v>
      </c>
      <c r="P12" s="60"/>
      <c r="Q12" s="38">
        <v>0</v>
      </c>
      <c r="R12" s="60"/>
      <c r="S12" s="38">
        <v>0</v>
      </c>
      <c r="T12" s="60"/>
      <c r="U12" s="38">
        <v>0</v>
      </c>
      <c r="V12" s="60"/>
      <c r="W12" s="38">
        <v>0</v>
      </c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205</v>
      </c>
      <c r="D13" s="60">
        <f t="shared" si="0"/>
        <v>0</v>
      </c>
      <c r="E13" s="38">
        <f t="shared" si="0"/>
        <v>862643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/>
      <c r="L13" s="60"/>
      <c r="M13" s="38">
        <v>789133</v>
      </c>
      <c r="N13" s="60"/>
      <c r="O13" s="38"/>
      <c r="P13" s="60"/>
      <c r="Q13" s="38">
        <v>33066</v>
      </c>
      <c r="R13" s="60"/>
      <c r="S13" s="38"/>
      <c r="T13" s="60"/>
      <c r="U13" s="38"/>
      <c r="V13" s="60"/>
      <c r="W13" s="38">
        <v>40444</v>
      </c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825143</v>
      </c>
      <c r="F16" s="61">
        <f t="shared" ref="F16:AD16" si="1">SUM(F11:F15)</f>
        <v>0</v>
      </c>
      <c r="G16" s="39">
        <f t="shared" si="1"/>
        <v>-37500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789133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33066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>SUM(V11:V15)</f>
        <v>0</v>
      </c>
      <c r="W16" s="39">
        <f>SUM(W11:W15)</f>
        <v>40444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ref="N24:S24" si="6">SUM(N19:N23)</f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>SUM(T19:T23)</f>
        <v>0</v>
      </c>
      <c r="U24" s="39">
        <f>SUM(U19:U23)</f>
        <v>0</v>
      </c>
      <c r="V24" s="61">
        <f>SUM(V19:V23)</f>
        <v>0</v>
      </c>
      <c r="W24" s="39">
        <f>SUM(W19:W23)</f>
        <v>0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ref="N29:S29" si="9">SUM(N27:N28)</f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>SUM(W27:W28)</f>
        <v>0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ref="N36:S36" si="13">SUM(N32:N35)</f>
        <v>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>SUM(T32:T35)</f>
        <v>0</v>
      </c>
      <c r="U36" s="39">
        <f>SUM(U32:U35)</f>
        <v>0</v>
      </c>
      <c r="V36" s="61">
        <f>SUM(V32:V35)</f>
        <v>0</v>
      </c>
      <c r="W36" s="39">
        <f>SUM(W32:W35)</f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469242</v>
      </c>
      <c r="F41" s="81">
        <f>'TIE-OUT'!X41+RECLASS!V41</f>
        <v>0</v>
      </c>
      <c r="G41" s="82">
        <f>'TIE-OUT'!Y41+RECLASS!W41</f>
        <v>469242</v>
      </c>
      <c r="H41" s="60"/>
      <c r="I41" s="38"/>
      <c r="J41" s="60"/>
      <c r="K41" s="147"/>
      <c r="L41" s="60"/>
      <c r="M41" s="38"/>
      <c r="N41" s="60"/>
      <c r="O41" s="38"/>
      <c r="P41" s="60"/>
      <c r="Q41" s="214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469242</v>
      </c>
      <c r="F42" s="61">
        <f t="shared" ref="F42:AD42" si="16">SUM(F40:F41)</f>
        <v>0</v>
      </c>
      <c r="G42" s="39">
        <f t="shared" si="16"/>
        <v>469242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ref="N42:S42" si="17">SUM(N40:N41)</f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469242</v>
      </c>
      <c r="F43" s="61">
        <f t="shared" ref="F43:AD43" si="19">F42+F39</f>
        <v>0</v>
      </c>
      <c r="G43" s="39">
        <f t="shared" si="19"/>
        <v>469242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ref="N43:S43" si="20">N42+N39</f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ref="N56:S56" si="23">SUM(N54:N55)</f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>SUM(T54:T55)</f>
        <v>0</v>
      </c>
      <c r="U56" s="39">
        <f>SUM(U54:U55)</f>
        <v>0</v>
      </c>
      <c r="V56" s="61">
        <f>SUM(V54:V55)</f>
        <v>0</v>
      </c>
      <c r="W56" s="39">
        <f>SUM(W54:W55)</f>
        <v>0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55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ref="N61:S61" si="26">SUM(N59:N60)</f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>SUM(W59:W60)</f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700000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>
        <v>700000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700000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ref="N66:S66" si="29">SUM(N64:N65)</f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700000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>SUM(W64:W65)</f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-1347000</v>
      </c>
      <c r="F70" s="64">
        <f>'TIE-OUT'!X70+RECLASS!V70</f>
        <v>0</v>
      </c>
      <c r="G70" s="68">
        <f>'TIE-OUT'!Y70+RECLASS!W70</f>
        <v>804171</v>
      </c>
      <c r="H70" s="60"/>
      <c r="I70" s="38">
        <v>0</v>
      </c>
      <c r="J70" s="60"/>
      <c r="K70" s="155">
        <v>-180732</v>
      </c>
      <c r="L70" s="60"/>
      <c r="M70" s="38">
        <v>-3298439</v>
      </c>
      <c r="N70" s="60"/>
      <c r="O70" s="38"/>
      <c r="P70" s="60"/>
      <c r="Q70" s="38">
        <v>1328000</v>
      </c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-1347000</v>
      </c>
      <c r="F72" s="61">
        <f t="shared" ref="F72:AD72" si="31">SUM(F70:F71)</f>
        <v>0</v>
      </c>
      <c r="G72" s="39">
        <f t="shared" si="31"/>
        <v>804171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-180732</v>
      </c>
      <c r="L72" s="61">
        <f t="shared" si="31"/>
        <v>0</v>
      </c>
      <c r="M72" s="39">
        <f t="shared" si="31"/>
        <v>-3298439</v>
      </c>
      <c r="N72" s="61">
        <f t="shared" ref="N72:S72" si="32">SUM(N70:N71)</f>
        <v>0</v>
      </c>
      <c r="O72" s="39">
        <f t="shared" si="32"/>
        <v>0</v>
      </c>
      <c r="P72" s="61">
        <f t="shared" si="32"/>
        <v>0</v>
      </c>
      <c r="Q72" s="39">
        <f t="shared" si="32"/>
        <v>1328000</v>
      </c>
      <c r="R72" s="61">
        <f t="shared" si="32"/>
        <v>0</v>
      </c>
      <c r="S72" s="39">
        <f t="shared" si="32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1838742</v>
      </c>
      <c r="F74" s="60">
        <f>'TIE-OUT'!X74+RECLASS!V74</f>
        <v>0</v>
      </c>
      <c r="G74" s="60">
        <f>'TIE-OUT'!Y74+RECLASS!W74</f>
        <v>1838742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-765</v>
      </c>
      <c r="F76" s="60">
        <f>'TIE-OUT'!X76+RECLASS!V76</f>
        <v>0</v>
      </c>
      <c r="G76" s="60">
        <f>'TIE-OUT'!Y76+RECLASS!W76</f>
        <v>-765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-537587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>
        <v>-537587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2071037</v>
      </c>
      <c r="F82" s="91">
        <f>F16+F24+F29+F36+F43+F45+F47+F49</f>
        <v>0</v>
      </c>
      <c r="G82" s="92">
        <f>SUM(G72:G81)+G16+G24+G29+G36+G43+G45+G47+G49+G51+G56+G61+G66</f>
        <v>3073890</v>
      </c>
      <c r="H82" s="91">
        <f>H16+H24+H29+H36+H43+H45+H47+H49</f>
        <v>0</v>
      </c>
      <c r="I82" s="161">
        <f>SUM(I72:I81)+I16+I24+I29+I36+I43+I45+I47+I49+I51+I56+I61+I66</f>
        <v>0</v>
      </c>
      <c r="J82" s="91">
        <f>J16+J24+J29+J36+J43+J45+J47+J49</f>
        <v>0</v>
      </c>
      <c r="K82" s="161">
        <f>SUM(K72:K81)+K16+K24+K29+K36+K43+K45+K47+K49+K51+K56+K61+K66</f>
        <v>-595057</v>
      </c>
      <c r="L82" s="91">
        <f>L16+L24+L29+L36+L43+L45+L47+L49</f>
        <v>0</v>
      </c>
      <c r="M82" s="92">
        <f>SUM(M72:M81)+M16+M24+M29+M36+M43+M45+M47+M49+M51+M56+M61+M66</f>
        <v>-2509306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1361066</v>
      </c>
      <c r="R82" s="91">
        <f>R16+R24+R29+R36+R43+R45+R47+R49</f>
        <v>0</v>
      </c>
      <c r="S82" s="92">
        <f>SUM(S72:S81)+S16+S24+S29+S36+S43+S45+S47+S49+S51+S56+S61+S66</f>
        <v>700000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40444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-1347000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U79" activePane="bottomRight" state="frozen"/>
      <selection activeCell="AB9" sqref="AB9"/>
      <selection pane="topRight" activeCell="AB9" sqref="AB9"/>
      <selection pane="bottomLeft" activeCell="AB9" sqref="AB9"/>
      <selection pane="bottomRight" activeCell="AC89" sqref="AC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9" width="15.42578125" customWidth="1"/>
    <col min="30" max="31" width="15.42578125" hidden="1" customWidth="1"/>
    <col min="32" max="36" width="9.140625" hidden="1" customWidth="1"/>
    <col min="37" max="60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190</v>
      </c>
      <c r="I8" s="27"/>
      <c r="J8" s="26" t="s">
        <v>202</v>
      </c>
      <c r="K8" s="144"/>
      <c r="L8" s="26" t="s">
        <v>204</v>
      </c>
      <c r="M8" s="27"/>
      <c r="N8" s="26" t="s">
        <v>206</v>
      </c>
      <c r="O8" s="27"/>
      <c r="P8" s="26" t="s">
        <v>207</v>
      </c>
      <c r="Q8" s="27"/>
      <c r="R8" s="26" t="s">
        <v>208</v>
      </c>
      <c r="S8" s="27"/>
      <c r="T8" s="26" t="s">
        <v>209</v>
      </c>
      <c r="U8" s="27"/>
      <c r="V8" s="26" t="s">
        <v>210</v>
      </c>
      <c r="W8" s="27"/>
      <c r="X8" s="26" t="s">
        <v>211</v>
      </c>
      <c r="Y8" s="27"/>
      <c r="Z8" s="26" t="s">
        <v>212</v>
      </c>
      <c r="AA8" s="27"/>
      <c r="AB8" s="26" t="s">
        <v>213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31022758</v>
      </c>
      <c r="E11" s="38">
        <f>SUM(G11,I11,K11,M11,O11,Q11,S11,U11,W11,Y11,AA11,AC11,AE11)</f>
        <v>90186432.590000004</v>
      </c>
      <c r="F11" s="60">
        <f>'TIE-OUT'!Z11+RECLASS!X11</f>
        <v>0</v>
      </c>
      <c r="G11" s="38">
        <f>'TIE-OUT'!AA11+RECLASS!Y11</f>
        <v>32500</v>
      </c>
      <c r="H11" s="60">
        <f>122205+1226165+28968543</f>
        <v>30316913</v>
      </c>
      <c r="I11" s="38">
        <f>83399828+4150650+411023</f>
        <v>87961501</v>
      </c>
      <c r="J11" s="60">
        <v>108143</v>
      </c>
      <c r="K11" s="147">
        <f>-5346+246145</f>
        <v>240799</v>
      </c>
      <c r="L11" s="127">
        <f>+Actuals!I284</f>
        <v>-10000</v>
      </c>
      <c r="M11" s="128">
        <f>+Actuals!J284</f>
        <v>-23400</v>
      </c>
      <c r="N11" s="127">
        <f>+Actuals!K284</f>
        <v>0</v>
      </c>
      <c r="O11" s="128">
        <f>+Actuals!L284</f>
        <v>0</v>
      </c>
      <c r="P11" s="60">
        <f>+Actuals!M284</f>
        <v>0</v>
      </c>
      <c r="Q11" s="38">
        <f>+Actuals!N284</f>
        <v>0</v>
      </c>
      <c r="R11" s="60">
        <f>+Actuals!O284</f>
        <v>607702</v>
      </c>
      <c r="S11" s="38">
        <f>+Actuals!P284</f>
        <v>1975032.59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2812168.68</v>
      </c>
      <c r="F12" s="60">
        <f>'TIE-OUT'!Z12+RECLASS!X12</f>
        <v>0</v>
      </c>
      <c r="G12" s="38">
        <f>'TIE-OUT'!AA12+RECLASS!Y12</f>
        <v>2812168.68</v>
      </c>
      <c r="H12" s="60"/>
      <c r="I12" s="38"/>
      <c r="J12" s="60"/>
      <c r="K12" s="158"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60">
        <f>+Actuals!M285</f>
        <v>0</v>
      </c>
      <c r="Q12" s="38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1241772</v>
      </c>
      <c r="E13" s="38">
        <f t="shared" si="0"/>
        <v>3102806</v>
      </c>
      <c r="F13" s="60">
        <f>'TIE-OUT'!Z13+RECLASS!X13</f>
        <v>0</v>
      </c>
      <c r="G13" s="38">
        <f>'TIE-OUT'!AA13+RECLASS!Y13</f>
        <v>0</v>
      </c>
      <c r="H13" s="60">
        <v>1241772</v>
      </c>
      <c r="I13" s="38">
        <v>3102806</v>
      </c>
      <c r="J13" s="60">
        <v>-48817</v>
      </c>
      <c r="K13" s="147">
        <v>-115940</v>
      </c>
      <c r="L13" s="127">
        <f>+Actuals!I286</f>
        <v>1286735</v>
      </c>
      <c r="M13" s="128">
        <f>+Actuals!J286</f>
        <v>3208244</v>
      </c>
      <c r="N13" s="127">
        <f>+Actuals!K286</f>
        <v>0</v>
      </c>
      <c r="O13" s="128">
        <f>+Actuals!L286</f>
        <v>0</v>
      </c>
      <c r="P13" s="60">
        <f>+Actuals!M286</f>
        <v>-1241772</v>
      </c>
      <c r="Q13" s="38">
        <f>+Actuals!N286</f>
        <v>-3102806</v>
      </c>
      <c r="R13" s="60">
        <f>+Actuals!O286</f>
        <v>1559</v>
      </c>
      <c r="S13" s="38">
        <f>+Actuals!P286</f>
        <v>4208</v>
      </c>
      <c r="T13" s="60">
        <f>+Actuals!Q286</f>
        <v>0</v>
      </c>
      <c r="U13" s="38">
        <f>+Actuals!R286</f>
        <v>0</v>
      </c>
      <c r="V13" s="60">
        <f>+Actuals!S286</f>
        <v>2295</v>
      </c>
      <c r="W13" s="38">
        <f>+Actuals!T286</f>
        <v>6294</v>
      </c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60">
        <f>+Actuals!M287</f>
        <v>0</v>
      </c>
      <c r="Q14" s="38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-32500</v>
      </c>
      <c r="H15" s="60"/>
      <c r="I15" s="38"/>
      <c r="J15" s="60"/>
      <c r="K15" s="147">
        <v>32500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60">
        <f>+Actuals!M288</f>
        <v>0</v>
      </c>
      <c r="Q15" s="38">
        <f>+Actuals!N288</f>
        <v>0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32264530</v>
      </c>
      <c r="E16" s="39">
        <f>SUM(E11:E15)</f>
        <v>96101407.270000011</v>
      </c>
      <c r="F16" s="61">
        <f t="shared" ref="F16:AD16" si="1">SUM(F11:F15)</f>
        <v>0</v>
      </c>
      <c r="G16" s="39">
        <f t="shared" si="1"/>
        <v>2812168.68</v>
      </c>
      <c r="H16" s="61">
        <f t="shared" si="1"/>
        <v>31558685</v>
      </c>
      <c r="I16" s="39">
        <f t="shared" si="1"/>
        <v>91064307</v>
      </c>
      <c r="J16" s="61">
        <f t="shared" si="1"/>
        <v>59326</v>
      </c>
      <c r="K16" s="148">
        <f t="shared" si="1"/>
        <v>157359</v>
      </c>
      <c r="L16" s="61">
        <f t="shared" si="1"/>
        <v>1276735</v>
      </c>
      <c r="M16" s="39">
        <f t="shared" si="1"/>
        <v>3184844</v>
      </c>
      <c r="N16" s="61">
        <f t="shared" ref="N16:S16" si="2">SUM(N11:N15)</f>
        <v>0</v>
      </c>
      <c r="O16" s="39">
        <f t="shared" si="2"/>
        <v>0</v>
      </c>
      <c r="P16" s="61">
        <f t="shared" si="2"/>
        <v>-1241772</v>
      </c>
      <c r="Q16" s="39">
        <f t="shared" si="2"/>
        <v>-3102806</v>
      </c>
      <c r="R16" s="61">
        <f t="shared" si="2"/>
        <v>609261</v>
      </c>
      <c r="S16" s="39">
        <f t="shared" si="2"/>
        <v>1979240.59</v>
      </c>
      <c r="T16" s="61">
        <f>SUM(T11:T15)</f>
        <v>0</v>
      </c>
      <c r="U16" s="39">
        <f>SUM(U11:U15)</f>
        <v>0</v>
      </c>
      <c r="V16" s="61">
        <f>SUM(V11:V15)</f>
        <v>2295</v>
      </c>
      <c r="W16" s="39">
        <f>SUM(W11:W15)</f>
        <v>6294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-29344709</v>
      </c>
      <c r="E19" s="38">
        <f t="shared" si="4"/>
        <v>-80329184.700000003</v>
      </c>
      <c r="F19" s="64">
        <f>'TIE-OUT'!Z19+RECLASS!X19</f>
        <v>0</v>
      </c>
      <c r="G19" s="68">
        <f>'TIE-OUT'!AA19+RECLASS!Y19</f>
        <v>0</v>
      </c>
      <c r="H19" s="60">
        <f>-31492097+2886280</f>
        <v>-28605817</v>
      </c>
      <c r="I19" s="38">
        <f>-86119378+9039501</f>
        <v>-77079877</v>
      </c>
      <c r="J19" s="60">
        <v>-141226</v>
      </c>
      <c r="K19" s="147">
        <f>-413673-89-799747+89</f>
        <v>-1213420</v>
      </c>
      <c r="L19" s="127">
        <f>+Actuals!I289</f>
        <v>10044</v>
      </c>
      <c r="M19" s="128">
        <f>+Actuals!J289</f>
        <v>-61411.37</v>
      </c>
      <c r="N19" s="127">
        <f>+Actuals!K289</f>
        <v>0</v>
      </c>
      <c r="O19" s="128">
        <f>+Actuals!L289</f>
        <v>53.23</v>
      </c>
      <c r="P19" s="60">
        <f>+Actuals!M289</f>
        <v>0</v>
      </c>
      <c r="Q19" s="38">
        <f>+Actuals!N289</f>
        <v>-28.7</v>
      </c>
      <c r="R19" s="60">
        <f>+Actuals!O289</f>
        <v>-607710</v>
      </c>
      <c r="S19" s="38">
        <f>+Actuals!P289</f>
        <v>-1974737.38</v>
      </c>
      <c r="T19" s="60">
        <f>+Actuals!Q289</f>
        <v>0</v>
      </c>
      <c r="U19" s="38">
        <f>+Actuals!R289</f>
        <v>171.62</v>
      </c>
      <c r="V19" s="60">
        <f>+Actuals!S289</f>
        <v>0</v>
      </c>
      <c r="W19" s="38">
        <f>+Actuals!T289</f>
        <v>-171.62</v>
      </c>
      <c r="X19" s="60"/>
      <c r="Y19" s="38">
        <v>68.11</v>
      </c>
      <c r="Z19" s="60"/>
      <c r="AA19" s="38">
        <v>-153</v>
      </c>
      <c r="AB19" s="60"/>
      <c r="AC19" s="38">
        <v>321.41000000000003</v>
      </c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-8069730.3700000001</v>
      </c>
      <c r="F20" s="60">
        <f>'TIE-OUT'!Z20+RECLASS!X20</f>
        <v>0</v>
      </c>
      <c r="G20" s="38">
        <f>'TIE-OUT'!AA20+RECLASS!Y20</f>
        <v>-8069730.3700000001</v>
      </c>
      <c r="H20" s="60"/>
      <c r="I20" s="38"/>
      <c r="J20" s="60"/>
      <c r="K20" s="158"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60">
        <f>+Actuals!M290</f>
        <v>0</v>
      </c>
      <c r="Q20" s="38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>
        <f>+Actuals!S290</f>
        <v>0</v>
      </c>
      <c r="W20" s="38">
        <f>+Actuals!T290</f>
        <v>0</v>
      </c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-2897280</v>
      </c>
      <c r="E21" s="38">
        <f t="shared" si="4"/>
        <v>-9066340</v>
      </c>
      <c r="F21" s="60">
        <f>'TIE-OUT'!Z21+RECLASS!X21</f>
        <v>0</v>
      </c>
      <c r="G21" s="38">
        <f>'TIE-OUT'!AA21+RECLASS!Y21</f>
        <v>0</v>
      </c>
      <c r="H21" s="60">
        <v>-2886280</v>
      </c>
      <c r="I21" s="38">
        <v>-9039501</v>
      </c>
      <c r="J21" s="60">
        <v>2677738</v>
      </c>
      <c r="K21" s="147">
        <v>8508402</v>
      </c>
      <c r="L21" s="127">
        <f>+Actuals!I291</f>
        <v>-2886280</v>
      </c>
      <c r="M21" s="128">
        <f>+Actuals!J291</f>
        <v>-9039501</v>
      </c>
      <c r="N21" s="127">
        <f>+Actuals!K291</f>
        <v>0</v>
      </c>
      <c r="O21" s="128">
        <f>+Actuals!L291</f>
        <v>0</v>
      </c>
      <c r="P21" s="60">
        <f>+Actuals!M291</f>
        <v>2886280</v>
      </c>
      <c r="Q21" s="38">
        <f>+Actuals!N291</f>
        <v>9039501</v>
      </c>
      <c r="R21" s="60">
        <f>+Actuals!O291</f>
        <v>0</v>
      </c>
      <c r="S21" s="38">
        <f>+Actuals!P291</f>
        <v>0</v>
      </c>
      <c r="T21" s="60">
        <f>+Actuals!Q291</f>
        <v>0</v>
      </c>
      <c r="U21" s="38">
        <f>+Actuals!R291</f>
        <v>0</v>
      </c>
      <c r="V21" s="60">
        <f>+Actuals!S291</f>
        <v>-2688738</v>
      </c>
      <c r="W21" s="38">
        <f>+Actuals!T291</f>
        <v>-8535241</v>
      </c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60">
        <f>+Actuals!M292</f>
        <v>0</v>
      </c>
      <c r="Q22" s="38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27">
        <f>+Actuals!I293</f>
        <v>0</v>
      </c>
      <c r="M23" s="128">
        <f>+Actuals!J293</f>
        <v>0</v>
      </c>
      <c r="N23" s="127">
        <f>+Actuals!K293</f>
        <v>0</v>
      </c>
      <c r="O23" s="128">
        <f>+Actuals!L293</f>
        <v>0</v>
      </c>
      <c r="P23" s="60">
        <f>+Actuals!M293</f>
        <v>0</v>
      </c>
      <c r="Q23" s="38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-32241989</v>
      </c>
      <c r="E24" s="39">
        <f>SUM(E19:E23)</f>
        <v>-97465255.070000008</v>
      </c>
      <c r="F24" s="61">
        <f t="shared" ref="F24:AD24" si="5">SUM(F19:F23)</f>
        <v>0</v>
      </c>
      <c r="G24" s="39">
        <f t="shared" si="5"/>
        <v>-8069730.3700000001</v>
      </c>
      <c r="H24" s="61">
        <f t="shared" si="5"/>
        <v>-31492097</v>
      </c>
      <c r="I24" s="39">
        <f t="shared" si="5"/>
        <v>-86119378</v>
      </c>
      <c r="J24" s="61">
        <f t="shared" si="5"/>
        <v>2536512</v>
      </c>
      <c r="K24" s="148">
        <f t="shared" si="5"/>
        <v>7294982</v>
      </c>
      <c r="L24" s="61">
        <f t="shared" si="5"/>
        <v>-2876236</v>
      </c>
      <c r="M24" s="39">
        <f t="shared" si="5"/>
        <v>-9100912.3699999992</v>
      </c>
      <c r="N24" s="61">
        <f t="shared" ref="N24:S24" si="6">SUM(N19:N23)</f>
        <v>0</v>
      </c>
      <c r="O24" s="39">
        <f t="shared" si="6"/>
        <v>53.23</v>
      </c>
      <c r="P24" s="61">
        <f t="shared" si="6"/>
        <v>2886280</v>
      </c>
      <c r="Q24" s="39">
        <f t="shared" si="6"/>
        <v>9039472.3000000007</v>
      </c>
      <c r="R24" s="61">
        <f t="shared" si="6"/>
        <v>-607710</v>
      </c>
      <c r="S24" s="39">
        <f t="shared" si="6"/>
        <v>-1974737.38</v>
      </c>
      <c r="T24" s="61">
        <f>SUM(T19:T23)</f>
        <v>0</v>
      </c>
      <c r="U24" s="39">
        <f>SUM(U19:U23)</f>
        <v>171.62</v>
      </c>
      <c r="V24" s="61">
        <f>SUM(V19:V23)</f>
        <v>-2688738</v>
      </c>
      <c r="W24" s="39">
        <f>SUM(W19:W23)</f>
        <v>-8535412.6199999992</v>
      </c>
      <c r="X24" s="61">
        <f t="shared" si="5"/>
        <v>0</v>
      </c>
      <c r="Y24" s="39">
        <f t="shared" ref="Y24:AE24" si="7">SUM(Y19:Y23)</f>
        <v>68.11</v>
      </c>
      <c r="Z24" s="61">
        <f t="shared" si="5"/>
        <v>0</v>
      </c>
      <c r="AA24" s="39">
        <f t="shared" si="7"/>
        <v>-153</v>
      </c>
      <c r="AB24" s="61">
        <f t="shared" si="5"/>
        <v>0</v>
      </c>
      <c r="AC24" s="39">
        <f t="shared" si="7"/>
        <v>321.41000000000003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60">
        <f>+Actuals!M294</f>
        <v>0</v>
      </c>
      <c r="Q27" s="38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60">
        <f>+Actuals!M295</f>
        <v>0</v>
      </c>
      <c r="Q28" s="38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 t="shared" ref="D29:K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ref="L29:Q29" si="9">SUM(L27:L28)</f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ref="R29:X29" si="10">SUM(R27:R28)</f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ref="Y29:AE29" si="11">SUM(Y27:Y28)</f>
        <v>0</v>
      </c>
      <c r="Z29" s="61">
        <f>SUM(Z27:Z28)</f>
        <v>0</v>
      </c>
      <c r="AA29" s="39">
        <f t="shared" si="11"/>
        <v>0</v>
      </c>
      <c r="AB29" s="61">
        <f>SUM(AB27:AB28)</f>
        <v>0</v>
      </c>
      <c r="AC29" s="39">
        <f t="shared" si="11"/>
        <v>0</v>
      </c>
      <c r="AD29" s="61">
        <f>SUM(AD27:AD28)</f>
        <v>0</v>
      </c>
      <c r="AE29" s="39">
        <f t="shared" si="11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2">SUM(F32,H32,J32,L32,N32,P32,R32,T32,V32,X32,Z32,AB32,AD32)</f>
        <v>47914</v>
      </c>
      <c r="E32" s="38">
        <f t="shared" si="12"/>
        <v>112118.37999999999</v>
      </c>
      <c r="F32" s="64">
        <f>'TIE-OUT'!Z32+RECLASS!X32</f>
        <v>0</v>
      </c>
      <c r="G32" s="68">
        <f>'TIE-OUT'!AA32+RECLASS!Y32</f>
        <v>0</v>
      </c>
      <c r="H32" s="60">
        <v>-66588</v>
      </c>
      <c r="I32" s="38">
        <v>-155816</v>
      </c>
      <c r="J32" s="60">
        <v>105995</v>
      </c>
      <c r="K32" s="147">
        <v>248028</v>
      </c>
      <c r="L32" s="127">
        <f>+Actuals!I296</f>
        <v>1467</v>
      </c>
      <c r="M32" s="128">
        <f>+Actuals!J296</f>
        <v>3432.78</v>
      </c>
      <c r="N32" s="127">
        <f>+Actuals!K296</f>
        <v>0</v>
      </c>
      <c r="O32" s="128">
        <f>+Actuals!L296</f>
        <v>0</v>
      </c>
      <c r="P32" s="60">
        <f>+Actuals!M296</f>
        <v>0</v>
      </c>
      <c r="Q32" s="38">
        <f>+Actuals!N296</f>
        <v>0</v>
      </c>
      <c r="R32" s="60">
        <f>+Actuals!O296</f>
        <v>3659</v>
      </c>
      <c r="S32" s="38">
        <f>+Actuals!P296</f>
        <v>8562.06</v>
      </c>
      <c r="T32" s="60">
        <f>+Actuals!Q296</f>
        <v>0</v>
      </c>
      <c r="U32" s="38">
        <f>+Actuals!R296</f>
        <v>0</v>
      </c>
      <c r="V32" s="60">
        <f>+Actuals!S296</f>
        <v>3381</v>
      </c>
      <c r="W32" s="38">
        <f>+Actuals!T296</f>
        <v>7911.54</v>
      </c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2"/>
        <v>0</v>
      </c>
      <c r="E33" s="38">
        <f t="shared" si="12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27">
        <f>+Actuals!I297</f>
        <v>0</v>
      </c>
      <c r="M33" s="128">
        <f>+Actuals!J297</f>
        <v>0</v>
      </c>
      <c r="N33" s="127">
        <f>+Actuals!K297</f>
        <v>0</v>
      </c>
      <c r="O33" s="128">
        <f>+Actuals!L297</f>
        <v>0</v>
      </c>
      <c r="P33" s="60">
        <f>+Actuals!M297</f>
        <v>0</v>
      </c>
      <c r="Q33" s="38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2"/>
        <v>0</v>
      </c>
      <c r="E34" s="38">
        <f t="shared" si="12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27">
        <f>+Actuals!I298</f>
        <v>0</v>
      </c>
      <c r="M34" s="128">
        <f>+Actuals!J298</f>
        <v>0</v>
      </c>
      <c r="N34" s="127">
        <f>+Actuals!K298</f>
        <v>0</v>
      </c>
      <c r="O34" s="128">
        <f>+Actuals!L298</f>
        <v>0</v>
      </c>
      <c r="P34" s="60">
        <f>+Actuals!M298</f>
        <v>0</v>
      </c>
      <c r="Q34" s="38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2"/>
        <v>0</v>
      </c>
      <c r="E35" s="38">
        <f t="shared" si="12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60">
        <f>+Actuals!M299</f>
        <v>0</v>
      </c>
      <c r="Q35" s="38">
        <f>+Actuals!N299</f>
        <v>0</v>
      </c>
      <c r="R35" s="60">
        <f>+Actuals!O299</f>
        <v>0</v>
      </c>
      <c r="S35" s="38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47914</v>
      </c>
      <c r="E36" s="39">
        <f>SUM(E32:E35)</f>
        <v>112118.37999999999</v>
      </c>
      <c r="F36" s="61">
        <f t="shared" ref="F36:AD36" si="13">SUM(F32:F35)</f>
        <v>0</v>
      </c>
      <c r="G36" s="39">
        <f t="shared" si="13"/>
        <v>0</v>
      </c>
      <c r="H36" s="61">
        <f t="shared" si="13"/>
        <v>-66588</v>
      </c>
      <c r="I36" s="39">
        <f t="shared" si="13"/>
        <v>-155816</v>
      </c>
      <c r="J36" s="61">
        <f t="shared" si="13"/>
        <v>105995</v>
      </c>
      <c r="K36" s="148">
        <f t="shared" si="13"/>
        <v>248028</v>
      </c>
      <c r="L36" s="61">
        <f t="shared" si="13"/>
        <v>1467</v>
      </c>
      <c r="M36" s="39">
        <f t="shared" si="13"/>
        <v>3432.78</v>
      </c>
      <c r="N36" s="61">
        <f t="shared" ref="N36:S36" si="14">SUM(N32:N35)</f>
        <v>0</v>
      </c>
      <c r="O36" s="39">
        <f t="shared" si="14"/>
        <v>0</v>
      </c>
      <c r="P36" s="61">
        <f t="shared" si="14"/>
        <v>0</v>
      </c>
      <c r="Q36" s="39">
        <f t="shared" si="14"/>
        <v>0</v>
      </c>
      <c r="R36" s="61">
        <f t="shared" si="14"/>
        <v>3659</v>
      </c>
      <c r="S36" s="39">
        <f t="shared" si="14"/>
        <v>8562.06</v>
      </c>
      <c r="T36" s="61">
        <f>SUM(T32:T35)</f>
        <v>0</v>
      </c>
      <c r="U36" s="39">
        <f>SUM(U32:U35)</f>
        <v>0</v>
      </c>
      <c r="V36" s="61">
        <f>SUM(V32:V35)</f>
        <v>3381</v>
      </c>
      <c r="W36" s="39">
        <f>SUM(W32:W35)</f>
        <v>7911.54</v>
      </c>
      <c r="X36" s="61">
        <f t="shared" si="13"/>
        <v>0</v>
      </c>
      <c r="Y36" s="39">
        <f t="shared" ref="Y36:AE36" si="15">SUM(Y32:Y35)</f>
        <v>0</v>
      </c>
      <c r="Z36" s="61">
        <f t="shared" si="13"/>
        <v>0</v>
      </c>
      <c r="AA36" s="39">
        <f t="shared" si="15"/>
        <v>0</v>
      </c>
      <c r="AB36" s="61">
        <f t="shared" si="13"/>
        <v>0</v>
      </c>
      <c r="AC36" s="39">
        <f t="shared" si="15"/>
        <v>0</v>
      </c>
      <c r="AD36" s="61">
        <f t="shared" si="13"/>
        <v>0</v>
      </c>
      <c r="AE36" s="39">
        <f t="shared" si="15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6">SUM(F39,H39,J39,L39,N39,P39,R39,T39,V39,X39,Z39,AB39,AD39)</f>
        <v>0</v>
      </c>
      <c r="E39" s="38">
        <f t="shared" si="16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60">
        <f>+Actuals!M300</f>
        <v>0</v>
      </c>
      <c r="Q39" s="38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6"/>
        <v>0</v>
      </c>
      <c r="E40" s="38">
        <f t="shared" si="16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60">
        <f>+Actuals!M301</f>
        <v>0</v>
      </c>
      <c r="Q40" s="38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6"/>
        <v>0</v>
      </c>
      <c r="E41" s="38">
        <f t="shared" si="16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60">
        <f>+Actuals!M302</f>
        <v>0</v>
      </c>
      <c r="Q41" s="38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ref="N42:S42" si="18">SUM(N40:N41)</f>
        <v>0</v>
      </c>
      <c r="O42" s="39">
        <f t="shared" si="18"/>
        <v>0</v>
      </c>
      <c r="P42" s="61">
        <f t="shared" si="18"/>
        <v>0</v>
      </c>
      <c r="Q42" s="39">
        <f t="shared" si="18"/>
        <v>0</v>
      </c>
      <c r="R42" s="61">
        <f t="shared" si="18"/>
        <v>0</v>
      </c>
      <c r="S42" s="39">
        <f t="shared" si="18"/>
        <v>0</v>
      </c>
      <c r="T42" s="61">
        <f>SUM(T40:T41)</f>
        <v>0</v>
      </c>
      <c r="U42" s="39">
        <f>SUM(U40:U41)</f>
        <v>0</v>
      </c>
      <c r="V42" s="61">
        <f>SUM(V40:V41)</f>
        <v>0</v>
      </c>
      <c r="W42" s="39">
        <f>SUM(W40:W41)</f>
        <v>0</v>
      </c>
      <c r="X42" s="61">
        <f t="shared" si="17"/>
        <v>0</v>
      </c>
      <c r="Y42" s="39">
        <f t="shared" ref="Y42:AE42" si="19">SUM(Y40:Y41)</f>
        <v>0</v>
      </c>
      <c r="Z42" s="61">
        <f t="shared" si="17"/>
        <v>0</v>
      </c>
      <c r="AA42" s="39">
        <f t="shared" si="19"/>
        <v>0</v>
      </c>
      <c r="AB42" s="61">
        <f t="shared" si="17"/>
        <v>0</v>
      </c>
      <c r="AC42" s="39">
        <f t="shared" si="19"/>
        <v>0</v>
      </c>
      <c r="AD42" s="61">
        <f t="shared" si="17"/>
        <v>0</v>
      </c>
      <c r="AE42" s="39">
        <f t="shared" si="19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ref="N43:S43" si="21">N42+N39</f>
        <v>0</v>
      </c>
      <c r="O43" s="39">
        <f t="shared" si="21"/>
        <v>0</v>
      </c>
      <c r="P43" s="61">
        <f t="shared" si="21"/>
        <v>0</v>
      </c>
      <c r="Q43" s="39">
        <f t="shared" si="21"/>
        <v>0</v>
      </c>
      <c r="R43" s="61">
        <f t="shared" si="21"/>
        <v>0</v>
      </c>
      <c r="S43" s="39">
        <f t="shared" si="21"/>
        <v>0</v>
      </c>
      <c r="T43" s="61">
        <f>T42+T39</f>
        <v>0</v>
      </c>
      <c r="U43" s="39">
        <f>U42+U39</f>
        <v>0</v>
      </c>
      <c r="V43" s="61">
        <f>V42+V39</f>
        <v>0</v>
      </c>
      <c r="W43" s="39">
        <f>W42+W39</f>
        <v>0</v>
      </c>
      <c r="X43" s="61">
        <f t="shared" si="20"/>
        <v>0</v>
      </c>
      <c r="Y43" s="39">
        <f t="shared" ref="Y43:AE43" si="22">Y42+Y39</f>
        <v>0</v>
      </c>
      <c r="Z43" s="61">
        <f t="shared" si="20"/>
        <v>0</v>
      </c>
      <c r="AA43" s="39">
        <f t="shared" si="22"/>
        <v>0</v>
      </c>
      <c r="AB43" s="61">
        <f t="shared" si="20"/>
        <v>0</v>
      </c>
      <c r="AC43" s="39">
        <f t="shared" si="22"/>
        <v>0</v>
      </c>
      <c r="AD43" s="61">
        <f t="shared" si="20"/>
        <v>0</v>
      </c>
      <c r="AE43" s="39">
        <f t="shared" si="22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60">
        <f>+Actuals!M303</f>
        <v>0</v>
      </c>
      <c r="Q45" s="38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60">
        <f>+Actuals!M304</f>
        <v>0</v>
      </c>
      <c r="Q47" s="38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-70455</v>
      </c>
      <c r="E49" s="38">
        <f>SUM(G49,I49,K49,M49,O49,Q49,S49,U49,W49,Y49,AA49,AC49,AE49)</f>
        <v>-164864.48000000045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-2701833</v>
      </c>
      <c r="K49" s="147">
        <v>-6322289</v>
      </c>
      <c r="L49" s="127">
        <f>+Actuals!I305</f>
        <v>1598034</v>
      </c>
      <c r="M49" s="128">
        <f>+Actuals!J305</f>
        <v>3739399.56</v>
      </c>
      <c r="N49" s="127">
        <f>+Actuals!K305</f>
        <v>0</v>
      </c>
      <c r="O49" s="128">
        <f>+Actuals!L305</f>
        <v>0</v>
      </c>
      <c r="P49" s="60">
        <f>+Actuals!M305</f>
        <v>-1644508</v>
      </c>
      <c r="Q49" s="38">
        <f>+Actuals!N305</f>
        <v>-3848148.72</v>
      </c>
      <c r="R49" s="60">
        <f>+Actuals!O305</f>
        <v>-5210</v>
      </c>
      <c r="S49" s="38">
        <f>+Actuals!P305</f>
        <v>-12191.4</v>
      </c>
      <c r="T49" s="60">
        <f>+Actuals!Q305</f>
        <v>0</v>
      </c>
      <c r="U49" s="38">
        <f>+Actuals!R305</f>
        <v>0</v>
      </c>
      <c r="V49" s="60">
        <f>+Actuals!S305</f>
        <v>2683062</v>
      </c>
      <c r="W49" s="38">
        <f>+Actuals!T305</f>
        <v>6278365.0800000001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27">
        <f>+Actuals!I306</f>
        <v>0</v>
      </c>
      <c r="M51" s="128">
        <f>+Actuals!J306</f>
        <v>0</v>
      </c>
      <c r="N51" s="127">
        <f>+Actuals!K306</f>
        <v>0</v>
      </c>
      <c r="O51" s="128">
        <f>+Actuals!L306</f>
        <v>0</v>
      </c>
      <c r="P51" s="60">
        <f>+Actuals!M306</f>
        <v>0</v>
      </c>
      <c r="Q51" s="38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-133196.51999999999</v>
      </c>
      <c r="F54" s="64">
        <f>'TIE-OUT'!Z54+RECLASS!X54</f>
        <v>0</v>
      </c>
      <c r="G54" s="68">
        <f>'TIE-OUT'!AA54+RECLASS!Y54</f>
        <v>0</v>
      </c>
      <c r="H54" s="60"/>
      <c r="I54" s="38">
        <v>0</v>
      </c>
      <c r="J54" s="60">
        <v>0</v>
      </c>
      <c r="K54" s="147">
        <v>0</v>
      </c>
      <c r="L54" s="127">
        <f>+Actuals!I307</f>
        <v>0</v>
      </c>
      <c r="M54" s="128">
        <f>+Actuals!J307</f>
        <v>-120879.8</v>
      </c>
      <c r="N54" s="127">
        <f>+Actuals!K307</f>
        <v>0</v>
      </c>
      <c r="O54" s="128">
        <f>+Actuals!L307</f>
        <v>0</v>
      </c>
      <c r="P54" s="60">
        <f>+Actuals!M307</f>
        <v>0</v>
      </c>
      <c r="Q54" s="38">
        <f>+Actuals!N307</f>
        <v>0</v>
      </c>
      <c r="R54" s="60">
        <f>+Actuals!O307</f>
        <v>0</v>
      </c>
      <c r="S54" s="38">
        <f>+Actuals!P307</f>
        <v>-12316.72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60">
        <f>+Actuals!M308</f>
        <v>0</v>
      </c>
      <c r="Q55" s="38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 t="shared" ref="D56:K56" si="23">SUM(D54:D55)</f>
        <v>0</v>
      </c>
      <c r="E56" s="39">
        <f t="shared" si="23"/>
        <v>-133196.51999999999</v>
      </c>
      <c r="F56" s="61">
        <f t="shared" si="23"/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ref="L56:Q56" si="24">SUM(L54:L55)</f>
        <v>0</v>
      </c>
      <c r="M56" s="39">
        <f t="shared" si="24"/>
        <v>-120879.8</v>
      </c>
      <c r="N56" s="61">
        <f t="shared" si="24"/>
        <v>0</v>
      </c>
      <c r="O56" s="39">
        <f t="shared" si="24"/>
        <v>0</v>
      </c>
      <c r="P56" s="61">
        <f t="shared" si="24"/>
        <v>0</v>
      </c>
      <c r="Q56" s="39">
        <f t="shared" si="24"/>
        <v>0</v>
      </c>
      <c r="R56" s="61">
        <f t="shared" ref="R56:X56" si="25">SUM(R54:R55)</f>
        <v>0</v>
      </c>
      <c r="S56" s="39">
        <f t="shared" si="25"/>
        <v>-12316.72</v>
      </c>
      <c r="T56" s="61">
        <f t="shared" si="25"/>
        <v>0</v>
      </c>
      <c r="U56" s="39">
        <f t="shared" si="25"/>
        <v>0</v>
      </c>
      <c r="V56" s="61">
        <f t="shared" si="25"/>
        <v>0</v>
      </c>
      <c r="W56" s="39">
        <f t="shared" si="25"/>
        <v>0</v>
      </c>
      <c r="X56" s="61">
        <f t="shared" si="25"/>
        <v>0</v>
      </c>
      <c r="Y56" s="39">
        <f t="shared" ref="Y56:AE56" si="26">SUM(Y54:Y55)</f>
        <v>0</v>
      </c>
      <c r="Z56" s="61">
        <f>SUM(Z54:Z55)</f>
        <v>0</v>
      </c>
      <c r="AA56" s="39">
        <f t="shared" si="26"/>
        <v>0</v>
      </c>
      <c r="AB56" s="61">
        <f>SUM(AB54:AB55)</f>
        <v>0</v>
      </c>
      <c r="AC56" s="39">
        <f t="shared" si="26"/>
        <v>0</v>
      </c>
      <c r="AD56" s="61">
        <f>SUM(AD54:AD55)</f>
        <v>0</v>
      </c>
      <c r="AE56" s="39">
        <f t="shared" si="2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60">
        <f>+Actuals!M309</f>
        <v>0</v>
      </c>
      <c r="Q59" s="38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60">
        <f>+Actuals!M310</f>
        <v>0</v>
      </c>
      <c r="Q60" s="38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K61" si="27">SUM(D59:D60)</f>
        <v>0</v>
      </c>
      <c r="E61" s="39">
        <f t="shared" si="27"/>
        <v>0</v>
      </c>
      <c r="F61" s="61">
        <f t="shared" si="27"/>
        <v>0</v>
      </c>
      <c r="G61" s="39">
        <f t="shared" si="27"/>
        <v>0</v>
      </c>
      <c r="H61" s="61">
        <f t="shared" si="27"/>
        <v>0</v>
      </c>
      <c r="I61" s="39">
        <f t="shared" si="27"/>
        <v>0</v>
      </c>
      <c r="J61" s="61">
        <f t="shared" si="27"/>
        <v>0</v>
      </c>
      <c r="K61" s="148">
        <f t="shared" si="27"/>
        <v>0</v>
      </c>
      <c r="L61" s="61">
        <f t="shared" ref="L61:Q61" si="28">SUM(L59:L60)</f>
        <v>0</v>
      </c>
      <c r="M61" s="39">
        <f t="shared" si="28"/>
        <v>0</v>
      </c>
      <c r="N61" s="61">
        <f t="shared" si="28"/>
        <v>0</v>
      </c>
      <c r="O61" s="39">
        <f t="shared" si="28"/>
        <v>0</v>
      </c>
      <c r="P61" s="61">
        <f t="shared" si="28"/>
        <v>0</v>
      </c>
      <c r="Q61" s="39">
        <f t="shared" si="28"/>
        <v>0</v>
      </c>
      <c r="R61" s="61">
        <f t="shared" ref="R61:X61" si="29">SUM(R59:R60)</f>
        <v>0</v>
      </c>
      <c r="S61" s="39">
        <f t="shared" si="29"/>
        <v>0</v>
      </c>
      <c r="T61" s="61">
        <f t="shared" si="29"/>
        <v>0</v>
      </c>
      <c r="U61" s="39">
        <f t="shared" si="29"/>
        <v>0</v>
      </c>
      <c r="V61" s="61">
        <f t="shared" si="29"/>
        <v>0</v>
      </c>
      <c r="W61" s="39">
        <f t="shared" si="29"/>
        <v>0</v>
      </c>
      <c r="X61" s="61">
        <f t="shared" si="29"/>
        <v>0</v>
      </c>
      <c r="Y61" s="39">
        <f t="shared" ref="Y61:AE61" si="30">SUM(Y59:Y60)</f>
        <v>0</v>
      </c>
      <c r="Z61" s="61">
        <f>SUM(Z59:Z60)</f>
        <v>0</v>
      </c>
      <c r="AA61" s="39">
        <f t="shared" si="30"/>
        <v>0</v>
      </c>
      <c r="AB61" s="61">
        <f>SUM(AB59:AB60)</f>
        <v>0</v>
      </c>
      <c r="AC61" s="39">
        <f t="shared" si="30"/>
        <v>0</v>
      </c>
      <c r="AD61" s="61">
        <f>SUM(AD59:AD60)</f>
        <v>0</v>
      </c>
      <c r="AE61" s="39">
        <f t="shared" si="30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60">
        <f>+Actuals!M311</f>
        <v>0</v>
      </c>
      <c r="Q64" s="38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60">
        <f>+Actuals!M312</f>
        <v>0</v>
      </c>
      <c r="Q65" s="38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K66" si="31">SUM(D64:D65)</f>
        <v>0</v>
      </c>
      <c r="E66" s="39">
        <f t="shared" si="31"/>
        <v>0</v>
      </c>
      <c r="F66" s="61">
        <f t="shared" si="31"/>
        <v>0</v>
      </c>
      <c r="G66" s="39">
        <f t="shared" si="31"/>
        <v>0</v>
      </c>
      <c r="H66" s="61">
        <f t="shared" si="31"/>
        <v>0</v>
      </c>
      <c r="I66" s="39">
        <f t="shared" si="31"/>
        <v>0</v>
      </c>
      <c r="J66" s="61">
        <f t="shared" si="31"/>
        <v>0</v>
      </c>
      <c r="K66" s="148">
        <f t="shared" si="31"/>
        <v>0</v>
      </c>
      <c r="L66" s="61">
        <f t="shared" ref="L66:Q66" si="32">SUM(L64:L65)</f>
        <v>0</v>
      </c>
      <c r="M66" s="39">
        <f t="shared" si="32"/>
        <v>0</v>
      </c>
      <c r="N66" s="61">
        <f t="shared" si="32"/>
        <v>0</v>
      </c>
      <c r="O66" s="39">
        <f t="shared" si="32"/>
        <v>0</v>
      </c>
      <c r="P66" s="61">
        <f t="shared" si="32"/>
        <v>0</v>
      </c>
      <c r="Q66" s="39">
        <f t="shared" si="32"/>
        <v>0</v>
      </c>
      <c r="R66" s="61">
        <f t="shared" ref="R66:X66" si="33">SUM(R64:R65)</f>
        <v>0</v>
      </c>
      <c r="S66" s="39">
        <f t="shared" si="33"/>
        <v>0</v>
      </c>
      <c r="T66" s="61">
        <f t="shared" si="33"/>
        <v>0</v>
      </c>
      <c r="U66" s="39">
        <f t="shared" si="33"/>
        <v>0</v>
      </c>
      <c r="V66" s="61">
        <f t="shared" si="33"/>
        <v>0</v>
      </c>
      <c r="W66" s="39">
        <f t="shared" si="33"/>
        <v>0</v>
      </c>
      <c r="X66" s="61">
        <f t="shared" si="33"/>
        <v>0</v>
      </c>
      <c r="Y66" s="39">
        <f t="shared" ref="Y66:AE66" si="34">SUM(Y64:Y65)</f>
        <v>0</v>
      </c>
      <c r="Z66" s="61">
        <f>SUM(Z64:Z65)</f>
        <v>0</v>
      </c>
      <c r="AA66" s="39">
        <f t="shared" si="34"/>
        <v>0</v>
      </c>
      <c r="AB66" s="61">
        <f>SUM(AB64:AB65)</f>
        <v>0</v>
      </c>
      <c r="AC66" s="39">
        <f t="shared" si="34"/>
        <v>0</v>
      </c>
      <c r="AD66" s="61">
        <f>SUM(AD64:AD65)</f>
        <v>0</v>
      </c>
      <c r="AE66" s="39">
        <f t="shared" si="34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695659.52000000002</v>
      </c>
      <c r="F70" s="64">
        <f>'TIE-OUT'!Z70+RECLASS!X70</f>
        <v>0</v>
      </c>
      <c r="G70" s="68">
        <f>'TIE-OUT'!AA70+RECLASS!Y70</f>
        <v>695659.52000000002</v>
      </c>
      <c r="H70" s="60"/>
      <c r="I70" s="38"/>
      <c r="J70" s="60"/>
      <c r="K70" s="147"/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60">
        <f>+Actuals!M313</f>
        <v>0</v>
      </c>
      <c r="Q70" s="38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837625.48</v>
      </c>
      <c r="F71" s="81">
        <f>'TIE-OUT'!Z71+RECLASS!X71</f>
        <v>0</v>
      </c>
      <c r="G71" s="82">
        <f>'TIE-OUT'!AA71+RECLASS!Y71</f>
        <v>837625.48</v>
      </c>
      <c r="H71" s="60"/>
      <c r="I71" s="38"/>
      <c r="J71" s="60"/>
      <c r="K71" s="147"/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60">
        <f>+Actuals!M314</f>
        <v>0</v>
      </c>
      <c r="Q71" s="38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1533285</v>
      </c>
      <c r="F72" s="61">
        <f t="shared" ref="F72:AD72" si="35">SUM(F70:F71)</f>
        <v>0</v>
      </c>
      <c r="G72" s="39">
        <f t="shared" si="35"/>
        <v>1533285</v>
      </c>
      <c r="H72" s="61">
        <f t="shared" si="35"/>
        <v>0</v>
      </c>
      <c r="I72" s="39">
        <f t="shared" si="35"/>
        <v>0</v>
      </c>
      <c r="J72" s="61">
        <f t="shared" si="35"/>
        <v>0</v>
      </c>
      <c r="K72" s="148">
        <f t="shared" si="35"/>
        <v>0</v>
      </c>
      <c r="L72" s="61">
        <f t="shared" si="35"/>
        <v>0</v>
      </c>
      <c r="M72" s="39">
        <f t="shared" si="35"/>
        <v>0</v>
      </c>
      <c r="N72" s="61">
        <f t="shared" ref="N72:S72" si="36">SUM(N70:N71)</f>
        <v>0</v>
      </c>
      <c r="O72" s="39">
        <f t="shared" si="36"/>
        <v>0</v>
      </c>
      <c r="P72" s="61">
        <f t="shared" si="36"/>
        <v>0</v>
      </c>
      <c r="Q72" s="39">
        <f t="shared" si="36"/>
        <v>0</v>
      </c>
      <c r="R72" s="61">
        <f t="shared" si="36"/>
        <v>0</v>
      </c>
      <c r="S72" s="39">
        <f t="shared" si="36"/>
        <v>0</v>
      </c>
      <c r="T72" s="61">
        <f>SUM(T70:T71)</f>
        <v>0</v>
      </c>
      <c r="U72" s="39">
        <f>SUM(U70:U71)</f>
        <v>0</v>
      </c>
      <c r="V72" s="61">
        <f>SUM(V70:V71)</f>
        <v>0</v>
      </c>
      <c r="W72" s="39">
        <f>SUM(W70:W71)</f>
        <v>0</v>
      </c>
      <c r="X72" s="61">
        <f t="shared" si="35"/>
        <v>0</v>
      </c>
      <c r="Y72" s="39">
        <f t="shared" ref="Y72:AE72" si="37">SUM(Y70:Y71)</f>
        <v>0</v>
      </c>
      <c r="Z72" s="61">
        <f t="shared" si="35"/>
        <v>0</v>
      </c>
      <c r="AA72" s="39">
        <f t="shared" si="37"/>
        <v>0</v>
      </c>
      <c r="AB72" s="61">
        <f t="shared" si="35"/>
        <v>0</v>
      </c>
      <c r="AC72" s="39">
        <f t="shared" si="37"/>
        <v>0</v>
      </c>
      <c r="AD72" s="61">
        <f t="shared" si="35"/>
        <v>0</v>
      </c>
      <c r="AE72" s="39">
        <f t="shared" si="37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8">SUM(F73,H73,J73,L73,N73,P73,R73,T73,V73,X73,Z73,AB73,AD73)</f>
        <v>0</v>
      </c>
      <c r="E73" s="38">
        <f t="shared" si="38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60">
        <f>+Actuals!M315</f>
        <v>0</v>
      </c>
      <c r="Q73" s="38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8"/>
        <v>0</v>
      </c>
      <c r="E74" s="38">
        <f t="shared" si="38"/>
        <v>418305.20999999996</v>
      </c>
      <c r="F74" s="60">
        <f>'TIE-OUT'!Z74+RECLASS!X74</f>
        <v>0</v>
      </c>
      <c r="G74" s="60">
        <f>'TIE-OUT'!AA74+RECLASS!Y74</f>
        <v>494040</v>
      </c>
      <c r="H74" s="60"/>
      <c r="I74" s="38">
        <v>0</v>
      </c>
      <c r="J74" s="60"/>
      <c r="K74" s="147">
        <f>-4512-122614+51391.21</f>
        <v>-75734.790000000008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60">
        <f>+Actuals!M316</f>
        <v>0</v>
      </c>
      <c r="Q74" s="38">
        <f>+Actuals!N316</f>
        <v>0</v>
      </c>
      <c r="R74" s="60">
        <f>+Actuals!O316</f>
        <v>0</v>
      </c>
      <c r="S74" s="38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38">
        <f>+Actuals!T316</f>
        <v>0</v>
      </c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8"/>
        <v>0</v>
      </c>
      <c r="E75" s="38">
        <f t="shared" si="38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60">
        <f>+Actuals!M317</f>
        <v>0</v>
      </c>
      <c r="Q75" s="38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8"/>
        <v>0</v>
      </c>
      <c r="E76" s="38">
        <f t="shared" si="38"/>
        <v>-61</v>
      </c>
      <c r="F76" s="60">
        <f>'TIE-OUT'!Z76+RECLASS!X76</f>
        <v>0</v>
      </c>
      <c r="G76" s="60">
        <f>'TIE-OUT'!AA76+RECLASS!Y76</f>
        <v>0</v>
      </c>
      <c r="H76" s="60"/>
      <c r="I76" s="38">
        <v>-48</v>
      </c>
      <c r="J76" s="60"/>
      <c r="K76" s="147">
        <v>-13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60">
        <f>+Actuals!M318</f>
        <v>0</v>
      </c>
      <c r="Q76" s="38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8"/>
        <v>0</v>
      </c>
      <c r="E77" s="38">
        <f t="shared" si="38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60">
        <f>+Actuals!M319</f>
        <v>0</v>
      </c>
      <c r="Q77" s="38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8"/>
        <v>0</v>
      </c>
      <c r="E78" s="38">
        <f t="shared" si="38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60">
        <f>+Actuals!M320</f>
        <v>0</v>
      </c>
      <c r="Q78" s="38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8"/>
        <v>0</v>
      </c>
      <c r="E79" s="38">
        <f t="shared" si="38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60">
        <f>+Actuals!M321</f>
        <v>0</v>
      </c>
      <c r="Q79" s="38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8"/>
        <v>0</v>
      </c>
      <c r="E80" s="38">
        <f t="shared" si="38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60">
        <f>+Actuals!M322</f>
        <v>0</v>
      </c>
      <c r="Q80" s="38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/>
      <c r="Y80" s="38"/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38"/>
        <v>0</v>
      </c>
      <c r="E81" s="38">
        <f t="shared" si="38"/>
        <v>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0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60">
        <f>+Actuals!M323</f>
        <v>0</v>
      </c>
      <c r="Q81" s="38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/>
      <c r="Y81" s="38"/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401738.78999999596</v>
      </c>
      <c r="F82" s="91">
        <f>F16+F24+F29+F36+F43+F45+F47+F49</f>
        <v>0</v>
      </c>
      <c r="G82" s="92">
        <f>SUM(G72:G81)+G16+G24+G29+G36+G43+G45+G47+G49+G51+G56+G61+G66</f>
        <v>-3230236.6900000004</v>
      </c>
      <c r="H82" s="91">
        <f>H16+H24+H29+H36+H43+H45+H47+H49</f>
        <v>0</v>
      </c>
      <c r="I82" s="92">
        <f>SUM(I72:I81)+I16+I24+I29+I36+I43+I45+I47+I49+I51+I56+I61+I66</f>
        <v>4789065</v>
      </c>
      <c r="J82" s="91">
        <f>J16+J24+J29+J36+J43+J45+J47+J49</f>
        <v>0</v>
      </c>
      <c r="K82" s="161">
        <f>SUM(K72:K81)+K16+K24+K29+K36+K43+K45+K47+K49+K51+K56+K61+K66</f>
        <v>1302332.21</v>
      </c>
      <c r="L82" s="91">
        <f>L16+L24+L29+L36+L43+L45+L47+L49</f>
        <v>0</v>
      </c>
      <c r="M82" s="92">
        <f>SUM(M72:M81)+M16+M24+M29+M36+M43+M45+M47+M49+M51+M56+M61+M66</f>
        <v>-2294115.8299999987</v>
      </c>
      <c r="N82" s="91">
        <f>N16+N24+N29+N36+N43+N45+N47+N49</f>
        <v>0</v>
      </c>
      <c r="O82" s="92">
        <f>SUM(O72:O81)+O16+O24+O29+O36+O43+O45+O47+O49+O51+O56+O61+O66</f>
        <v>53.23</v>
      </c>
      <c r="P82" s="91">
        <f>P16+P24+P29+P36+P43+P45+P47+P49</f>
        <v>0</v>
      </c>
      <c r="Q82" s="92">
        <f>SUM(Q72:Q81)+Q16+Q24+Q29+Q36+Q43+Q45+Q47+Q49+Q51+Q56+Q61+Q66</f>
        <v>2088517.5800000005</v>
      </c>
      <c r="R82" s="91">
        <f>R16+R24+R29+R36+R43+R45+R47+R49</f>
        <v>0</v>
      </c>
      <c r="S82" s="92">
        <f>SUM(S72:S81)+S16+S24+S29+S36+S43+S45+S47+S49+S51+S56+S61+S66</f>
        <v>-11442.849999999804</v>
      </c>
      <c r="T82" s="91">
        <f>T16+T24+T29+T36+T43+T45+T47+T49</f>
        <v>0</v>
      </c>
      <c r="U82" s="92">
        <f>SUM(U72:U81)+U16+U24+U29+U36+U43+U45+U47+U49+U51+U56+U61+U66</f>
        <v>171.62</v>
      </c>
      <c r="V82" s="91">
        <f>V16+V24+V29+V36+V43+V45+V47+V49</f>
        <v>0</v>
      </c>
      <c r="W82" s="92">
        <f>SUM(W72:W81)+W16+W24+W29+W36+W43+W45+W47+W49+W51+W56+W61+W66</f>
        <v>-2242842</v>
      </c>
      <c r="X82" s="91">
        <f>X16+X24+X29+X36+X43+X45+X47+X49</f>
        <v>0</v>
      </c>
      <c r="Y82" s="92">
        <f>SUM(Y72:Y81)+Y16+Y24+Y29+Y36+Y43+Y45+Y47+Y49+Y51+Y56+Y61+Y66</f>
        <v>68.11</v>
      </c>
      <c r="Z82" s="91">
        <f>Z16+Z24+Z29+Z36+Z43+Z45+Z47+Z49</f>
        <v>0</v>
      </c>
      <c r="AA82" s="92">
        <f>SUM(AA72:AA81)+AA16+AA24+AA29+AA36+AA43+AA45+AA47+AA49+AA51+AA56+AA61+AA66</f>
        <v>-153</v>
      </c>
      <c r="AB82" s="91">
        <f>AB16+AB24+AB29+AB36+AB43+AB45+AB47+AB49</f>
        <v>0</v>
      </c>
      <c r="AC82" s="92">
        <f>SUM(AC72:AC81)+AC16+AC24+AC29+AC36+AC43+AC45+AC47+AC49+AC51+AC56+AC61+AC66</f>
        <v>321.41000000000003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166</v>
      </c>
      <c r="D86" s="169">
        <f t="shared" ref="D86:E88" si="39">SUM(F86,H86,J86,L86,N86,P86,R86,T86,V86,X86,Z86,AB86,AD86)</f>
        <v>0</v>
      </c>
      <c r="E86" s="169">
        <f t="shared" si="39"/>
        <v>705229</v>
      </c>
      <c r="F86" s="169">
        <f>'TIE-OUT'!Z86+RECLASS!X86</f>
        <v>0</v>
      </c>
      <c r="G86" s="169">
        <f>'TIE-OUT'!AA86+RECLASS!Y86</f>
        <v>519811</v>
      </c>
      <c r="H86" s="169">
        <v>0</v>
      </c>
      <c r="I86" s="169">
        <v>0</v>
      </c>
      <c r="J86" s="169">
        <v>0</v>
      </c>
      <c r="K86" s="169">
        <v>185418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39"/>
        <v>0</v>
      </c>
      <c r="E87" s="170">
        <f t="shared" si="39"/>
        <v>0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39"/>
        <v>0</v>
      </c>
      <c r="E88" s="171">
        <f t="shared" si="39"/>
        <v>-18737</v>
      </c>
      <c r="F88" s="171">
        <f>'TIE-OUT'!Z88+RECLASS!X88</f>
        <v>0</v>
      </c>
      <c r="G88" s="171">
        <f>'TIE-OUT'!AA88+RECLASS!Y88</f>
        <v>-18737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40">SUM(E86:E88)</f>
        <v>686492</v>
      </c>
      <c r="F89" s="179">
        <f t="shared" si="40"/>
        <v>0</v>
      </c>
      <c r="G89" s="179">
        <f t="shared" si="40"/>
        <v>501074</v>
      </c>
      <c r="H89" s="179">
        <f t="shared" si="40"/>
        <v>0</v>
      </c>
      <c r="I89" s="179">
        <f t="shared" si="40"/>
        <v>0</v>
      </c>
      <c r="J89" s="179">
        <f t="shared" si="40"/>
        <v>0</v>
      </c>
      <c r="K89" s="179">
        <f t="shared" si="40"/>
        <v>185418</v>
      </c>
      <c r="L89" s="179">
        <f t="shared" si="40"/>
        <v>0</v>
      </c>
      <c r="M89" s="179">
        <f t="shared" si="40"/>
        <v>0</v>
      </c>
      <c r="N89" s="179">
        <f t="shared" ref="N89:AE89" si="41">SUM(N86:N88)</f>
        <v>0</v>
      </c>
      <c r="O89" s="179">
        <f t="shared" si="41"/>
        <v>0</v>
      </c>
      <c r="P89" s="179">
        <f t="shared" si="41"/>
        <v>0</v>
      </c>
      <c r="Q89" s="179">
        <f t="shared" si="41"/>
        <v>0</v>
      </c>
      <c r="R89" s="179">
        <f t="shared" si="41"/>
        <v>0</v>
      </c>
      <c r="S89" s="179">
        <f t="shared" si="41"/>
        <v>0</v>
      </c>
      <c r="T89" s="179">
        <f t="shared" si="41"/>
        <v>0</v>
      </c>
      <c r="U89" s="179">
        <f t="shared" si="41"/>
        <v>0</v>
      </c>
      <c r="V89" s="179">
        <f>SUM(V86:V88)</f>
        <v>0</v>
      </c>
      <c r="W89" s="179">
        <f>SUM(W86:W88)</f>
        <v>0</v>
      </c>
      <c r="X89" s="179">
        <f t="shared" si="41"/>
        <v>0</v>
      </c>
      <c r="Y89" s="179">
        <f t="shared" si="41"/>
        <v>0</v>
      </c>
      <c r="Z89" s="179">
        <f t="shared" si="41"/>
        <v>0</v>
      </c>
      <c r="AA89" s="179">
        <f t="shared" si="41"/>
        <v>0</v>
      </c>
      <c r="AB89" s="179">
        <f t="shared" si="41"/>
        <v>0</v>
      </c>
      <c r="AC89" s="179">
        <f t="shared" si="41"/>
        <v>0</v>
      </c>
      <c r="AD89" s="179">
        <f t="shared" si="41"/>
        <v>0</v>
      </c>
      <c r="AE89" s="179">
        <f t="shared" si="41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42">+E82+E89</f>
        <v>1088230.7899999958</v>
      </c>
      <c r="F91" s="179">
        <f t="shared" si="42"/>
        <v>0</v>
      </c>
      <c r="G91" s="179">
        <f t="shared" si="42"/>
        <v>-2729162.6900000004</v>
      </c>
      <c r="H91" s="179">
        <f t="shared" si="42"/>
        <v>0</v>
      </c>
      <c r="I91" s="179">
        <f t="shared" si="42"/>
        <v>4789065</v>
      </c>
      <c r="J91" s="179">
        <f t="shared" si="42"/>
        <v>0</v>
      </c>
      <c r="K91" s="179">
        <f t="shared" si="42"/>
        <v>1487750.21</v>
      </c>
      <c r="L91" s="179">
        <f t="shared" si="42"/>
        <v>0</v>
      </c>
      <c r="M91" s="179">
        <f t="shared" si="42"/>
        <v>-2294115.8299999987</v>
      </c>
      <c r="N91" s="179">
        <f t="shared" ref="N91:AE91" si="43">+N82+N89</f>
        <v>0</v>
      </c>
      <c r="O91" s="179">
        <f t="shared" si="43"/>
        <v>53.23</v>
      </c>
      <c r="P91" s="179">
        <f t="shared" si="43"/>
        <v>0</v>
      </c>
      <c r="Q91" s="179">
        <f t="shared" si="43"/>
        <v>2088517.5800000005</v>
      </c>
      <c r="R91" s="179">
        <f t="shared" si="43"/>
        <v>0</v>
      </c>
      <c r="S91" s="179">
        <f t="shared" si="43"/>
        <v>-11442.849999999804</v>
      </c>
      <c r="T91" s="179">
        <f t="shared" si="43"/>
        <v>0</v>
      </c>
      <c r="U91" s="179">
        <f t="shared" si="43"/>
        <v>171.62</v>
      </c>
      <c r="V91" s="179">
        <f>+V82+V89</f>
        <v>0</v>
      </c>
      <c r="W91" s="179">
        <f>+W82+W89</f>
        <v>-2242842</v>
      </c>
      <c r="X91" s="179">
        <f t="shared" si="43"/>
        <v>0</v>
      </c>
      <c r="Y91" s="179">
        <f t="shared" si="43"/>
        <v>68.11</v>
      </c>
      <c r="Z91" s="179">
        <f t="shared" si="43"/>
        <v>0</v>
      </c>
      <c r="AA91" s="179">
        <f t="shared" si="43"/>
        <v>-153</v>
      </c>
      <c r="AB91" s="179">
        <f t="shared" si="43"/>
        <v>0</v>
      </c>
      <c r="AC91" s="179">
        <f t="shared" si="43"/>
        <v>321.41000000000003</v>
      </c>
      <c r="AD91" s="179">
        <f t="shared" si="43"/>
        <v>0</v>
      </c>
      <c r="AE91" s="179">
        <f t="shared" si="43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41" activePane="bottomRight" state="frozen"/>
      <selection activeCell="U11" sqref="U11"/>
      <selection pane="topRight" activeCell="U11" sqref="U11"/>
      <selection pane="bottomLeft" activeCell="U11" sqref="U11"/>
      <selection pane="bottomRight" activeCell="U11" sqref="U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8554687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48239644</v>
      </c>
      <c r="E11" s="66">
        <f>'CE-FLSH'!M11</f>
        <v>136009294</v>
      </c>
      <c r="F11" s="60">
        <f>CE_GL!D11</f>
        <v>47324807</v>
      </c>
      <c r="G11" s="38">
        <f>CE_GL!E11</f>
        <v>129596067.85999998</v>
      </c>
      <c r="H11" s="60">
        <f>F11-D11</f>
        <v>-914837</v>
      </c>
      <c r="I11" s="38">
        <f>G11-E11</f>
        <v>-6413226.1400000155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4164023.12</v>
      </c>
      <c r="H12" s="60">
        <f>F12-D12</f>
        <v>0</v>
      </c>
      <c r="I12" s="38">
        <f>G12-E12</f>
        <v>4164023.12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35578140</v>
      </c>
      <c r="E13" s="66">
        <f>'CE-FLSH'!M13</f>
        <v>93260882</v>
      </c>
      <c r="F13" s="60">
        <f>CE_GL!D13</f>
        <v>35737339</v>
      </c>
      <c r="G13" s="38">
        <f>CE_GL!E13</f>
        <v>93600811</v>
      </c>
      <c r="H13" s="60">
        <f t="shared" ref="H13:I15" si="0">F13-D13</f>
        <v>159199</v>
      </c>
      <c r="I13" s="38">
        <f t="shared" si="0"/>
        <v>339929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1540525.1</v>
      </c>
      <c r="H15" s="60">
        <f t="shared" si="0"/>
        <v>0</v>
      </c>
      <c r="I15" s="38">
        <f t="shared" si="0"/>
        <v>1540525.1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83817784</v>
      </c>
      <c r="E16" s="39">
        <f t="shared" si="1"/>
        <v>229270176</v>
      </c>
      <c r="F16" s="61">
        <f t="shared" si="1"/>
        <v>83062146</v>
      </c>
      <c r="G16" s="39">
        <f t="shared" si="1"/>
        <v>228901427.07999998</v>
      </c>
      <c r="H16" s="61">
        <f t="shared" si="1"/>
        <v>-755638</v>
      </c>
      <c r="I16" s="39">
        <f t="shared" si="1"/>
        <v>-368748.92000001529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-56862672</v>
      </c>
      <c r="E19" s="66">
        <f>'CE-FLSH'!M19</f>
        <v>-167902250</v>
      </c>
      <c r="F19" s="60">
        <f>CE_GL!D19</f>
        <v>-56840196</v>
      </c>
      <c r="G19" s="38">
        <f>CE_GL!E19</f>
        <v>-164253322.96000001</v>
      </c>
      <c r="H19" s="60">
        <f>F19-D19</f>
        <v>22476</v>
      </c>
      <c r="I19" s="38">
        <f>G19-E19</f>
        <v>3648927.0399999917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-3901847.5</v>
      </c>
      <c r="H20" s="60">
        <f>F20-D20</f>
        <v>0</v>
      </c>
      <c r="I20" s="38">
        <f>G20-E20</f>
        <v>-3901847.5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-26033998</v>
      </c>
      <c r="E21" s="66">
        <f>'CE-FLSH'!M21</f>
        <v>-65006177</v>
      </c>
      <c r="F21" s="60">
        <f>CE_GL!D21</f>
        <v>-26058997</v>
      </c>
      <c r="G21" s="38">
        <f>CE_GL!E21</f>
        <v>-65027695</v>
      </c>
      <c r="H21" s="60">
        <f t="shared" ref="H21:I23" si="2">F21-D21</f>
        <v>-24999</v>
      </c>
      <c r="I21" s="38">
        <f t="shared" si="2"/>
        <v>-21518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257412</v>
      </c>
      <c r="E23" s="66">
        <f>'CE-FLSH'!M23</f>
        <v>567184</v>
      </c>
      <c r="F23" s="60">
        <f>CE_GL!D23</f>
        <v>223282</v>
      </c>
      <c r="G23" s="38">
        <f>CE_GL!E23</f>
        <v>684024.84250000003</v>
      </c>
      <c r="H23" s="60">
        <f t="shared" si="2"/>
        <v>-34130</v>
      </c>
      <c r="I23" s="38">
        <f t="shared" si="2"/>
        <v>116840.84250000003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-82639258</v>
      </c>
      <c r="E24" s="39">
        <f t="shared" si="3"/>
        <v>-232341243</v>
      </c>
      <c r="F24" s="61">
        <f t="shared" si="3"/>
        <v>-82675911</v>
      </c>
      <c r="G24" s="39">
        <f t="shared" si="3"/>
        <v>-232498840.61750001</v>
      </c>
      <c r="H24" s="61">
        <f t="shared" si="3"/>
        <v>-36653</v>
      </c>
      <c r="I24" s="39">
        <f t="shared" si="3"/>
        <v>-157597.61750000832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721409</v>
      </c>
      <c r="G27" s="38">
        <f>CE_GL!E27</f>
        <v>1594345.52</v>
      </c>
      <c r="H27" s="60">
        <f>F27-D27</f>
        <v>721409</v>
      </c>
      <c r="I27" s="38">
        <f>G27-E27</f>
        <v>1594345.52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-25000</v>
      </c>
      <c r="G28" s="38">
        <f>CE_GL!E28</f>
        <v>-63750</v>
      </c>
      <c r="H28" s="60">
        <f>F28-D28</f>
        <v>-25000</v>
      </c>
      <c r="I28" s="38">
        <f>G28-E28</f>
        <v>-63750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696409</v>
      </c>
      <c r="G29" s="70">
        <f t="shared" si="4"/>
        <v>1530595.52</v>
      </c>
      <c r="H29" s="69">
        <f t="shared" si="4"/>
        <v>696409</v>
      </c>
      <c r="I29" s="70">
        <f t="shared" si="4"/>
        <v>1530595.52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-3643</v>
      </c>
      <c r="E32" s="66">
        <f>'CE-FLSH'!M32</f>
        <v>-5648</v>
      </c>
      <c r="F32" s="60">
        <f>CE_GL!D32</f>
        <v>542890</v>
      </c>
      <c r="G32" s="38">
        <f>CE_GL!E32</f>
        <v>1663143.5189999992</v>
      </c>
      <c r="H32" s="60">
        <f>F32-D32</f>
        <v>546533</v>
      </c>
      <c r="I32" s="38">
        <f>G32-E32</f>
        <v>1668791.5189999992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-19871</v>
      </c>
      <c r="G33" s="38">
        <f>CE_GL!E33</f>
        <v>-46030.16</v>
      </c>
      <c r="H33" s="60">
        <f t="shared" ref="H33:I35" si="5">F33-D33</f>
        <v>-19871</v>
      </c>
      <c r="I33" s="38">
        <f t="shared" si="5"/>
        <v>-46030.16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12889</v>
      </c>
      <c r="G34" s="38">
        <f>CE_GL!E34</f>
        <v>31046.690000000002</v>
      </c>
      <c r="H34" s="60">
        <f t="shared" si="5"/>
        <v>12889</v>
      </c>
      <c r="I34" s="38">
        <f t="shared" si="5"/>
        <v>31046.690000000002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-1033427</v>
      </c>
      <c r="E35" s="66">
        <f>'CE-FLSH'!M35</f>
        <v>-3026086</v>
      </c>
      <c r="F35" s="60">
        <f>CE_GL!D35</f>
        <v>0</v>
      </c>
      <c r="G35" s="38">
        <f>CE_GL!E35</f>
        <v>-738924.79</v>
      </c>
      <c r="H35" s="60">
        <f t="shared" si="5"/>
        <v>1033427</v>
      </c>
      <c r="I35" s="38">
        <f t="shared" si="5"/>
        <v>2287161.21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-1037070</v>
      </c>
      <c r="E36" s="39">
        <f t="shared" si="6"/>
        <v>-3031734</v>
      </c>
      <c r="F36" s="61">
        <f t="shared" si="6"/>
        <v>535908</v>
      </c>
      <c r="G36" s="39">
        <f t="shared" si="6"/>
        <v>909235.25899999915</v>
      </c>
      <c r="H36" s="61">
        <f t="shared" si="6"/>
        <v>1572978</v>
      </c>
      <c r="I36" s="39">
        <f t="shared" si="6"/>
        <v>3940969.2589999991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0</v>
      </c>
      <c r="E39" s="66">
        <f>'CE-FLSH'!M39</f>
        <v>0</v>
      </c>
      <c r="F39" s="60">
        <f>CE_GL!D39</f>
        <v>203591</v>
      </c>
      <c r="G39" s="38">
        <f>CE_GL!E39</f>
        <v>623701.02</v>
      </c>
      <c r="H39" s="60">
        <f t="shared" ref="H39:I41" si="7">F39-D39</f>
        <v>203591</v>
      </c>
      <c r="I39" s="38">
        <f t="shared" si="7"/>
        <v>623701.02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0</v>
      </c>
      <c r="E40" s="66">
        <f>'CE-FLSH'!M40</f>
        <v>0</v>
      </c>
      <c r="F40" s="60">
        <f>CE_GL!D40</f>
        <v>-995324</v>
      </c>
      <c r="G40" s="38">
        <f>CE_GL!E40</f>
        <v>-2394880.62</v>
      </c>
      <c r="H40" s="60">
        <f t="shared" si="7"/>
        <v>-995324</v>
      </c>
      <c r="I40" s="38">
        <f t="shared" si="7"/>
        <v>-2394880.62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-995324</v>
      </c>
      <c r="G42" s="70">
        <f t="shared" si="8"/>
        <v>-2394880.62</v>
      </c>
      <c r="H42" s="69">
        <f t="shared" si="8"/>
        <v>-995324</v>
      </c>
      <c r="I42" s="70">
        <f t="shared" si="8"/>
        <v>-2394880.62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-791733</v>
      </c>
      <c r="G43" s="39">
        <f t="shared" si="9"/>
        <v>-1771179.6</v>
      </c>
      <c r="H43" s="61">
        <f t="shared" si="9"/>
        <v>-791733</v>
      </c>
      <c r="I43" s="39">
        <f t="shared" si="9"/>
        <v>-1771179.6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-141456</v>
      </c>
      <c r="E49" s="66">
        <f>'CE-FLSH'!M49</f>
        <v>-433350.45600000001</v>
      </c>
      <c r="F49" s="60">
        <f>CE_GL!D49</f>
        <v>-826819</v>
      </c>
      <c r="G49" s="38">
        <f>CE_GL!E49</f>
        <v>-2532960.0040000025</v>
      </c>
      <c r="H49" s="60">
        <f>F49-D49</f>
        <v>-685363</v>
      </c>
      <c r="I49" s="38">
        <f>G49-E49</f>
        <v>-2099609.5480000023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-257412</v>
      </c>
      <c r="E51" s="66">
        <f>'CE-FLSH'!M51</f>
        <v>-567184</v>
      </c>
      <c r="F51" s="60">
        <f>CE_GL!D51</f>
        <v>-223282</v>
      </c>
      <c r="G51" s="38">
        <f>CE_GL!E51</f>
        <v>-684024.41249999998</v>
      </c>
      <c r="H51" s="60">
        <f>F51-D51</f>
        <v>34130</v>
      </c>
      <c r="I51" s="38">
        <f>G51-E51</f>
        <v>-116840.41249999998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-49377</v>
      </c>
      <c r="F54" s="60">
        <f>CE_GL!D54</f>
        <v>-33354261</v>
      </c>
      <c r="G54" s="38">
        <f>CE_GL!E54</f>
        <v>-141081.33000000002</v>
      </c>
      <c r="H54" s="60">
        <f>F54-D54</f>
        <v>-33354261</v>
      </c>
      <c r="I54" s="38">
        <f>G54-E54</f>
        <v>-91704.330000000016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-2429479</v>
      </c>
      <c r="F55" s="60">
        <f>CE_GL!D55</f>
        <v>0</v>
      </c>
      <c r="G55" s="38">
        <f>CE_GL!E55</f>
        <v>-2459171.2799999998</v>
      </c>
      <c r="H55" s="60">
        <f>F55-D55</f>
        <v>0</v>
      </c>
      <c r="I55" s="38">
        <f>G55-E55</f>
        <v>-29692.279999999795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-2478856</v>
      </c>
      <c r="F56" s="61">
        <f t="shared" si="10"/>
        <v>-33354261</v>
      </c>
      <c r="G56" s="39">
        <f t="shared" si="10"/>
        <v>-2600252.61</v>
      </c>
      <c r="H56" s="61">
        <f t="shared" si="10"/>
        <v>-33354261</v>
      </c>
      <c r="I56" s="39">
        <f t="shared" si="10"/>
        <v>-121396.60999999981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-2767229</v>
      </c>
      <c r="F70" s="60">
        <f>CE_GL!D70</f>
        <v>0</v>
      </c>
      <c r="G70" s="38">
        <f>CE_GL!E70</f>
        <v>-2767229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-2723828</v>
      </c>
      <c r="F71" s="60">
        <f>CE_GL!D71</f>
        <v>0</v>
      </c>
      <c r="G71" s="38">
        <f>CE_GL!E71</f>
        <v>-2723828.88</v>
      </c>
      <c r="H71" s="60">
        <f>F71-D71</f>
        <v>0</v>
      </c>
      <c r="I71" s="38">
        <f>G71-E71</f>
        <v>-0.87999999988824129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-5491057</v>
      </c>
      <c r="F72" s="69">
        <f t="shared" si="13"/>
        <v>0</v>
      </c>
      <c r="G72" s="70">
        <f t="shared" si="13"/>
        <v>-5491057.8799999999</v>
      </c>
      <c r="H72" s="69">
        <f t="shared" si="13"/>
        <v>0</v>
      </c>
      <c r="I72" s="70">
        <f t="shared" si="13"/>
        <v>-0.87999999988824129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13707791</v>
      </c>
      <c r="F74" s="60">
        <f>CE_GL!D74</f>
        <v>0</v>
      </c>
      <c r="G74" s="38">
        <f>CE_GL!E74</f>
        <v>11017553</v>
      </c>
      <c r="H74" s="60">
        <f t="shared" ref="H74:I79" si="14">F74-D74</f>
        <v>0</v>
      </c>
      <c r="I74" s="38">
        <f t="shared" si="14"/>
        <v>-2690238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20185</v>
      </c>
      <c r="F75" s="60">
        <f>CE_GL!D75</f>
        <v>0</v>
      </c>
      <c r="G75" s="38">
        <f>CE_GL!E75</f>
        <v>20200</v>
      </c>
      <c r="H75" s="60">
        <f t="shared" si="14"/>
        <v>0</v>
      </c>
      <c r="I75" s="38">
        <f t="shared" si="14"/>
        <v>15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0</v>
      </c>
      <c r="F76" s="60">
        <f>CE_GL!D76</f>
        <v>0</v>
      </c>
      <c r="G76" s="38">
        <f>CE_GL!E76</f>
        <v>-13838.7</v>
      </c>
      <c r="H76" s="60">
        <f t="shared" si="14"/>
        <v>0</v>
      </c>
      <c r="I76" s="38">
        <f t="shared" si="14"/>
        <v>-13838.7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1500534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-1500534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290256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-290256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445517.54399999976</v>
      </c>
      <c r="F82" s="71">
        <f>F16+F24+F29+F36+F43+F45+F47+F49</f>
        <v>0</v>
      </c>
      <c r="G82" s="72">
        <f>SUM(G72:G81)+G16+G24+G29+G36+G43+G45+G47+G49+G51+G56+G61+G66</f>
        <v>-3213142.9650000404</v>
      </c>
      <c r="H82" s="71">
        <f>H16+H24+H29+H36+H43+H45+H47+H49</f>
        <v>0</v>
      </c>
      <c r="I82" s="72">
        <f>SUM(I72:I81)+I16+I24+I29+I36+I43+I45+I47+I49+I51+I56+I61+I66</f>
        <v>-3658660.5090000262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M13" sqref="M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8554687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203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'SITHE-FLSH'!L11</f>
        <v>5749787</v>
      </c>
      <c r="E11" s="66">
        <f>'SITHE-FLSH'!M11</f>
        <v>17288443</v>
      </c>
      <c r="F11" s="60">
        <f>SITHE_GL!D11</f>
        <v>5618845</v>
      </c>
      <c r="G11" s="38">
        <f>SITHE_GL!E11</f>
        <v>19162466.32</v>
      </c>
      <c r="H11" s="60">
        <f>F11-D11</f>
        <v>-130942</v>
      </c>
      <c r="I11" s="38">
        <f>G11-E11</f>
        <v>1874023.3200000003</v>
      </c>
    </row>
    <row r="12" spans="1:22" x14ac:dyDescent="0.2">
      <c r="A12" s="9">
        <v>2</v>
      </c>
      <c r="B12" s="7"/>
      <c r="C12" s="18" t="s">
        <v>26</v>
      </c>
      <c r="D12" s="65">
        <f>'SITHE-FLSH'!L12</f>
        <v>0</v>
      </c>
      <c r="E12" s="66">
        <f>'SITHE-FLSH'!M12</f>
        <v>0</v>
      </c>
      <c r="F12" s="60">
        <f>SITHE_GL!D12</f>
        <v>0</v>
      </c>
      <c r="G12" s="38">
        <f>SITHE_GL!E12</f>
        <v>-2005538.75</v>
      </c>
      <c r="H12" s="60">
        <f>F12-D12</f>
        <v>0</v>
      </c>
      <c r="I12" s="38">
        <f>G12-E12</f>
        <v>-2005538.75</v>
      </c>
    </row>
    <row r="13" spans="1:22" x14ac:dyDescent="0.2">
      <c r="A13" s="9">
        <v>3</v>
      </c>
      <c r="B13" s="7"/>
      <c r="C13" s="18" t="s">
        <v>27</v>
      </c>
      <c r="D13" s="65">
        <f>'SITHE-FLSH'!L13</f>
        <v>5769103</v>
      </c>
      <c r="E13" s="66">
        <f>'SITHE-FLSH'!M13</f>
        <v>13824616</v>
      </c>
      <c r="F13" s="60">
        <f>SITHE_GL!D13</f>
        <v>5769103</v>
      </c>
      <c r="G13" s="38">
        <f>SITHE_GL!E13</f>
        <v>13824616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'SITHE-FLSH'!L14</f>
        <v>0</v>
      </c>
      <c r="E14" s="66">
        <f>'SITHE-FLSH'!M14</f>
        <v>0</v>
      </c>
      <c r="F14" s="60">
        <f>SITHE_GL!D14</f>
        <v>0</v>
      </c>
      <c r="G14" s="38">
        <f>SITHE_GL!E14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'SITHE-FLSH'!L15</f>
        <v>0</v>
      </c>
      <c r="E15" s="66">
        <f>'SITHE-FLSH'!M15</f>
        <v>0</v>
      </c>
      <c r="F15" s="60">
        <f>SITHE_GL!D15</f>
        <v>0</v>
      </c>
      <c r="G15" s="38">
        <f>SITHE_GL!E15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11518890</v>
      </c>
      <c r="E16" s="39">
        <f t="shared" si="1"/>
        <v>31113059</v>
      </c>
      <c r="F16" s="61">
        <f t="shared" si="1"/>
        <v>11387948</v>
      </c>
      <c r="G16" s="39">
        <f t="shared" si="1"/>
        <v>30981543.57</v>
      </c>
      <c r="H16" s="61">
        <f t="shared" si="1"/>
        <v>-130942</v>
      </c>
      <c r="I16" s="39">
        <f t="shared" si="1"/>
        <v>-131515.4299999997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'SITHE-FLSH'!L19</f>
        <v>-1750595</v>
      </c>
      <c r="E19" s="66">
        <f>'SITHE-FLSH'!M19</f>
        <v>-5039103</v>
      </c>
      <c r="F19" s="60">
        <f>SITHE_GL!D19</f>
        <v>-852000</v>
      </c>
      <c r="G19" s="38">
        <f>SITHE_GL!E19</f>
        <v>-3043367.01</v>
      </c>
      <c r="H19" s="60">
        <f>F19-D19</f>
        <v>898595</v>
      </c>
      <c r="I19" s="38">
        <f>G19-E19</f>
        <v>1995735.9900000002</v>
      </c>
    </row>
    <row r="20" spans="1:9" x14ac:dyDescent="0.2">
      <c r="A20" s="9">
        <v>7</v>
      </c>
      <c r="B20" s="7"/>
      <c r="C20" s="18" t="s">
        <v>26</v>
      </c>
      <c r="D20" s="65">
        <f>'SITHE-FLSH'!L20</f>
        <v>0</v>
      </c>
      <c r="E20" s="66">
        <f>'SITHE-FLSH'!M20</f>
        <v>0</v>
      </c>
      <c r="F20" s="60">
        <f>SITHE_GL!D20</f>
        <v>0</v>
      </c>
      <c r="G20" s="38">
        <f>SITHE_GL!E20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'SITHE-FLSH'!L21</f>
        <v>-9691029</v>
      </c>
      <c r="E21" s="66">
        <f>'SITHE-FLSH'!M21</f>
        <v>-26058987</v>
      </c>
      <c r="F21" s="60">
        <f>SITHE_GL!D21</f>
        <v>-10589624</v>
      </c>
      <c r="G21" s="38">
        <f>SITHE_GL!E21</f>
        <v>-28326960</v>
      </c>
      <c r="H21" s="60">
        <f t="shared" ref="H21:I23" si="2">F21-D21</f>
        <v>-898595</v>
      </c>
      <c r="I21" s="38">
        <f t="shared" si="2"/>
        <v>-2267973</v>
      </c>
    </row>
    <row r="22" spans="1:9" x14ac:dyDescent="0.2">
      <c r="A22" s="9">
        <v>9</v>
      </c>
      <c r="B22" s="7"/>
      <c r="C22" s="18" t="s">
        <v>28</v>
      </c>
      <c r="D22" s="65">
        <f>'SITHE-FLSH'!L22</f>
        <v>0</v>
      </c>
      <c r="E22" s="66">
        <f>'SITHE-FLSH'!M22</f>
        <v>0</v>
      </c>
      <c r="F22" s="60">
        <f>SITHE_GL!D22</f>
        <v>0</v>
      </c>
      <c r="G22" s="38">
        <f>SITHE_GL!E22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'SITHE-FLSH'!L23</f>
        <v>7667</v>
      </c>
      <c r="E23" s="66">
        <f>'SITHE-FLSH'!M23</f>
        <v>18618</v>
      </c>
      <c r="F23" s="60">
        <f>SITHE_GL!D23</f>
        <v>7667</v>
      </c>
      <c r="G23" s="38">
        <f>SITHE_GL!E23</f>
        <v>17772</v>
      </c>
      <c r="H23" s="60">
        <f t="shared" si="2"/>
        <v>0</v>
      </c>
      <c r="I23" s="38">
        <f t="shared" si="2"/>
        <v>-846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-11433957</v>
      </c>
      <c r="E24" s="39">
        <f t="shared" si="3"/>
        <v>-31079472</v>
      </c>
      <c r="F24" s="61">
        <f t="shared" si="3"/>
        <v>-11433957</v>
      </c>
      <c r="G24" s="39">
        <f t="shared" si="3"/>
        <v>-31352555.009999998</v>
      </c>
      <c r="H24" s="61">
        <f t="shared" si="3"/>
        <v>0</v>
      </c>
      <c r="I24" s="39">
        <f t="shared" si="3"/>
        <v>-273083.00999999978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'SITHE-FLSH'!L27</f>
        <v>0</v>
      </c>
      <c r="E27" s="66">
        <f>'SITHE-FLSH'!M27</f>
        <v>0</v>
      </c>
      <c r="F27" s="60">
        <f>SITHE_GL!D27</f>
        <v>0</v>
      </c>
      <c r="G27" s="38">
        <f>SITHE_GL!E27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'SITHE-FLSH'!L28</f>
        <v>0</v>
      </c>
      <c r="E28" s="66">
        <f>'SITHE-FLSH'!M28</f>
        <v>0</v>
      </c>
      <c r="F28" s="60">
        <f>SITHE_GL!D28</f>
        <v>0</v>
      </c>
      <c r="G28" s="38">
        <f>SITHE_GL!E28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'SITHE-FLSH'!L32</f>
        <v>-87718</v>
      </c>
      <c r="E32" s="66">
        <f>'SITHE-FLSH'!M32</f>
        <v>-6428</v>
      </c>
      <c r="F32" s="60">
        <f>SITHE_GL!D32</f>
        <v>0</v>
      </c>
      <c r="G32" s="38">
        <f>SITHE_GL!E32</f>
        <v>0</v>
      </c>
      <c r="H32" s="60">
        <f>F32-D32</f>
        <v>87718</v>
      </c>
      <c r="I32" s="38">
        <f>G32-E32</f>
        <v>6428</v>
      </c>
    </row>
    <row r="33" spans="1:9" x14ac:dyDescent="0.2">
      <c r="A33" s="9">
        <v>14</v>
      </c>
      <c r="B33" s="7"/>
      <c r="C33" s="18" t="s">
        <v>40</v>
      </c>
      <c r="D33" s="65">
        <f>'SITHE-FLSH'!L33</f>
        <v>0</v>
      </c>
      <c r="E33" s="66">
        <f>'SITHE-FLSH'!M33</f>
        <v>0</v>
      </c>
      <c r="F33" s="60">
        <f>SITHE_GL!D33</f>
        <v>0</v>
      </c>
      <c r="G33" s="38">
        <f>SITHE_GL!E33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'SITHE-FLSH'!L34</f>
        <v>0</v>
      </c>
      <c r="E34" s="66">
        <f>'SITHE-FLSH'!M34</f>
        <v>0</v>
      </c>
      <c r="F34" s="60">
        <f>SITHE_GL!D34</f>
        <v>0</v>
      </c>
      <c r="G34" s="38">
        <f>SITHE_GL!E34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'SITHE-FLSH'!L35</f>
        <v>3</v>
      </c>
      <c r="E35" s="66">
        <f>'SITHE-FLSH'!M35</f>
        <v>-1409</v>
      </c>
      <c r="F35" s="60">
        <f>SITHE_GL!D35</f>
        <v>0</v>
      </c>
      <c r="G35" s="38">
        <f>SITHE_GL!E35</f>
        <v>0</v>
      </c>
      <c r="H35" s="60">
        <f t="shared" si="5"/>
        <v>-3</v>
      </c>
      <c r="I35" s="38">
        <f t="shared" si="5"/>
        <v>1409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-87715</v>
      </c>
      <c r="E36" s="39">
        <f t="shared" si="6"/>
        <v>-7837</v>
      </c>
      <c r="F36" s="61">
        <f t="shared" si="6"/>
        <v>0</v>
      </c>
      <c r="G36" s="39">
        <f t="shared" si="6"/>
        <v>0</v>
      </c>
      <c r="H36" s="61">
        <f t="shared" si="6"/>
        <v>87715</v>
      </c>
      <c r="I36" s="39">
        <f t="shared" si="6"/>
        <v>7837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'SITHE-FLSH'!L39</f>
        <v>0</v>
      </c>
      <c r="E39" s="66">
        <f>'SITHE-FLSH'!M39</f>
        <v>0</v>
      </c>
      <c r="F39" s="60">
        <f>SITHE_GL!D39</f>
        <v>0</v>
      </c>
      <c r="G39" s="38">
        <f>SITHE_GL!E39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'SITHE-FLSH'!L40</f>
        <v>0</v>
      </c>
      <c r="E40" s="66">
        <f>'SITHE-FLSH'!M40</f>
        <v>0</v>
      </c>
      <c r="F40" s="60">
        <f>SITHE_GL!D40</f>
        <v>-3381</v>
      </c>
      <c r="G40" s="38">
        <f>SITHE_GL!E40</f>
        <v>-7395.91</v>
      </c>
      <c r="H40" s="60">
        <f t="shared" si="7"/>
        <v>-3381</v>
      </c>
      <c r="I40" s="38">
        <f t="shared" si="7"/>
        <v>-7395.91</v>
      </c>
    </row>
    <row r="41" spans="1:9" x14ac:dyDescent="0.2">
      <c r="A41" s="9">
        <v>19</v>
      </c>
      <c r="B41" s="7"/>
      <c r="C41" s="18" t="s">
        <v>47</v>
      </c>
      <c r="D41" s="65">
        <f>'SITHE-FLSH'!L41</f>
        <v>0</v>
      </c>
      <c r="E41" s="66">
        <f>'SITHE-FLSH'!M41</f>
        <v>0</v>
      </c>
      <c r="F41" s="60">
        <f>SITHE_GL!D41</f>
        <v>0</v>
      </c>
      <c r="G41" s="38">
        <f>SITHE_GL!E41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-3381</v>
      </c>
      <c r="G42" s="70">
        <f t="shared" si="8"/>
        <v>-7395.91</v>
      </c>
      <c r="H42" s="69">
        <f t="shared" si="8"/>
        <v>-3381</v>
      </c>
      <c r="I42" s="70">
        <f t="shared" si="8"/>
        <v>-7395.91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-3381</v>
      </c>
      <c r="G43" s="39">
        <f t="shared" si="9"/>
        <v>-7395.91</v>
      </c>
      <c r="H43" s="61">
        <f t="shared" si="9"/>
        <v>-3381</v>
      </c>
      <c r="I43" s="39">
        <f t="shared" si="9"/>
        <v>-7395.91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'SITHE-FLSH'!L45</f>
        <v>0</v>
      </c>
      <c r="E45" s="66">
        <f>'SITHE-FLSH'!M45</f>
        <v>0</v>
      </c>
      <c r="F45" s="60">
        <f>SITHE_GL!D45</f>
        <v>0</v>
      </c>
      <c r="G45" s="38">
        <f>SITHE_GL!E45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'SITHE-FLSH'!L47</f>
        <v>0</v>
      </c>
      <c r="E47" s="66">
        <f>'SITHE-FLSH'!M47</f>
        <v>0</v>
      </c>
      <c r="F47" s="60">
        <f>SITHE_GL!D47</f>
        <v>0</v>
      </c>
      <c r="G47" s="38">
        <f>SITHE_GL!E47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'SITHE-FLSH'!L49</f>
        <v>2782</v>
      </c>
      <c r="E49" s="66">
        <f>'SITHE-FLSH'!M49</f>
        <v>8364.9095916074803</v>
      </c>
      <c r="F49" s="60">
        <f>SITHE_GL!D49</f>
        <v>49390</v>
      </c>
      <c r="G49" s="38">
        <f>SITHE_GL!E49</f>
        <v>148273.18800000023</v>
      </c>
      <c r="H49" s="60">
        <f>F49-D49</f>
        <v>46608</v>
      </c>
      <c r="I49" s="38">
        <f>G49-E49</f>
        <v>139908.27840839274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'SITHE-FLSH'!L51</f>
        <v>-7667</v>
      </c>
      <c r="E51" s="66">
        <f>'SITHE-FLSH'!M51</f>
        <v>-18618</v>
      </c>
      <c r="F51" s="60">
        <f>SITHE_GL!D51</f>
        <v>-7667</v>
      </c>
      <c r="G51" s="38">
        <f>SITHE_GL!E51</f>
        <v>-17772.11</v>
      </c>
      <c r="H51" s="60">
        <f>F51-D51</f>
        <v>0</v>
      </c>
      <c r="I51" s="38">
        <f>G51-E51</f>
        <v>845.88999999999942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'SITHE-FLSH'!L54</f>
        <v>16</v>
      </c>
      <c r="E54" s="66">
        <f>'SITHE-FLSH'!M54</f>
        <v>-13917</v>
      </c>
      <c r="F54" s="60">
        <f>SITHE_GL!D54</f>
        <v>-29428.77</v>
      </c>
      <c r="G54" s="38">
        <f>SITHE_GL!E54</f>
        <v>-9136.02</v>
      </c>
      <c r="H54" s="60">
        <f>F54-D54</f>
        <v>-29444.77</v>
      </c>
      <c r="I54" s="38">
        <f>G54-E54</f>
        <v>4780.9799999999996</v>
      </c>
    </row>
    <row r="55" spans="1:9" x14ac:dyDescent="0.2">
      <c r="A55" s="9">
        <v>25</v>
      </c>
      <c r="B55" s="7"/>
      <c r="C55" s="18" t="s">
        <v>56</v>
      </c>
      <c r="D55" s="65">
        <f>'SITHE-FLSH'!L55</f>
        <v>0</v>
      </c>
      <c r="E55" s="66">
        <f>'SITHE-FLSH'!M55</f>
        <v>0</v>
      </c>
      <c r="F55" s="60">
        <f>SITHE_GL!D55</f>
        <v>0</v>
      </c>
      <c r="G55" s="38">
        <f>SITHE_GL!E55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16</v>
      </c>
      <c r="E56" s="39">
        <f t="shared" si="10"/>
        <v>-13917</v>
      </c>
      <c r="F56" s="61">
        <f t="shared" si="10"/>
        <v>-29428.77</v>
      </c>
      <c r="G56" s="39">
        <f t="shared" si="10"/>
        <v>-9136.02</v>
      </c>
      <c r="H56" s="61">
        <f t="shared" si="10"/>
        <v>-29444.77</v>
      </c>
      <c r="I56" s="39">
        <f t="shared" si="10"/>
        <v>4780.9799999999996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'SITHE-FLSH'!L59</f>
        <v>0</v>
      </c>
      <c r="E59" s="66">
        <f>'SITHE-FLSH'!M59</f>
        <v>0</v>
      </c>
      <c r="F59" s="60">
        <f>SITHE_GL!D59</f>
        <v>0</v>
      </c>
      <c r="G59" s="38">
        <f>SITHE_GL!E59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'SITHE-FLSH'!L60</f>
        <v>0</v>
      </c>
      <c r="E60" s="66">
        <f>'SITHE-FLSH'!M60</f>
        <v>0</v>
      </c>
      <c r="F60" s="60">
        <f>SITHE_GL!D60</f>
        <v>0</v>
      </c>
      <c r="G60" s="38">
        <f>SITHE_GL!E60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'SITHE-FLSH'!L64</f>
        <v>0</v>
      </c>
      <c r="E64" s="66">
        <f>'SITHE-FLSH'!M64</f>
        <v>0</v>
      </c>
      <c r="F64" s="60">
        <f>SITHE_GL!D64</f>
        <v>0</v>
      </c>
      <c r="G64" s="38">
        <f>SITHE_GL!E64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'SITHE-FLSH'!L65</f>
        <v>0</v>
      </c>
      <c r="E65" s="66">
        <f>'SITHE-FLSH'!M65</f>
        <v>0</v>
      </c>
      <c r="F65" s="60">
        <f>SITHE_GL!D65</f>
        <v>0</v>
      </c>
      <c r="G65" s="38">
        <f>SITHE_GL!E65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'SITHE-FLSH'!L70</f>
        <v>0</v>
      </c>
      <c r="E70" s="66">
        <f>'SITHE-FLSH'!M70</f>
        <v>17435</v>
      </c>
      <c r="F70" s="60">
        <f>SITHE_GL!D70</f>
        <v>0</v>
      </c>
      <c r="G70" s="38">
        <f>SITHE_GL!E70</f>
        <v>17435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'SITHE-FLSH'!L71</f>
        <v>0</v>
      </c>
      <c r="E71" s="66">
        <f>'SITHE-FLSH'!M71</f>
        <v>0</v>
      </c>
      <c r="F71" s="60">
        <f>SITHE_GL!D71</f>
        <v>0</v>
      </c>
      <c r="G71" s="38">
        <f>SITHE_GL!E71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17435</v>
      </c>
      <c r="F72" s="69">
        <f t="shared" si="13"/>
        <v>0</v>
      </c>
      <c r="G72" s="70">
        <f t="shared" si="13"/>
        <v>17435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'SITHE-FLSH'!L73</f>
        <v>0</v>
      </c>
      <c r="E73" s="66">
        <f>'SITHE-FLSH'!M73</f>
        <v>0</v>
      </c>
      <c r="F73" s="60">
        <f>SITHE_GL!D73</f>
        <v>0</v>
      </c>
      <c r="G73" s="38">
        <f>SITHE_GL!E73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'SITHE-FLSH'!L74</f>
        <v>0</v>
      </c>
      <c r="E74" s="66">
        <f>'SITHE-FLSH'!M74</f>
        <v>0</v>
      </c>
      <c r="F74" s="60">
        <f>SITHE_GL!D74</f>
        <v>0</v>
      </c>
      <c r="G74" s="38">
        <f>SITHE_GL!E74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'SITHE-FLSH'!L75</f>
        <v>0</v>
      </c>
      <c r="E75" s="66">
        <f>'SITHE-FLSH'!M75</f>
        <v>0</v>
      </c>
      <c r="F75" s="60">
        <f>SITHE_GL!D75</f>
        <v>0</v>
      </c>
      <c r="G75" s="38">
        <f>SITHE_GL!E75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'SITHE-FLSH'!L76</f>
        <v>0</v>
      </c>
      <c r="E76" s="66">
        <f>'SITHE-FLSH'!M76</f>
        <v>0</v>
      </c>
      <c r="F76" s="60">
        <f>SITHE_GL!D76</f>
        <v>0</v>
      </c>
      <c r="G76" s="38">
        <f>SITHE_GL!E76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'SITHE-FLSH'!L77</f>
        <v>0</v>
      </c>
      <c r="E77" s="66">
        <f>'SITHE-FLSH'!M77</f>
        <v>0</v>
      </c>
      <c r="F77" s="60">
        <f>SITHE_GL!D77</f>
        <v>0</v>
      </c>
      <c r="G77" s="38">
        <f>SITHE_GL!E77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'SITHE-FLSH'!L78</f>
        <v>0</v>
      </c>
      <c r="E78" s="66">
        <f>'SITHE-FLSH'!M78</f>
        <v>0</v>
      </c>
      <c r="F78" s="60">
        <f>SITHE_GL!D78</f>
        <v>0</v>
      </c>
      <c r="G78" s="38">
        <f>SITHE_GL!E78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'SITHE-FLSH'!L79</f>
        <v>0</v>
      </c>
      <c r="E79" s="66">
        <f>'SITHE-FLSH'!M79</f>
        <v>0</v>
      </c>
      <c r="F79" s="60">
        <f>SITHE_GL!D79</f>
        <v>0</v>
      </c>
      <c r="G79" s="38">
        <f>SITHE_GL!E79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'SITHE-FLSH'!L80</f>
        <v>0</v>
      </c>
      <c r="E80" s="66">
        <f>'SITHE-FLSH'!M80</f>
        <v>0</v>
      </c>
      <c r="F80" s="60">
        <f>SITHE_GL!D80</f>
        <v>0</v>
      </c>
      <c r="G80" s="38">
        <f>SITHE_GL!E80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'SITHE-FLSH'!L81</f>
        <v>0</v>
      </c>
      <c r="E81" s="66">
        <f>'SITHE-FLSH'!M81</f>
        <v>-10000</v>
      </c>
      <c r="F81" s="60">
        <f>SITHE_GL!D81</f>
        <v>0</v>
      </c>
      <c r="G81" s="38">
        <f>SITHE_GL!E81</f>
        <v>0</v>
      </c>
      <c r="H81" s="60">
        <f>F81-D81</f>
        <v>0</v>
      </c>
      <c r="I81" s="38">
        <f>G81-E81</f>
        <v>10000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9014.9095916074803</v>
      </c>
      <c r="F82" s="71">
        <f>F16+F24+F29+F36+F43+F45+F47+F49</f>
        <v>0</v>
      </c>
      <c r="G82" s="72">
        <f>SUM(G72:G81)+G16+G24+G29+G36+G43+G45+G47+G49+G51+G56+G61+G66</f>
        <v>-239607.29199999737</v>
      </c>
      <c r="H82" s="71">
        <f>H16+H24+H29+H36+H43+H45+H47+H49</f>
        <v>0</v>
      </c>
      <c r="I82" s="72">
        <f>SUM(I72:I81)+I16+I24+I29+I36+I43+I45+I47+I49+I51+I56+I61+I66</f>
        <v>-248622.20159160669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topLeftCell="A62" zoomScale="75" workbookViewId="0">
      <selection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8" width="15.42578125" customWidth="1"/>
    <col min="9" max="9" width="17.14062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13516932</v>
      </c>
      <c r="E11" s="66">
        <f>'ARUBA-FLSH'!M11</f>
        <v>43061374</v>
      </c>
      <c r="F11" s="60">
        <f>ARUBA_GL!D11</f>
        <v>13520515</v>
      </c>
      <c r="G11" s="38">
        <f>ARUBA_GL!E11</f>
        <v>40716567.339999996</v>
      </c>
      <c r="H11" s="60">
        <f>F11-D11</f>
        <v>3583</v>
      </c>
      <c r="I11" s="38">
        <f>G11-E11</f>
        <v>-2344806.6600000039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331650.98</v>
      </c>
      <c r="H12" s="60">
        <f>F12-D12</f>
        <v>0</v>
      </c>
      <c r="I12" s="38">
        <f>G12-E12</f>
        <v>331650.98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20326150</v>
      </c>
      <c r="E13" s="66">
        <f>'ARUBA-FLSH'!M13</f>
        <v>51242714</v>
      </c>
      <c r="F13" s="60">
        <f>ARUBA_GL!D13</f>
        <v>20326150</v>
      </c>
      <c r="G13" s="38">
        <f>ARUBA_GL!E13</f>
        <v>51242714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2852725</v>
      </c>
      <c r="H15" s="60">
        <f t="shared" si="0"/>
        <v>0</v>
      </c>
      <c r="I15" s="38">
        <f t="shared" si="0"/>
        <v>2852725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33843082</v>
      </c>
      <c r="E16" s="39">
        <f t="shared" si="1"/>
        <v>94304088</v>
      </c>
      <c r="F16" s="61">
        <f t="shared" si="1"/>
        <v>33846665</v>
      </c>
      <c r="G16" s="39">
        <f t="shared" si="1"/>
        <v>95143657.319999993</v>
      </c>
      <c r="H16" s="61">
        <f t="shared" si="1"/>
        <v>3583</v>
      </c>
      <c r="I16" s="39">
        <f t="shared" si="1"/>
        <v>839569.31999999611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-11195330</v>
      </c>
      <c r="E19" s="66">
        <f>'ARUBA-FLSH'!M19</f>
        <v>-33701081</v>
      </c>
      <c r="F19" s="60">
        <f>ARUBA_GL!D19</f>
        <v>-11195330</v>
      </c>
      <c r="G19" s="38">
        <f>ARUBA_GL!E19</f>
        <v>-32656396.189999998</v>
      </c>
      <c r="H19" s="60">
        <f>F19-D19</f>
        <v>0</v>
      </c>
      <c r="I19" s="38">
        <f>G19-E19</f>
        <v>1044684.8100000024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-167100</v>
      </c>
      <c r="H20" s="60">
        <f>F20-D20</f>
        <v>0</v>
      </c>
      <c r="I20" s="38">
        <f>G20-E20</f>
        <v>-167100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-22907710</v>
      </c>
      <c r="E21" s="66">
        <f>'ARUBA-FLSH'!M21</f>
        <v>-58479925</v>
      </c>
      <c r="F21" s="60">
        <f>ARUBA_GL!D21</f>
        <v>-22907710</v>
      </c>
      <c r="G21" s="38">
        <f>ARUBA_GL!E21</f>
        <v>-58479925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254831</v>
      </c>
      <c r="E23" s="66">
        <f>'ARUBA-FLSH'!M23</f>
        <v>582067</v>
      </c>
      <c r="F23" s="60">
        <f>ARUBA_GL!D23</f>
        <v>254350</v>
      </c>
      <c r="G23" s="38">
        <f>ARUBA_GL!E23</f>
        <v>765592.75</v>
      </c>
      <c r="H23" s="60">
        <f t="shared" si="2"/>
        <v>-481</v>
      </c>
      <c r="I23" s="38">
        <f t="shared" si="2"/>
        <v>183525.75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-33848209</v>
      </c>
      <c r="E24" s="39">
        <f t="shared" si="3"/>
        <v>-91598939</v>
      </c>
      <c r="F24" s="61">
        <f t="shared" si="3"/>
        <v>-33848690</v>
      </c>
      <c r="G24" s="39">
        <f t="shared" si="3"/>
        <v>-90537828.439999998</v>
      </c>
      <c r="H24" s="61">
        <f t="shared" si="3"/>
        <v>-481</v>
      </c>
      <c r="I24" s="39">
        <f t="shared" si="3"/>
        <v>1061110.5600000024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5127</v>
      </c>
      <c r="E49" s="66">
        <f>'ARUBA-FLSH'!M49</f>
        <v>15433.706937356917</v>
      </c>
      <c r="F49" s="60">
        <f>ARUBA_GL!D49</f>
        <v>2025</v>
      </c>
      <c r="G49" s="38">
        <f>ARUBA_GL!E49</f>
        <v>6095.7400000002235</v>
      </c>
      <c r="H49" s="60">
        <f>F49-D49</f>
        <v>-3102</v>
      </c>
      <c r="I49" s="38">
        <f>G49-E49</f>
        <v>-9337.966937356694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-254831</v>
      </c>
      <c r="E51" s="66">
        <f>'ARUBA-FLSH'!M51</f>
        <v>-582067</v>
      </c>
      <c r="F51" s="60">
        <f>ARUBA_GL!D51</f>
        <v>-254350</v>
      </c>
      <c r="G51" s="38">
        <f>ARUBA_GL!E51</f>
        <v>-765593.5</v>
      </c>
      <c r="H51" s="60">
        <f>F51-D51</f>
        <v>481</v>
      </c>
      <c r="I51" s="38">
        <f>G51-E51</f>
        <v>-183526.5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-113421</v>
      </c>
      <c r="F54" s="60">
        <f>ARUBA_GL!D54</f>
        <v>-8313093</v>
      </c>
      <c r="G54" s="38">
        <f>ARUBA_GL!E54</f>
        <v>-134717.57999999999</v>
      </c>
      <c r="H54" s="60">
        <f>F54-D54</f>
        <v>-8313093</v>
      </c>
      <c r="I54" s="38">
        <f>G54-E54</f>
        <v>-21296.579999999987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-2742100.2</v>
      </c>
      <c r="H55" s="60">
        <f>F55-D55</f>
        <v>0</v>
      </c>
      <c r="I55" s="38">
        <f>G55-E55</f>
        <v>-2742100.2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-113421</v>
      </c>
      <c r="F56" s="61">
        <f t="shared" si="10"/>
        <v>-8313093</v>
      </c>
      <c r="G56" s="39">
        <f t="shared" si="10"/>
        <v>-2876817.7800000003</v>
      </c>
      <c r="H56" s="61">
        <f t="shared" si="10"/>
        <v>-8313093</v>
      </c>
      <c r="I56" s="39">
        <f t="shared" si="10"/>
        <v>-2763396.7800000003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15019906</v>
      </c>
      <c r="F70" s="60">
        <f>ARUBA_GL!D70</f>
        <v>0</v>
      </c>
      <c r="G70" s="38">
        <f>ARUBA_GL!E70</f>
        <v>15019906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-16562230</v>
      </c>
      <c r="F71" s="60">
        <f>ARUBA_GL!D71</f>
        <v>0</v>
      </c>
      <c r="G71" s="38">
        <f>ARUBA_GL!E71</f>
        <v>-16562230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-1542324</v>
      </c>
      <c r="F72" s="69">
        <f t="shared" si="13"/>
        <v>0</v>
      </c>
      <c r="G72" s="70">
        <f t="shared" si="13"/>
        <v>-1542324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422090</v>
      </c>
      <c r="F74" s="60">
        <f>ARUBA_GL!D74</f>
        <v>0</v>
      </c>
      <c r="G74" s="38">
        <f>ARUBA_GL!E74</f>
        <v>-441909</v>
      </c>
      <c r="H74" s="60">
        <f t="shared" ref="H74:I79" si="14">F74-D74</f>
        <v>0</v>
      </c>
      <c r="I74" s="38">
        <f t="shared" si="14"/>
        <v>-863999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904860.70693735685</v>
      </c>
      <c r="F82" s="71">
        <f>F16+F24+F29+F36+F43+F45+F47+F49</f>
        <v>0</v>
      </c>
      <c r="G82" s="72">
        <f>SUM(G72:G81)+G16+G24+G29+G36+G43+G45+G47+G49+G51+G56+G61+G66</f>
        <v>-1014719.6600000048</v>
      </c>
      <c r="H82" s="71">
        <f>H16+H24+H29+H36+H43+H45+H47+H49</f>
        <v>0</v>
      </c>
      <c r="I82" s="72">
        <f>SUM(I72:I81)+I16+I24+I29+I36+I43+I45+I47+I49+I51+I56+I61+I66</f>
        <v>-1919580.3669373584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69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6.28515625" bestFit="1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100793061</v>
      </c>
      <c r="E11" s="66">
        <f>'EAST-EGM-FLSH'!M11</f>
        <v>290821152</v>
      </c>
      <c r="F11" s="60">
        <f>'EAST-EGM-GL'!D11</f>
        <v>93888118</v>
      </c>
      <c r="G11" s="38">
        <f>'EAST-EGM-GL'!E11</f>
        <v>278253695.03999996</v>
      </c>
      <c r="H11" s="60">
        <f>F11-D11</f>
        <v>-6904943</v>
      </c>
      <c r="I11" s="38">
        <f>G11-E11</f>
        <v>-12567456.960000038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-2225151.9700000002</v>
      </c>
      <c r="H12" s="60">
        <f>F12-D12</f>
        <v>0</v>
      </c>
      <c r="I12" s="38">
        <f>G12-E12</f>
        <v>-2225151.9700000002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34376354</v>
      </c>
      <c r="E13" s="66">
        <f>'EAST-EGM-FLSH'!M13</f>
        <v>87323206</v>
      </c>
      <c r="F13" s="60">
        <f>'EAST-EGM-GL'!D13</f>
        <v>34376354</v>
      </c>
      <c r="G13" s="38">
        <f>'EAST-EGM-GL'!E13</f>
        <v>87323206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-481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481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911450.15</v>
      </c>
      <c r="H15" s="60">
        <f t="shared" si="0"/>
        <v>0</v>
      </c>
      <c r="I15" s="38">
        <f t="shared" si="0"/>
        <v>911450.15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135169415</v>
      </c>
      <c r="E16" s="39">
        <f t="shared" si="1"/>
        <v>378143877</v>
      </c>
      <c r="F16" s="61">
        <f t="shared" si="1"/>
        <v>128264472</v>
      </c>
      <c r="G16" s="39">
        <f t="shared" si="1"/>
        <v>364263199.21999991</v>
      </c>
      <c r="H16" s="61">
        <f t="shared" si="1"/>
        <v>-6904943</v>
      </c>
      <c r="I16" s="39">
        <f t="shared" si="1"/>
        <v>-13880677.780000038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-103607089</v>
      </c>
      <c r="E19" s="66">
        <f>'EAST-EGM-FLSH'!M19</f>
        <v>-308993742.97662669</v>
      </c>
      <c r="F19" s="60">
        <f>'EAST-EGM-GL'!D19</f>
        <v>-102837304</v>
      </c>
      <c r="G19" s="38">
        <f>'EAST-EGM-GL'!E19</f>
        <v>-307188506.85000002</v>
      </c>
      <c r="H19" s="60">
        <f>F19-D19</f>
        <v>769785</v>
      </c>
      <c r="I19" s="38">
        <f>G19-E19</f>
        <v>1805236.1266266704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-1893012.96</v>
      </c>
      <c r="H20" s="60">
        <f>F20-D20</f>
        <v>0</v>
      </c>
      <c r="I20" s="38">
        <f>G20-E20</f>
        <v>-1893012.96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-30814363</v>
      </c>
      <c r="E21" s="66">
        <f>'EAST-EGM-FLSH'!M21</f>
        <v>-78054921</v>
      </c>
      <c r="F21" s="60">
        <f>'EAST-EGM-GL'!D21</f>
        <v>-30932657</v>
      </c>
      <c r="G21" s="38">
        <f>'EAST-EGM-GL'!E21</f>
        <v>-78373609</v>
      </c>
      <c r="H21" s="60">
        <f t="shared" ref="H21:I23" si="2">F21-D21</f>
        <v>-118294</v>
      </c>
      <c r="I21" s="38">
        <f t="shared" si="2"/>
        <v>-318688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152027</v>
      </c>
      <c r="E23" s="66">
        <f>'EAST-EGM-FLSH'!M23</f>
        <v>362607</v>
      </c>
      <c r="F23" s="60">
        <f>'EAST-EGM-GL'!D23</f>
        <v>183062</v>
      </c>
      <c r="G23" s="38">
        <f>'EAST-EGM-GL'!E23</f>
        <v>2253570.9050000003</v>
      </c>
      <c r="H23" s="60">
        <f t="shared" si="2"/>
        <v>31035</v>
      </c>
      <c r="I23" s="38">
        <f t="shared" si="2"/>
        <v>1890963.9050000003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-134269425</v>
      </c>
      <c r="E24" s="39">
        <f t="shared" si="3"/>
        <v>-386686056.97662669</v>
      </c>
      <c r="F24" s="61">
        <f t="shared" si="3"/>
        <v>-133586899</v>
      </c>
      <c r="G24" s="39">
        <f t="shared" si="3"/>
        <v>-385201557.90500003</v>
      </c>
      <c r="H24" s="61">
        <f t="shared" si="3"/>
        <v>682526</v>
      </c>
      <c r="I24" s="39">
        <f t="shared" si="3"/>
        <v>1484499.0716266707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8861237</v>
      </c>
      <c r="G27" s="38">
        <f>'EAST-EGM-GL'!E27</f>
        <v>20769563.840000004</v>
      </c>
      <c r="H27" s="60">
        <f>F27-D27</f>
        <v>8861237</v>
      </c>
      <c r="I27" s="38">
        <f>G27-E27</f>
        <v>20769563.840000004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-3820602</v>
      </c>
      <c r="G28" s="38">
        <f>'EAST-EGM-GL'!E28</f>
        <v>-9190572.2399999984</v>
      </c>
      <c r="H28" s="60">
        <f>F28-D28</f>
        <v>-3820602</v>
      </c>
      <c r="I28" s="38">
        <f>G28-E28</f>
        <v>-9190572.2399999984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5040635</v>
      </c>
      <c r="G29" s="70">
        <f t="shared" si="4"/>
        <v>11578991.600000005</v>
      </c>
      <c r="H29" s="69">
        <f t="shared" si="4"/>
        <v>5040635</v>
      </c>
      <c r="I29" s="70">
        <f t="shared" si="4"/>
        <v>11578991.600000005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-3098</v>
      </c>
      <c r="E32" s="66">
        <f>'EAST-EGM-FLSH'!M32</f>
        <v>-75353</v>
      </c>
      <c r="F32" s="60">
        <f>'EAST-EGM-GL'!D32</f>
        <v>-153938</v>
      </c>
      <c r="G32" s="38">
        <f>'EAST-EGM-GL'!E32</f>
        <v>-474898.73000000021</v>
      </c>
      <c r="H32" s="60">
        <f>F32-D32</f>
        <v>-150840</v>
      </c>
      <c r="I32" s="38">
        <f>G32-E32</f>
        <v>-399545.73000000021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830902</v>
      </c>
      <c r="E33" s="66">
        <f>'EAST-EGM-FLSH'!M33</f>
        <v>2045437</v>
      </c>
      <c r="F33" s="60">
        <f>'EAST-EGM-GL'!D33</f>
        <v>-157067</v>
      </c>
      <c r="G33" s="38">
        <f>'EAST-EGM-GL'!E33</f>
        <v>-591956.32999999996</v>
      </c>
      <c r="H33" s="60">
        <f t="shared" ref="H33:I35" si="5">F33-D33</f>
        <v>-987969</v>
      </c>
      <c r="I33" s="38">
        <f t="shared" si="5"/>
        <v>-2637393.33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-844605</v>
      </c>
      <c r="E34" s="66">
        <f>'EAST-EGM-FLSH'!M34</f>
        <v>-2079004</v>
      </c>
      <c r="F34" s="60">
        <f>'EAST-EGM-GL'!D34</f>
        <v>108621</v>
      </c>
      <c r="G34" s="38">
        <f>'EAST-EGM-GL'!E34</f>
        <v>246712.02000000002</v>
      </c>
      <c r="H34" s="60">
        <f t="shared" si="5"/>
        <v>953226</v>
      </c>
      <c r="I34" s="38">
        <f t="shared" si="5"/>
        <v>2325716.02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501387</v>
      </c>
      <c r="E35" s="66">
        <f>'EAST-EGM-FLSH'!M35</f>
        <v>5752</v>
      </c>
      <c r="F35" s="60">
        <f>'EAST-EGM-GL'!D35</f>
        <v>507378</v>
      </c>
      <c r="G35" s="38">
        <f>'EAST-EGM-GL'!E35</f>
        <v>0</v>
      </c>
      <c r="H35" s="60">
        <f t="shared" si="5"/>
        <v>5991</v>
      </c>
      <c r="I35" s="38">
        <f t="shared" si="5"/>
        <v>-5752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484586</v>
      </c>
      <c r="E36" s="39">
        <f t="shared" si="6"/>
        <v>-103168</v>
      </c>
      <c r="F36" s="61">
        <f t="shared" si="6"/>
        <v>304994</v>
      </c>
      <c r="G36" s="39">
        <f t="shared" si="6"/>
        <v>-820143.04</v>
      </c>
      <c r="H36" s="61">
        <f t="shared" si="6"/>
        <v>-179592</v>
      </c>
      <c r="I36" s="39">
        <f t="shared" si="6"/>
        <v>-716975.0400000005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0</v>
      </c>
      <c r="E39" s="66">
        <f>'EAST-EGM-FLSH'!M39</f>
        <v>0</v>
      </c>
      <c r="F39" s="60">
        <f>'EAST-EGM-GL'!D39</f>
        <v>0</v>
      </c>
      <c r="G39" s="38">
        <f>'EAST-EGM-GL'!E39</f>
        <v>0.12999999988824129</v>
      </c>
      <c r="H39" s="60">
        <f t="shared" ref="H39:I41" si="7">F39-D39</f>
        <v>0</v>
      </c>
      <c r="I39" s="38">
        <f t="shared" si="7"/>
        <v>0.12999999988824129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243284</v>
      </c>
      <c r="E40" s="66">
        <f>'EAST-EGM-FLSH'!M40</f>
        <v>744449</v>
      </c>
      <c r="F40" s="60">
        <f>'EAST-EGM-GL'!D40</f>
        <v>-26878</v>
      </c>
      <c r="G40" s="38">
        <f>'EAST-EGM-GL'!E40</f>
        <v>-1027886.0900000001</v>
      </c>
      <c r="H40" s="60">
        <f t="shared" si="7"/>
        <v>-270162</v>
      </c>
      <c r="I40" s="38">
        <f t="shared" si="7"/>
        <v>-1772335.09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243284</v>
      </c>
      <c r="E42" s="70">
        <f t="shared" si="8"/>
        <v>744449</v>
      </c>
      <c r="F42" s="69">
        <f t="shared" si="8"/>
        <v>-26878</v>
      </c>
      <c r="G42" s="70">
        <f t="shared" si="8"/>
        <v>-1027886.0900000001</v>
      </c>
      <c r="H42" s="69">
        <f t="shared" si="8"/>
        <v>-270162</v>
      </c>
      <c r="I42" s="70">
        <f t="shared" si="8"/>
        <v>-1772335.09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243284</v>
      </c>
      <c r="E43" s="39">
        <f t="shared" si="9"/>
        <v>744449</v>
      </c>
      <c r="F43" s="61">
        <f t="shared" si="9"/>
        <v>-26878</v>
      </c>
      <c r="G43" s="39">
        <f t="shared" si="9"/>
        <v>-1027885.9600000002</v>
      </c>
      <c r="H43" s="61">
        <f t="shared" si="9"/>
        <v>-270162</v>
      </c>
      <c r="I43" s="39">
        <f t="shared" si="9"/>
        <v>-1772334.9600000002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-1567860</v>
      </c>
      <c r="E49" s="66">
        <f>'EAST-EGM-FLSH'!M49</f>
        <v>-4684753.5083662346</v>
      </c>
      <c r="F49" s="60">
        <f>'EAST-EGM-GL'!D49</f>
        <v>3676</v>
      </c>
      <c r="G49" s="38">
        <f>'EAST-EGM-GL'!E49</f>
        <v>11340.459999998897</v>
      </c>
      <c r="H49" s="60">
        <f>F49-D49</f>
        <v>1571536</v>
      </c>
      <c r="I49" s="38">
        <f>G49-E49</f>
        <v>4696093.9683662336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-152027</v>
      </c>
      <c r="E51" s="66">
        <f>'EAST-EGM-FLSH'!M51</f>
        <v>-362607</v>
      </c>
      <c r="F51" s="60">
        <f>'EAST-EGM-GL'!D51</f>
        <v>-730493</v>
      </c>
      <c r="G51" s="38">
        <f>'EAST-EGM-GL'!E51</f>
        <v>-2253570.9050000003</v>
      </c>
      <c r="H51" s="60">
        <f>F51-D51</f>
        <v>-578466</v>
      </c>
      <c r="I51" s="38">
        <f>G51-E51</f>
        <v>-1890963.9050000003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-402213</v>
      </c>
      <c r="F54" s="60">
        <f>'EAST-EGM-GL'!D54</f>
        <v>-76654147</v>
      </c>
      <c r="G54" s="38">
        <f>'EAST-EGM-GL'!E54</f>
        <v>-341728.39</v>
      </c>
      <c r="H54" s="60">
        <f>F54-D54</f>
        <v>-76654147</v>
      </c>
      <c r="I54" s="38">
        <f>G54-E54</f>
        <v>60484.609999999986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-490388</v>
      </c>
      <c r="F55" s="60">
        <f>'EAST-EGM-GL'!D55</f>
        <v>0</v>
      </c>
      <c r="G55" s="38">
        <f>'EAST-EGM-GL'!E55</f>
        <v>-1278964.78</v>
      </c>
      <c r="H55" s="60">
        <f>F55-D55</f>
        <v>0</v>
      </c>
      <c r="I55" s="38">
        <f>G55-E55</f>
        <v>-788576.78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-892601</v>
      </c>
      <c r="F56" s="61">
        <f t="shared" si="10"/>
        <v>-76654147</v>
      </c>
      <c r="G56" s="39">
        <f t="shared" si="10"/>
        <v>-1620693.17</v>
      </c>
      <c r="H56" s="61">
        <f t="shared" si="10"/>
        <v>-76654147</v>
      </c>
      <c r="I56" s="39">
        <f t="shared" si="10"/>
        <v>-728092.17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70494.790000000008</v>
      </c>
      <c r="H59" s="60">
        <f>F59-D59</f>
        <v>0</v>
      </c>
      <c r="I59" s="38">
        <f>G59-E59</f>
        <v>70494.790000000008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-82527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82527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-82527</v>
      </c>
      <c r="F61" s="69">
        <f t="shared" si="11"/>
        <v>0</v>
      </c>
      <c r="G61" s="70">
        <f t="shared" si="11"/>
        <v>70494.790000000008</v>
      </c>
      <c r="H61" s="69">
        <f t="shared" si="11"/>
        <v>0</v>
      </c>
      <c r="I61" s="70">
        <f t="shared" si="11"/>
        <v>153021.79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42944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-42944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-42944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15355188.296300001</v>
      </c>
      <c r="F70" s="60">
        <f>'EAST-EGM-GL'!D70</f>
        <v>0</v>
      </c>
      <c r="G70" s="38">
        <f>'EAST-EGM-GL'!E70</f>
        <v>15355188.300000001</v>
      </c>
      <c r="H70" s="60">
        <f>F70-D70</f>
        <v>0</v>
      </c>
      <c r="I70" s="38">
        <f>G70-E70</f>
        <v>3.6999993026256561E-3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-6851832</v>
      </c>
      <c r="F71" s="60">
        <f>'EAST-EGM-GL'!D71</f>
        <v>0</v>
      </c>
      <c r="G71" s="38">
        <f>'EAST-EGM-GL'!E71</f>
        <v>-6851832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8503356.2963000014</v>
      </c>
      <c r="F72" s="69">
        <f t="shared" si="13"/>
        <v>0</v>
      </c>
      <c r="G72" s="70">
        <f t="shared" si="13"/>
        <v>8503356.3000000007</v>
      </c>
      <c r="H72" s="69">
        <f t="shared" si="13"/>
        <v>0</v>
      </c>
      <c r="I72" s="70">
        <f t="shared" si="13"/>
        <v>3.6999993026256561E-3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5094995</v>
      </c>
      <c r="F74" s="60">
        <f>'EAST-EGM-GL'!D74</f>
        <v>0</v>
      </c>
      <c r="G74" s="38">
        <f>'EAST-EGM-GL'!E74</f>
        <v>5123513</v>
      </c>
      <c r="H74" s="60">
        <f t="shared" ref="H74:I79" si="14">F74-D74</f>
        <v>0</v>
      </c>
      <c r="I74" s="38">
        <f t="shared" si="14"/>
        <v>28518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14426</v>
      </c>
      <c r="F75" s="60">
        <f>'EAST-EGM-GL'!D75</f>
        <v>0</v>
      </c>
      <c r="G75" s="38">
        <f>'EAST-EGM-GL'!E75</f>
        <v>14500</v>
      </c>
      <c r="H75" s="60">
        <f t="shared" si="14"/>
        <v>0</v>
      </c>
      <c r="I75" s="38">
        <f t="shared" si="14"/>
        <v>74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-15665</v>
      </c>
      <c r="F76" s="60">
        <f>'EAST-EGM-GL'!D76</f>
        <v>0</v>
      </c>
      <c r="G76" s="38">
        <f>'EAST-EGM-GL'!E76</f>
        <v>-10298.57</v>
      </c>
      <c r="H76" s="60">
        <f t="shared" si="14"/>
        <v>0</v>
      </c>
      <c r="I76" s="38">
        <f t="shared" si="14"/>
        <v>5366.43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23732.85</v>
      </c>
      <c r="F78" s="60">
        <f>'EAST-EGM-GL'!D78</f>
        <v>0</v>
      </c>
      <c r="G78" s="38">
        <f>'EAST-EGM-GL'!E78</f>
        <v>26963</v>
      </c>
      <c r="H78" s="60">
        <f t="shared" si="14"/>
        <v>0</v>
      </c>
      <c r="I78" s="38">
        <f t="shared" si="14"/>
        <v>3230.1500000000015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-20325</v>
      </c>
      <c r="F81" s="60">
        <f>'EAST-EGM-GL'!D81</f>
        <v>0</v>
      </c>
      <c r="G81" s="38">
        <f>'EAST-EGM-GL'!E81</f>
        <v>-7726.7699999999895</v>
      </c>
      <c r="H81" s="60">
        <f>F81-D81</f>
        <v>0</v>
      </c>
      <c r="I81" s="38">
        <f>G81-E81</f>
        <v>12598.23000000001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-316732.33869291097</v>
      </c>
      <c r="F82" s="71">
        <f>F16+F24+F29+F36+F43+F45+F47+F49</f>
        <v>0</v>
      </c>
      <c r="G82" s="72">
        <f>SUM(G72:G81)+G16+G24+G29+G36+G43+G45+G47+G49+G51+G56+G61+G66</f>
        <v>-5283326.9500001399</v>
      </c>
      <c r="H82" s="71">
        <f>H16+H24+H29+H36+H43+H45+H47+H49</f>
        <v>-60000</v>
      </c>
      <c r="I82" s="72">
        <f>SUM(I72:I81)+I16+I24+I29+I36+I43+I45+I47+I49+I51+I56+I61+I66</f>
        <v>-4966594.6113071321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'EAST-EGM-FLSH'!L86</f>
        <v>0</v>
      </c>
      <c r="E86" s="169">
        <f>'EAST-EGM-FLSH'!M86</f>
        <v>580000</v>
      </c>
      <c r="F86" s="169">
        <f>'EAST-EGM-GL'!D86</f>
        <v>0</v>
      </c>
      <c r="G86" s="169">
        <f>'EAST-EGM-GL'!E86</f>
        <v>580328</v>
      </c>
      <c r="H86" s="169">
        <f t="shared" ref="H86:I88" si="15">F86-D86</f>
        <v>0</v>
      </c>
      <c r="I86" s="169">
        <f t="shared" si="15"/>
        <v>328</v>
      </c>
    </row>
    <row r="87" spans="1:63" x14ac:dyDescent="0.2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'EAST-EGM-FLSH'!L88</f>
        <v>0</v>
      </c>
      <c r="E88" s="171">
        <f>'EAST-EGM-FLSH'!M88</f>
        <v>0</v>
      </c>
      <c r="F88" s="171">
        <f>'EAST-EGM-GL'!D88</f>
        <v>0</v>
      </c>
      <c r="G88" s="171">
        <f>'EAST-EGM-GL'!E88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580000</v>
      </c>
      <c r="F89" s="184">
        <f t="shared" si="16"/>
        <v>0</v>
      </c>
      <c r="G89" s="184">
        <f t="shared" si="16"/>
        <v>580328</v>
      </c>
      <c r="H89" s="184">
        <f t="shared" si="16"/>
        <v>0</v>
      </c>
      <c r="I89" s="184">
        <f t="shared" si="16"/>
        <v>328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60000</v>
      </c>
      <c r="E91" s="184">
        <f t="shared" si="17"/>
        <v>263267.66130708903</v>
      </c>
      <c r="F91" s="184">
        <f t="shared" si="17"/>
        <v>0</v>
      </c>
      <c r="G91" s="184">
        <f t="shared" si="17"/>
        <v>-4702998.9500001399</v>
      </c>
      <c r="H91" s="184">
        <f t="shared" si="17"/>
        <v>-60000</v>
      </c>
      <c r="I91" s="184">
        <f t="shared" si="17"/>
        <v>-4966266.6113071321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87"/>
  <sheetViews>
    <sheetView zoomScale="75" workbookViewId="0">
      <pane xSplit="3" ySplit="9" topLeftCell="U32" activePane="bottomRight" state="frozen"/>
      <selection activeCell="B11" sqref="B11"/>
      <selection pane="topRight" activeCell="B11" sqref="B11"/>
      <selection pane="bottomLeft" activeCell="B11" sqref="B11"/>
      <selection pane="bottomRight" activeCell="W42" sqref="W4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9911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182</v>
      </c>
      <c r="Q8" s="27"/>
      <c r="R8" s="26" t="s">
        <v>16</v>
      </c>
      <c r="S8" s="27"/>
      <c r="T8" s="26" t="s">
        <v>183</v>
      </c>
      <c r="U8" s="27"/>
      <c r="V8" s="26" t="s">
        <v>18</v>
      </c>
      <c r="W8" s="27"/>
      <c r="X8" s="26" t="s">
        <v>158</v>
      </c>
      <c r="Y8" s="27"/>
      <c r="Z8" s="26" t="s">
        <v>189</v>
      </c>
      <c r="AA8" s="27"/>
      <c r="AB8" s="26" t="s">
        <v>198</v>
      </c>
      <c r="AC8" s="27"/>
      <c r="AD8" s="26" t="s">
        <v>113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6">
        <f>F11+H11+J11+L11+N11+P11+R11+V11+X11+AD11</f>
        <v>0</v>
      </c>
      <c r="E11" s="66">
        <f>G11+I11+K11+M11+O11+Q11+S11+W11+Y11+AE11+AC11+AA11+U11</f>
        <v>731660</v>
      </c>
      <c r="F11" s="60"/>
      <c r="G11" s="38">
        <f>-4374471-885000+4374471</f>
        <v>-885000</v>
      </c>
      <c r="H11" s="60"/>
      <c r="I11" s="38">
        <f>1511253-853514-170000-24021+207113-28329-147</f>
        <v>642355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-650000</v>
      </c>
      <c r="V11" s="60"/>
      <c r="W11" s="38"/>
      <c r="X11" s="60"/>
      <c r="Y11" s="38">
        <v>32500</v>
      </c>
      <c r="Z11" s="60"/>
      <c r="AA11" s="38"/>
      <c r="AB11" s="60"/>
      <c r="AC11" s="38">
        <f>4374471-4374471</f>
        <v>0</v>
      </c>
      <c r="AD11" s="60"/>
      <c r="AE11" s="38">
        <f>4033344-5417-2444069+33743-25796</f>
        <v>1591805</v>
      </c>
    </row>
    <row r="12" spans="1:31" x14ac:dyDescent="0.2">
      <c r="A12" s="9">
        <v>2</v>
      </c>
      <c r="B12" s="7"/>
      <c r="C12" s="18" t="s">
        <v>26</v>
      </c>
      <c r="D12" s="66">
        <f>F12+H12+J12+L12+N12+P12+R12+V12+X12+AD12</f>
        <v>0</v>
      </c>
      <c r="E12" s="66">
        <f>G12+I12+K12+M12+O12+Q12+S12+W12+Y12+AE12+AC12+AA12+U12</f>
        <v>-2850350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f>-1877850-940000+5000</f>
        <v>-2812850</v>
      </c>
      <c r="V12" s="60"/>
      <c r="W12" s="38">
        <v>-37500</v>
      </c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6">
        <f>F13+H13+J13+L13+N13+P13+R13+V13+X13+AD13</f>
        <v>0</v>
      </c>
      <c r="E13" s="66">
        <f>G13+I13+K13+M13+O13+Q13+S13+W13+Y13+AE13+AC13+AA13+U13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6">
        <f>F14+H14+J14+L14+N14+P14+R14+V14+X14+AD14</f>
        <v>0</v>
      </c>
      <c r="E14" s="66">
        <f>G14+I14+K14+M14+O14+Q14+S14+W14+Y14+AE14+AC14+AA14+U14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6">
        <f>F15+H15+J15+L15+N15+P15+R15+V15+X15+AD15</f>
        <v>0</v>
      </c>
      <c r="E15" s="66">
        <f>G15+I15+K15+M15+O15+Q15+S15+W15+Y15+AE15+AC15+AA15+U15</f>
        <v>-5896651</v>
      </c>
      <c r="F15" s="60"/>
      <c r="G15" s="38">
        <v>0</v>
      </c>
      <c r="H15" s="60"/>
      <c r="I15" s="38">
        <f>-1511253-207113+28329+147</f>
        <v>-1689890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>
        <f>940000-820000</f>
        <v>120000</v>
      </c>
      <c r="V15" s="60"/>
      <c r="W15" s="38"/>
      <c r="X15" s="60"/>
      <c r="Y15" s="38">
        <v>-32500</v>
      </c>
      <c r="Z15" s="60"/>
      <c r="AA15" s="38">
        <v>-258387</v>
      </c>
      <c r="AB15" s="60"/>
      <c r="AC15" s="38">
        <v>0</v>
      </c>
      <c r="AD15" s="60"/>
      <c r="AE15" s="38">
        <f>-4033344+5417-33743+25796</f>
        <v>-4035874</v>
      </c>
    </row>
    <row r="16" spans="1:31" x14ac:dyDescent="0.2">
      <c r="A16" s="9"/>
      <c r="B16" s="7" t="s">
        <v>30</v>
      </c>
      <c r="C16" s="6"/>
      <c r="D16" s="61">
        <f t="shared" ref="D16:M16" si="0">SUM(D11:D15)</f>
        <v>0</v>
      </c>
      <c r="E16" s="39">
        <f t="shared" si="0"/>
        <v>-8015341</v>
      </c>
      <c r="F16" s="61">
        <f t="shared" si="0"/>
        <v>0</v>
      </c>
      <c r="G16" s="39">
        <f t="shared" si="0"/>
        <v>-885000</v>
      </c>
      <c r="H16" s="61">
        <f t="shared" si="0"/>
        <v>0</v>
      </c>
      <c r="I16" s="39">
        <f t="shared" si="0"/>
        <v>-1047535</v>
      </c>
      <c r="J16" s="61">
        <f t="shared" si="0"/>
        <v>0</v>
      </c>
      <c r="K16" s="39">
        <f t="shared" si="0"/>
        <v>0</v>
      </c>
      <c r="L16" s="61">
        <f t="shared" si="0"/>
        <v>0</v>
      </c>
      <c r="M16" s="39">
        <f t="shared" si="0"/>
        <v>0</v>
      </c>
      <c r="N16" s="61">
        <f t="shared" ref="N16:AE16" si="1">SUM(N11:N15)</f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>SUM(T11:T15)</f>
        <v>0</v>
      </c>
      <c r="U16" s="39">
        <f>SUM(U11:U15)</f>
        <v>-3342850</v>
      </c>
      <c r="V16" s="61">
        <f t="shared" si="1"/>
        <v>0</v>
      </c>
      <c r="W16" s="39">
        <f t="shared" si="1"/>
        <v>-37500</v>
      </c>
      <c r="X16" s="61">
        <f t="shared" si="1"/>
        <v>0</v>
      </c>
      <c r="Y16" s="39">
        <f t="shared" si="1"/>
        <v>0</v>
      </c>
      <c r="Z16" s="61">
        <f>SUM(Z11:Z15)</f>
        <v>0</v>
      </c>
      <c r="AA16" s="39">
        <f>SUM(AA11:AA15)</f>
        <v>-258387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-2444069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6">
        <f>F19+H19+J19+L19+N19+P19+R19+V19+X19+AD19</f>
        <v>0</v>
      </c>
      <c r="E19" s="66">
        <f>G19+I19+K19+M19+O19+Q19+S19+W19+Y19+AE19+AC19+AA19+U19</f>
        <v>3141328</v>
      </c>
      <c r="F19" s="60"/>
      <c r="G19" s="38">
        <f>1475000+1438642-891750+26347</f>
        <v>2048239</v>
      </c>
      <c r="H19" s="60"/>
      <c r="I19" s="38">
        <f>853514-26347-24694</f>
        <v>802473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v>258387</v>
      </c>
      <c r="AB19" s="60"/>
      <c r="AC19" s="38"/>
      <c r="AD19" s="60"/>
      <c r="AE19" s="38">
        <v>32229</v>
      </c>
    </row>
    <row r="20" spans="1:31" x14ac:dyDescent="0.2">
      <c r="A20" s="9">
        <v>7</v>
      </c>
      <c r="B20" s="7"/>
      <c r="C20" s="18" t="s">
        <v>26</v>
      </c>
      <c r="D20" s="66">
        <f>F20+H20+J20+L20+N20+P20+R20+V20+X20+AD20</f>
        <v>0</v>
      </c>
      <c r="E20" s="66">
        <f>G20+I20+K20+M20+O20+Q20+S20+W20+Y20+AE20+AC20+AA20+U20</f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6">
        <f>F21+H21+J21+L21+N21+P21+R21+V21+X21+AD21</f>
        <v>0</v>
      </c>
      <c r="E21" s="66">
        <f>G21+I21+K21+M21+O21+Q21+S21+W21+Y21+AE21+AC21+AA21+U21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6">
        <f>F22+H22+J22+L22+N22+P22+R22+V22+X22+AD22</f>
        <v>0</v>
      </c>
      <c r="E22" s="66">
        <f>G22+I22+K22+M22+O22+Q22+S22+W22+Y22+AE22+AC22+AA22+U22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6">
        <f>F23+H23+J23+L23+N23+P23+R23+V23+X23+AD23</f>
        <v>0</v>
      </c>
      <c r="E23" s="66">
        <f>G23+I23+K23+M23+O23+Q23+S23+W23+Y23+AE23+AC23+AA23+U23</f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>
        <v>0</v>
      </c>
    </row>
    <row r="24" spans="1:31" x14ac:dyDescent="0.2">
      <c r="A24" s="9"/>
      <c r="B24" s="7" t="s">
        <v>33</v>
      </c>
      <c r="C24" s="6"/>
      <c r="D24" s="61">
        <f t="shared" ref="D24:M24" si="2">SUM(D19:D23)</f>
        <v>0</v>
      </c>
      <c r="E24" s="39">
        <f t="shared" si="2"/>
        <v>3141328</v>
      </c>
      <c r="F24" s="61">
        <f t="shared" si="2"/>
        <v>0</v>
      </c>
      <c r="G24" s="39">
        <f t="shared" si="2"/>
        <v>2048239</v>
      </c>
      <c r="H24" s="61">
        <f t="shared" si="2"/>
        <v>0</v>
      </c>
      <c r="I24" s="39">
        <f t="shared" si="2"/>
        <v>802473</v>
      </c>
      <c r="J24" s="61">
        <f t="shared" si="2"/>
        <v>0</v>
      </c>
      <c r="K24" s="39">
        <f t="shared" si="2"/>
        <v>0</v>
      </c>
      <c r="L24" s="61">
        <f t="shared" si="2"/>
        <v>0</v>
      </c>
      <c r="M24" s="39">
        <f t="shared" si="2"/>
        <v>0</v>
      </c>
      <c r="N24" s="61">
        <f t="shared" ref="N24:AE24" si="3">SUM(N19:N23)</f>
        <v>0</v>
      </c>
      <c r="O24" s="39">
        <f t="shared" si="3"/>
        <v>0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0</v>
      </c>
      <c r="T24" s="61">
        <f>SUM(T19:T23)</f>
        <v>0</v>
      </c>
      <c r="U24" s="39">
        <f>SUM(U19:U23)</f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  <c r="Z24" s="61">
        <f>SUM(Z19:Z23)</f>
        <v>0</v>
      </c>
      <c r="AA24" s="39">
        <f>SUM(AA19:AA23)</f>
        <v>258387</v>
      </c>
      <c r="AB24" s="61">
        <f>SUM(AB19:AB23)</f>
        <v>0</v>
      </c>
      <c r="AC24" s="39">
        <f>SUM(AC19:AC23)</f>
        <v>0</v>
      </c>
      <c r="AD24" s="61">
        <f t="shared" si="3"/>
        <v>0</v>
      </c>
      <c r="AE24" s="39">
        <f t="shared" si="3"/>
        <v>32229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6">
        <f>F27+H27+J27+L27+N27+P27+R27+V27+X27+AD27</f>
        <v>0</v>
      </c>
      <c r="E27" s="66">
        <f>G27+I27+K27+M27+O27+Q27+S27+W27+Y27+AE27+AC27+AA27+U27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6">
        <f>F28+H28+J28+L28+N28+P28+R28+V28+X28+AD28</f>
        <v>0</v>
      </c>
      <c r="E28" s="66">
        <f>G28+I28+K28+M28+O28+Q28+S28+W28+Y28+AE28+AC28+AA28+U28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M29" si="4">SUM(D27:D28)</f>
        <v>0</v>
      </c>
      <c r="E29" s="39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ref="N29:AE29" si="5">SUM(N27:N28)</f>
        <v>0</v>
      </c>
      <c r="O29" s="39">
        <f t="shared" si="5"/>
        <v>0</v>
      </c>
      <c r="P29" s="61">
        <f t="shared" si="5"/>
        <v>0</v>
      </c>
      <c r="Q29" s="39">
        <f t="shared" si="5"/>
        <v>0</v>
      </c>
      <c r="R29" s="61">
        <f t="shared" si="5"/>
        <v>0</v>
      </c>
      <c r="S29" s="39">
        <f t="shared" si="5"/>
        <v>0</v>
      </c>
      <c r="T29" s="61">
        <f>SUM(T27:T28)</f>
        <v>0</v>
      </c>
      <c r="U29" s="39">
        <f>SUM(U27:U28)</f>
        <v>0</v>
      </c>
      <c r="V29" s="61">
        <f t="shared" si="5"/>
        <v>0</v>
      </c>
      <c r="W29" s="39">
        <f t="shared" si="5"/>
        <v>0</v>
      </c>
      <c r="X29" s="61">
        <f t="shared" si="5"/>
        <v>0</v>
      </c>
      <c r="Y29" s="39">
        <f t="shared" si="5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5"/>
        <v>0</v>
      </c>
      <c r="AE29" s="39">
        <f t="shared" si="5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6">
        <f>F32+H32+J32+L32+N32+P32+R32+V32+X32+AD32</f>
        <v>0</v>
      </c>
      <c r="E32" s="66">
        <f>G32+I32+K32+M32+O32+Q32+S32+W32+Y32+AE32+AC32+AA32+U32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6">
        <f>F33+H33+J33+L33+N33+P33+R33+V33+X33+AD33</f>
        <v>0</v>
      </c>
      <c r="E33" s="66">
        <f>G33+I33+K33+M33+O33+Q33+S33+W33+Y33+AE33+AC33+AA33+U33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6">
        <f>F34+H34+J34+L34+N34+P34+R34+V34+X34+AD34</f>
        <v>0</v>
      </c>
      <c r="E34" s="66">
        <f>G34+I34+K34+M34+O34+Q34+S34+W34+Y34+AE34+AC34+AA34+U34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6">
        <f>F35+H35+J35+L35+N35+P35+R35+V35+X35+AD35</f>
        <v>0</v>
      </c>
      <c r="E35" s="66">
        <f>G35+I35+K35+M35+O35+Q35+S35+W35+Y35+AE35+AC35+AA35+U35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O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ref="P36:AE36" si="7">SUM(P32:P34)</f>
        <v>0</v>
      </c>
      <c r="Q36" s="39">
        <f t="shared" si="7"/>
        <v>0</v>
      </c>
      <c r="R36" s="61">
        <f t="shared" si="7"/>
        <v>0</v>
      </c>
      <c r="S36" s="39">
        <f t="shared" si="7"/>
        <v>0</v>
      </c>
      <c r="T36" s="61">
        <f>SUM(T32:T34)</f>
        <v>0</v>
      </c>
      <c r="U36" s="39">
        <f>SUM(U32:U34)</f>
        <v>0</v>
      </c>
      <c r="V36" s="61">
        <f t="shared" si="7"/>
        <v>0</v>
      </c>
      <c r="W36" s="39">
        <f t="shared" si="7"/>
        <v>0</v>
      </c>
      <c r="X36" s="61">
        <f t="shared" si="7"/>
        <v>0</v>
      </c>
      <c r="Y36" s="39">
        <f t="shared" si="7"/>
        <v>0</v>
      </c>
      <c r="Z36" s="61">
        <f>SUM(Z32:Z34)</f>
        <v>0</v>
      </c>
      <c r="AA36" s="39">
        <f>SUM(AA32:AA34)</f>
        <v>0</v>
      </c>
      <c r="AB36" s="61">
        <f>SUM(AB32:AB34)</f>
        <v>0</v>
      </c>
      <c r="AC36" s="39">
        <f>SUM(AC32:AC34)</f>
        <v>0</v>
      </c>
      <c r="AD36" s="61">
        <f t="shared" si="7"/>
        <v>0</v>
      </c>
      <c r="AE36" s="39">
        <f t="shared" si="7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6">
        <f>F39+H39+J39+L39+N39+P39+R39+V39+X39+AD39</f>
        <v>0</v>
      </c>
      <c r="E39" s="66">
        <f>G39+I39+K39+M39+O39+Q39+S39+W39+Y39+AE39+AC39+AA39+U39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6">
        <f>F40+H40+J40+L40+N40+P40+R40+V40+X40+AD40</f>
        <v>0</v>
      </c>
      <c r="E40" s="66">
        <f>G40+I40+K40+M40+O40+Q40+S40+W40+Y40+AE40+AC40+AA40+U40</f>
        <v>1479659</v>
      </c>
      <c r="F40" s="60"/>
      <c r="G40" s="38"/>
      <c r="H40" s="60"/>
      <c r="I40" s="38">
        <v>-964410</v>
      </c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>
        <v>2444069</v>
      </c>
    </row>
    <row r="41" spans="1:31" x14ac:dyDescent="0.2">
      <c r="A41" s="9">
        <v>19</v>
      </c>
      <c r="B41" s="7"/>
      <c r="C41" s="18" t="s">
        <v>47</v>
      </c>
      <c r="D41" s="66">
        <f>F41+H41+J41+L41+N41+P41+R41+V41+X41+AD41</f>
        <v>0</v>
      </c>
      <c r="E41" s="66">
        <f>G41+I41+K41+M41+O41+Q41+S41+W41+Y41+AE41+AC41+AA41+U41</f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>
        <f>-524876+524876-542774+542774-509708+509708-469242</f>
        <v>-469242</v>
      </c>
      <c r="V41" s="60"/>
      <c r="W41" s="38">
        <v>469242</v>
      </c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 t="shared" ref="D42:M42" si="8">SUM(D40:D41)</f>
        <v>0</v>
      </c>
      <c r="E42" s="39">
        <f t="shared" si="8"/>
        <v>1479659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-964410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ref="N42:AE42" si="9">SUM(N40:N41)</f>
        <v>0</v>
      </c>
      <c r="O42" s="39">
        <f t="shared" si="9"/>
        <v>0</v>
      </c>
      <c r="P42" s="61">
        <f t="shared" si="9"/>
        <v>0</v>
      </c>
      <c r="Q42" s="39">
        <f t="shared" si="9"/>
        <v>0</v>
      </c>
      <c r="R42" s="61">
        <f t="shared" si="9"/>
        <v>0</v>
      </c>
      <c r="S42" s="39">
        <f t="shared" si="9"/>
        <v>0</v>
      </c>
      <c r="T42" s="61">
        <f>SUM(T40:T41)</f>
        <v>0</v>
      </c>
      <c r="U42" s="39">
        <f>SUM(U40:U41)</f>
        <v>-469242</v>
      </c>
      <c r="V42" s="61">
        <f t="shared" si="9"/>
        <v>0</v>
      </c>
      <c r="W42" s="39">
        <f t="shared" si="9"/>
        <v>469242</v>
      </c>
      <c r="X42" s="61">
        <f t="shared" si="9"/>
        <v>0</v>
      </c>
      <c r="Y42" s="39">
        <f t="shared" si="9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9"/>
        <v>0</v>
      </c>
      <c r="AE42" s="39">
        <f t="shared" si="9"/>
        <v>2444069</v>
      </c>
    </row>
    <row r="43" spans="1:31" ht="21" customHeight="1" x14ac:dyDescent="0.2">
      <c r="A43" s="9"/>
      <c r="B43" s="7" t="s">
        <v>49</v>
      </c>
      <c r="C43" s="6"/>
      <c r="D43" s="61">
        <f t="shared" ref="D43:M43" si="10">D42+D39</f>
        <v>0</v>
      </c>
      <c r="E43" s="39">
        <f t="shared" si="10"/>
        <v>1479659</v>
      </c>
      <c r="F43" s="61">
        <f t="shared" si="10"/>
        <v>0</v>
      </c>
      <c r="G43" s="39">
        <f t="shared" si="10"/>
        <v>0</v>
      </c>
      <c r="H43" s="61">
        <f t="shared" si="10"/>
        <v>0</v>
      </c>
      <c r="I43" s="39">
        <f t="shared" si="10"/>
        <v>-964410</v>
      </c>
      <c r="J43" s="61">
        <f t="shared" si="10"/>
        <v>0</v>
      </c>
      <c r="K43" s="39">
        <f t="shared" si="10"/>
        <v>0</v>
      </c>
      <c r="L43" s="61">
        <f t="shared" si="10"/>
        <v>0</v>
      </c>
      <c r="M43" s="39">
        <f t="shared" si="10"/>
        <v>0</v>
      </c>
      <c r="N43" s="61">
        <f t="shared" ref="N43:AE43" si="11">N42+N39</f>
        <v>0</v>
      </c>
      <c r="O43" s="39">
        <f t="shared" si="11"/>
        <v>0</v>
      </c>
      <c r="P43" s="61">
        <f t="shared" si="11"/>
        <v>0</v>
      </c>
      <c r="Q43" s="39">
        <f t="shared" si="11"/>
        <v>0</v>
      </c>
      <c r="R43" s="61">
        <f t="shared" si="11"/>
        <v>0</v>
      </c>
      <c r="S43" s="39">
        <f t="shared" si="11"/>
        <v>0</v>
      </c>
      <c r="T43" s="61">
        <f>T42+T39</f>
        <v>0</v>
      </c>
      <c r="U43" s="39">
        <f>U42+U39</f>
        <v>-469242</v>
      </c>
      <c r="V43" s="61">
        <f t="shared" si="11"/>
        <v>0</v>
      </c>
      <c r="W43" s="39">
        <f t="shared" si="11"/>
        <v>469242</v>
      </c>
      <c r="X43" s="61">
        <f t="shared" si="11"/>
        <v>0</v>
      </c>
      <c r="Y43" s="39">
        <f t="shared" si="11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1"/>
        <v>0</v>
      </c>
      <c r="AE43" s="39">
        <f t="shared" si="11"/>
        <v>2444069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6">
        <f>F45+H45+J45+L45+N45+P45+R45+V45+X45+AD45</f>
        <v>0</v>
      </c>
      <c r="E45" s="66">
        <f>G45+I45+K45+M45+O45+Q45+S45+W45+Y45+AE45+AC45+AA45+U45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6">
        <f>F47+H47+J47+L47+N47+P47+R47+V47+X47+AD47</f>
        <v>0</v>
      </c>
      <c r="E47" s="66">
        <f>G47+I47+K47+M47+O47+Q47+S47+W47+Y47+AE47+AC47+AA47+U47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6">
        <f>F49+H49+J49+L49+N49+P49+R49+V49+X49+AD49</f>
        <v>0</v>
      </c>
      <c r="E49" s="66">
        <f>G49+I49+K49+M49+O49+Q49+S49+W49+Y49+AE49+AC49+AA49+U49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6">
        <f>F51+H51+J51+L51+N51+P51+R51+V51+X51+AD51</f>
        <v>0</v>
      </c>
      <c r="E51" s="66">
        <f>G51+I51+K51+M51+O51+Q51+S51+W51+Y51+AE51+AC51+AA51+U51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6">
        <f>F54+H54+J54+L54+N54+P54+R54+V54+X54+AD54</f>
        <v>0</v>
      </c>
      <c r="E54" s="66">
        <f>G54+I54+K54+M54+O54+Q54+S54+W54+Y54+AE54+AC54+AA54+U54</f>
        <v>243196</v>
      </c>
      <c r="F54" s="60"/>
      <c r="G54" s="38"/>
      <c r="H54" s="60"/>
      <c r="I54" s="38">
        <f>158773+14190+3333+110+84081+16385+5100+24694-14190+7617-1348+1156</f>
        <v>299901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>
        <v>4125</v>
      </c>
      <c r="V54" s="60"/>
      <c r="W54" s="38"/>
      <c r="X54" s="60"/>
      <c r="Y54" s="38"/>
      <c r="Z54" s="60"/>
      <c r="AA54" s="38">
        <f>-14190+14190</f>
        <v>0</v>
      </c>
      <c r="AB54" s="60"/>
      <c r="AC54" s="38"/>
      <c r="AD54" s="60"/>
      <c r="AE54" s="38">
        <f>-32229-3333-110-16385-7617-1156</f>
        <v>-60830</v>
      </c>
    </row>
    <row r="55" spans="1:31" x14ac:dyDescent="0.2">
      <c r="A55" s="9">
        <v>25</v>
      </c>
      <c r="B55" s="7"/>
      <c r="C55" s="18" t="s">
        <v>56</v>
      </c>
      <c r="D55" s="66">
        <f>F55+H55+J55+L55+N55+P55+R55+V55+X55+AD55</f>
        <v>0</v>
      </c>
      <c r="E55" s="66">
        <f>G55+I55+K55+M55+O55+Q55+S55+W55+Y55+AE55+AC55+AA55+U55</f>
        <v>209067</v>
      </c>
      <c r="F55" s="60"/>
      <c r="G55" s="38">
        <f>54000+32546+17013+10860</f>
        <v>114419</v>
      </c>
      <c r="H55" s="60"/>
      <c r="I55" s="38">
        <f>34003+25901-20850+1348</f>
        <v>40402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>
        <v>93300</v>
      </c>
      <c r="V55" s="60"/>
      <c r="W55" s="38"/>
      <c r="X55" s="60"/>
      <c r="Y55" s="38">
        <v>0</v>
      </c>
      <c r="Z55" s="60"/>
      <c r="AA55" s="38"/>
      <c r="AB55" s="60"/>
      <c r="AC55" s="38"/>
      <c r="AD55" s="60"/>
      <c r="AE55" s="38">
        <f>-34003-25901+20850</f>
        <v>-39054</v>
      </c>
    </row>
    <row r="56" spans="1:31" x14ac:dyDescent="0.2">
      <c r="A56" s="9"/>
      <c r="B56" s="7" t="s">
        <v>57</v>
      </c>
      <c r="C56" s="6"/>
      <c r="D56" s="61">
        <f t="shared" ref="D56:M56" si="12">SUM(D54:D55)</f>
        <v>0</v>
      </c>
      <c r="E56" s="39">
        <f t="shared" si="12"/>
        <v>452263</v>
      </c>
      <c r="F56" s="61">
        <f t="shared" si="12"/>
        <v>0</v>
      </c>
      <c r="G56" s="39">
        <f t="shared" si="12"/>
        <v>114419</v>
      </c>
      <c r="H56" s="61">
        <f t="shared" si="12"/>
        <v>0</v>
      </c>
      <c r="I56" s="39">
        <f t="shared" si="12"/>
        <v>340303</v>
      </c>
      <c r="J56" s="61">
        <f t="shared" si="12"/>
        <v>0</v>
      </c>
      <c r="K56" s="39">
        <f t="shared" si="12"/>
        <v>0</v>
      </c>
      <c r="L56" s="61">
        <f t="shared" si="12"/>
        <v>0</v>
      </c>
      <c r="M56" s="39">
        <f t="shared" si="12"/>
        <v>0</v>
      </c>
      <c r="N56" s="61">
        <f t="shared" ref="N56:AE56" si="13">SUM(N54:N55)</f>
        <v>0</v>
      </c>
      <c r="O56" s="39">
        <f t="shared" si="13"/>
        <v>0</v>
      </c>
      <c r="P56" s="61">
        <f t="shared" si="13"/>
        <v>0</v>
      </c>
      <c r="Q56" s="39">
        <f t="shared" si="13"/>
        <v>0</v>
      </c>
      <c r="R56" s="61">
        <f t="shared" si="13"/>
        <v>0</v>
      </c>
      <c r="S56" s="39">
        <f t="shared" si="13"/>
        <v>0</v>
      </c>
      <c r="T56" s="61">
        <f>SUM(T54:T55)</f>
        <v>0</v>
      </c>
      <c r="U56" s="39">
        <f>SUM(U54:U55)</f>
        <v>97425</v>
      </c>
      <c r="V56" s="61">
        <f t="shared" si="13"/>
        <v>0</v>
      </c>
      <c r="W56" s="39">
        <f t="shared" si="13"/>
        <v>0</v>
      </c>
      <c r="X56" s="61">
        <f t="shared" si="13"/>
        <v>0</v>
      </c>
      <c r="Y56" s="39">
        <f t="shared" si="13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3"/>
        <v>0</v>
      </c>
      <c r="AE56" s="39">
        <f t="shared" si="13"/>
        <v>-99884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6">
        <f>F59+H59+J59+L59+N59+P59+R59+V59+X59+AD59</f>
        <v>0</v>
      </c>
      <c r="E59" s="66">
        <f>G59+I59+K59+M59+O59+Q59+S59+W59+Y59+AE59+AC59+AA59+U59</f>
        <v>24021</v>
      </c>
      <c r="F59" s="60"/>
      <c r="G59" s="38"/>
      <c r="H59" s="60"/>
      <c r="I59" s="38">
        <v>24021</v>
      </c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6">
        <f>F60+H60+J60+L60+N60+P60+R60+V60+X60+AD60</f>
        <v>0</v>
      </c>
      <c r="E60" s="66">
        <f>G60+I60+K60+M60+O60+Q60+S60+W60+Y60+AE60+AC60+AA60+U60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M61" si="14">SUM(D59:D60)</f>
        <v>0</v>
      </c>
      <c r="E61" s="39">
        <f t="shared" si="14"/>
        <v>24021</v>
      </c>
      <c r="F61" s="61">
        <f t="shared" si="14"/>
        <v>0</v>
      </c>
      <c r="G61" s="39">
        <f t="shared" si="14"/>
        <v>0</v>
      </c>
      <c r="H61" s="61">
        <f t="shared" si="14"/>
        <v>0</v>
      </c>
      <c r="I61" s="39">
        <f t="shared" si="14"/>
        <v>24021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  <c r="N61" s="61">
        <f t="shared" ref="N61:AE61" si="15">SUM(N59:N60)</f>
        <v>0</v>
      </c>
      <c r="O61" s="39">
        <f t="shared" si="15"/>
        <v>0</v>
      </c>
      <c r="P61" s="61">
        <f t="shared" si="15"/>
        <v>0</v>
      </c>
      <c r="Q61" s="39">
        <f t="shared" si="15"/>
        <v>0</v>
      </c>
      <c r="R61" s="61">
        <f t="shared" si="15"/>
        <v>0</v>
      </c>
      <c r="S61" s="39">
        <f t="shared" si="15"/>
        <v>0</v>
      </c>
      <c r="T61" s="61">
        <f>SUM(T59:T60)</f>
        <v>0</v>
      </c>
      <c r="U61" s="39">
        <f>SUM(U59:U60)</f>
        <v>0</v>
      </c>
      <c r="V61" s="61">
        <f t="shared" si="15"/>
        <v>0</v>
      </c>
      <c r="W61" s="39">
        <f t="shared" si="15"/>
        <v>0</v>
      </c>
      <c r="X61" s="61">
        <f t="shared" si="15"/>
        <v>0</v>
      </c>
      <c r="Y61" s="39">
        <f t="shared" si="15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5"/>
        <v>0</v>
      </c>
      <c r="AE61" s="39">
        <f t="shared" si="15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6">
        <f>F64+H64+J64+L64+N64+P64+R64+V64+X64+AD64</f>
        <v>0</v>
      </c>
      <c r="E64" s="66">
        <f>G64+I64+K64+M64+O64+Q64+S64+W64+Y64+AE64+AC64+AA64+U64</f>
        <v>10000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>
        <v>10000</v>
      </c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6">
        <f>F65+H65+J65+L65+N65+P65+R65+V65+X65+AD65</f>
        <v>0</v>
      </c>
      <c r="E65" s="66">
        <f>G65+I65+K65+M65+O65+Q65+S65+W65+Y65+AE65+AC65+AA65+U65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M66" si="16">SUM(D64:D65)</f>
        <v>0</v>
      </c>
      <c r="E66" s="39">
        <f t="shared" si="16"/>
        <v>10000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  <c r="N66" s="61">
        <f t="shared" ref="N66:AE66" si="17">SUM(N64:N65)</f>
        <v>0</v>
      </c>
      <c r="O66" s="39">
        <f t="shared" si="17"/>
        <v>0</v>
      </c>
      <c r="P66" s="61">
        <f t="shared" si="17"/>
        <v>0</v>
      </c>
      <c r="Q66" s="39">
        <f t="shared" si="17"/>
        <v>0</v>
      </c>
      <c r="R66" s="61">
        <f t="shared" si="17"/>
        <v>0</v>
      </c>
      <c r="S66" s="39">
        <f t="shared" si="17"/>
        <v>0</v>
      </c>
      <c r="T66" s="61">
        <f>SUM(T64:T65)</f>
        <v>0</v>
      </c>
      <c r="U66" s="39">
        <f>SUM(U64:U65)</f>
        <v>10000</v>
      </c>
      <c r="V66" s="61">
        <f t="shared" si="17"/>
        <v>0</v>
      </c>
      <c r="W66" s="39">
        <f t="shared" si="17"/>
        <v>0</v>
      </c>
      <c r="X66" s="61">
        <f t="shared" si="17"/>
        <v>0</v>
      </c>
      <c r="Y66" s="39">
        <f t="shared" si="17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17"/>
        <v>0</v>
      </c>
      <c r="AE66" s="39">
        <f t="shared" si="17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6">
        <f>F70+H70+J70+L70+N70+P70+R70+V70+X70+AD70</f>
        <v>0</v>
      </c>
      <c r="E70" s="66">
        <f>G70+I70+K70+M70+O70+Q70+S70+W70+Y70+AE70+AC70+AA70+U70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6">
        <f>F71+H71+J71+L71+N71+P71+R71+V71+X71+AD71</f>
        <v>0</v>
      </c>
      <c r="E71" s="66">
        <f>G71+I71+K71+M71+O71+Q71+S71+W71+Y71+AE71+AC71+AA71+U71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 t="shared" ref="D72:M72" si="18">SUM(D70:D71)</f>
        <v>0</v>
      </c>
      <c r="E72" s="39">
        <f t="shared" si="18"/>
        <v>0</v>
      </c>
      <c r="F72" s="61">
        <f t="shared" si="18"/>
        <v>0</v>
      </c>
      <c r="G72" s="39">
        <f t="shared" si="18"/>
        <v>0</v>
      </c>
      <c r="H72" s="61">
        <f t="shared" si="18"/>
        <v>0</v>
      </c>
      <c r="I72" s="39">
        <f t="shared" si="18"/>
        <v>0</v>
      </c>
      <c r="J72" s="61">
        <f t="shared" si="18"/>
        <v>0</v>
      </c>
      <c r="K72" s="39">
        <f t="shared" si="18"/>
        <v>0</v>
      </c>
      <c r="L72" s="61">
        <f t="shared" si="18"/>
        <v>0</v>
      </c>
      <c r="M72" s="39">
        <f t="shared" si="18"/>
        <v>0</v>
      </c>
      <c r="N72" s="61">
        <f t="shared" ref="N72:AE72" si="19">SUM(N70:N71)</f>
        <v>0</v>
      </c>
      <c r="O72" s="39">
        <f t="shared" si="19"/>
        <v>0</v>
      </c>
      <c r="P72" s="61">
        <f t="shared" si="19"/>
        <v>0</v>
      </c>
      <c r="Q72" s="39">
        <f t="shared" si="19"/>
        <v>0</v>
      </c>
      <c r="R72" s="61">
        <f t="shared" si="19"/>
        <v>0</v>
      </c>
      <c r="S72" s="39">
        <f t="shared" si="19"/>
        <v>0</v>
      </c>
      <c r="T72" s="61">
        <f>SUM(T70:T71)</f>
        <v>0</v>
      </c>
      <c r="U72" s="39">
        <f>SUM(U70:U71)</f>
        <v>0</v>
      </c>
      <c r="V72" s="61">
        <f t="shared" si="19"/>
        <v>0</v>
      </c>
      <c r="W72" s="39">
        <f t="shared" si="19"/>
        <v>0</v>
      </c>
      <c r="X72" s="61">
        <f t="shared" si="19"/>
        <v>0</v>
      </c>
      <c r="Y72" s="39">
        <f t="shared" si="19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19"/>
        <v>0</v>
      </c>
      <c r="AE72" s="39">
        <f t="shared" si="19"/>
        <v>0</v>
      </c>
    </row>
    <row r="73" spans="1:31" x14ac:dyDescent="0.2">
      <c r="A73" s="9">
        <v>32</v>
      </c>
      <c r="B73" s="3"/>
      <c r="C73" s="10" t="s">
        <v>70</v>
      </c>
      <c r="D73" s="66">
        <f t="shared" ref="D73:D81" si="20">F73+H73+J73+L73+N73+P73+R73+V73+X73+AD73</f>
        <v>0</v>
      </c>
      <c r="E73" s="66">
        <f t="shared" ref="E73:E81" si="21">G73+I73+K73+M73+O73+Q73+S73+W73+Y73+AE73+AC73+AA73+U73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6">
        <f t="shared" si="20"/>
        <v>0</v>
      </c>
      <c r="E74" s="66">
        <f t="shared" si="21"/>
        <v>2598529</v>
      </c>
      <c r="F74" s="60"/>
      <c r="G74" s="38">
        <f>-1475000-1438642+891750+885000-100000-54000-32546-17013-10860+682650-240000-139500+74003-1208550</f>
        <v>-2182708</v>
      </c>
      <c r="H74" s="60"/>
      <c r="I74" s="38">
        <f>672900+228034-84081-5100+964410+170000</f>
        <v>1946163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1877850-672900+100000-59293-9382</f>
        <v>1236275</v>
      </c>
      <c r="V74" s="60"/>
      <c r="W74" s="38">
        <f>820000+170000+59293+9382+37500+240000-170000+139500</f>
        <v>1305675</v>
      </c>
      <c r="X74" s="60"/>
      <c r="Y74" s="38">
        <f>-74003+682000-682650</f>
        <v>-74653</v>
      </c>
      <c r="Z74" s="60"/>
      <c r="AA74" s="38">
        <f>-682650+1208550-682000+682650</f>
        <v>526550</v>
      </c>
      <c r="AB74" s="60"/>
      <c r="AC74" s="38">
        <v>0</v>
      </c>
      <c r="AD74" s="60"/>
      <c r="AE74" s="38">
        <v>-158773</v>
      </c>
    </row>
    <row r="75" spans="1:31" x14ac:dyDescent="0.2">
      <c r="A75" s="9">
        <v>34</v>
      </c>
      <c r="B75" s="3"/>
      <c r="C75" s="10" t="s">
        <v>72</v>
      </c>
      <c r="D75" s="66">
        <f t="shared" si="20"/>
        <v>0</v>
      </c>
      <c r="E75" s="66">
        <f t="shared" si="21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6">
        <f t="shared" si="20"/>
        <v>0</v>
      </c>
      <c r="E76" s="66">
        <f t="shared" si="21"/>
        <v>-4125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-4125</v>
      </c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6">
        <f t="shared" si="20"/>
        <v>0</v>
      </c>
      <c r="E77" s="66">
        <f t="shared" si="21"/>
        <v>-108300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f>-10000-98300</f>
        <v>-108300</v>
      </c>
      <c r="V77" s="60"/>
      <c r="W77" s="38">
        <v>0</v>
      </c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6">
        <f t="shared" si="20"/>
        <v>0</v>
      </c>
      <c r="E78" s="66">
        <f t="shared" si="21"/>
        <v>26963</v>
      </c>
      <c r="F78" s="60"/>
      <c r="G78" s="38"/>
      <c r="H78" s="60"/>
      <c r="I78" s="38">
        <v>26963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6">
        <f t="shared" si="20"/>
        <v>0</v>
      </c>
      <c r="E79" s="66">
        <f t="shared" si="21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6">
        <f t="shared" si="20"/>
        <v>0</v>
      </c>
      <c r="E80" s="66">
        <f t="shared" si="21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6">
        <f t="shared" si="20"/>
        <v>0</v>
      </c>
      <c r="E81" s="66">
        <f t="shared" si="21"/>
        <v>395003</v>
      </c>
      <c r="F81" s="60"/>
      <c r="G81" s="38"/>
      <c r="H81" s="60"/>
      <c r="I81" s="38">
        <f>-228034-26963</f>
        <v>-254997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650000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2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-905050</v>
      </c>
      <c r="H82" s="91">
        <f>H16+H24+H29+H36+H43+H45+H47+H49</f>
        <v>0</v>
      </c>
      <c r="I82" s="92">
        <f>SUM(I72:I81)+I16+I24+I29+I36+I43+I45+I47+I49+I51+I56+I61+I66</f>
        <v>872981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-1930817</v>
      </c>
      <c r="V82" s="91">
        <f>V16+V24+V29+V36+V43+V45+V47+V49</f>
        <v>0</v>
      </c>
      <c r="W82" s="92">
        <f>SUM(W72:W81)+W16+W24+W29+W36+W43+W45+W47+W49+W51+W56+W61+W66</f>
        <v>1737417</v>
      </c>
      <c r="X82" s="91">
        <f>X16+X24+X29+X36+X43+X45+X47+X49</f>
        <v>0</v>
      </c>
      <c r="Y82" s="92">
        <f>SUM(Y72:Y81)+Y16+Y24+Y29+Y36+Y43+Y45+Y47+Y49+Y51+Y56+Y61+Y66</f>
        <v>-74653</v>
      </c>
      <c r="Z82" s="91">
        <f>Z16+Z24+Z29+Z36+Z43+Z45+Z47+Z49</f>
        <v>0</v>
      </c>
      <c r="AA82" s="92">
        <f>SUM(AA72:AA81)+AA16+AA24+AA29+AA36+AA43+AA45+AA47+AA49+AA51+AA56+AA61+AA66</f>
        <v>526550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-226428</v>
      </c>
      <c r="AF82" s="96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M84" s="45"/>
    </row>
    <row r="85" spans="1:32" x14ac:dyDescent="0.2">
      <c r="A85" s="4"/>
      <c r="B85" s="3"/>
      <c r="S85" s="45"/>
      <c r="U85" s="45"/>
    </row>
    <row r="86" spans="1:32" x14ac:dyDescent="0.2">
      <c r="A86" s="4"/>
      <c r="B86" s="3"/>
    </row>
    <row r="87" spans="1:32" x14ac:dyDescent="0.2">
      <c r="A87" s="4"/>
      <c r="B87" s="3"/>
    </row>
    <row r="88" spans="1:32" x14ac:dyDescent="0.2">
      <c r="A88" s="4"/>
      <c r="B88" s="3"/>
    </row>
    <row r="89" spans="1:32" x14ac:dyDescent="0.2">
      <c r="A89" s="4"/>
      <c r="B89" s="3"/>
    </row>
    <row r="90" spans="1:32" x14ac:dyDescent="0.2">
      <c r="A90" s="4"/>
      <c r="B90" s="3"/>
    </row>
    <row r="91" spans="1:32" x14ac:dyDescent="0.2">
      <c r="A91" s="4"/>
      <c r="B91" s="3"/>
    </row>
    <row r="92" spans="1:32" x14ac:dyDescent="0.2">
      <c r="A92" s="4"/>
      <c r="B92" s="3"/>
    </row>
    <row r="93" spans="1:32" x14ac:dyDescent="0.2">
      <c r="A93" s="4"/>
      <c r="B93" s="3"/>
    </row>
    <row r="94" spans="1:32" x14ac:dyDescent="0.2">
      <c r="A94" s="4"/>
      <c r="B94" s="3"/>
    </row>
    <row r="95" spans="1:32" x14ac:dyDescent="0.2">
      <c r="A95" s="4"/>
      <c r="B95" s="3"/>
    </row>
    <row r="96" spans="1:3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7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11813102</v>
      </c>
      <c r="E11" s="66">
        <f>'EAST-LRC-FLSH'!M11</f>
        <v>33001683</v>
      </c>
      <c r="F11" s="60">
        <f>'EAST-LRC-GL'!D11</f>
        <v>7122536</v>
      </c>
      <c r="G11" s="38">
        <f>'EAST-LRC-GL'!E11</f>
        <v>21173861.32</v>
      </c>
      <c r="H11" s="60">
        <f>F11-D11</f>
        <v>-4690566</v>
      </c>
      <c r="I11" s="38">
        <f>G11-E11</f>
        <v>-11827821.68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369257.45</v>
      </c>
      <c r="H12" s="60">
        <f>F12-D12</f>
        <v>0</v>
      </c>
      <c r="I12" s="38">
        <f>G12-E12</f>
        <v>369257.45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11813102</v>
      </c>
      <c r="E16" s="39">
        <f t="shared" si="1"/>
        <v>33001683</v>
      </c>
      <c r="F16" s="61">
        <f t="shared" si="1"/>
        <v>7122536</v>
      </c>
      <c r="G16" s="39">
        <f t="shared" si="1"/>
        <v>21543118.77</v>
      </c>
      <c r="H16" s="61">
        <f t="shared" si="1"/>
        <v>-4690566</v>
      </c>
      <c r="I16" s="39">
        <f t="shared" si="1"/>
        <v>-11458564.23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-11822373</v>
      </c>
      <c r="E19" s="66">
        <f>'EAST-LRC-FLSH'!M19</f>
        <v>-28401276.02337328</v>
      </c>
      <c r="F19" s="60">
        <f>'EAST-LRC-GL'!D19</f>
        <v>-921017</v>
      </c>
      <c r="G19" s="38">
        <f>'EAST-LRC-GL'!E19</f>
        <v>-2734701.2900000005</v>
      </c>
      <c r="H19" s="60">
        <f>F19-D19</f>
        <v>10901356</v>
      </c>
      <c r="I19" s="38">
        <f>G19-E19</f>
        <v>25666574.733373281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24949</v>
      </c>
      <c r="G23" s="38">
        <f>'EAST-LRC-GL'!E23</f>
        <v>53800.840000000011</v>
      </c>
      <c r="H23" s="60">
        <f t="shared" si="2"/>
        <v>24949</v>
      </c>
      <c r="I23" s="38">
        <f t="shared" si="2"/>
        <v>53800.840000000011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-11822373</v>
      </c>
      <c r="E24" s="39">
        <f t="shared" si="3"/>
        <v>-28401276.02337328</v>
      </c>
      <c r="F24" s="61">
        <f t="shared" si="3"/>
        <v>-896068</v>
      </c>
      <c r="G24" s="39">
        <f t="shared" si="3"/>
        <v>-2680900.4500000007</v>
      </c>
      <c r="H24" s="61">
        <f t="shared" si="3"/>
        <v>10926305</v>
      </c>
      <c r="I24" s="39">
        <f t="shared" si="3"/>
        <v>25720375.57337328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3621470</v>
      </c>
      <c r="G27" s="38">
        <f>'EAST-LRC-GL'!E27</f>
        <v>8703193.6800000016</v>
      </c>
      <c r="H27" s="60">
        <f>F27-D27</f>
        <v>3621470</v>
      </c>
      <c r="I27" s="38">
        <f>G27-E27</f>
        <v>8703193.6800000016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-9096312</v>
      </c>
      <c r="G28" s="38">
        <f>'EAST-LRC-GL'!E28</f>
        <v>-21240306.010000002</v>
      </c>
      <c r="H28" s="60">
        <f>F28-D28</f>
        <v>-9096312</v>
      </c>
      <c r="I28" s="38">
        <f>G28-E28</f>
        <v>-21240306.010000002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-5474842</v>
      </c>
      <c r="G29" s="70">
        <f t="shared" si="4"/>
        <v>-12537112.33</v>
      </c>
      <c r="H29" s="69">
        <f t="shared" si="4"/>
        <v>-5474842</v>
      </c>
      <c r="I29" s="70">
        <f t="shared" si="4"/>
        <v>-12537112.33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147531</v>
      </c>
      <c r="G32" s="38">
        <f>'EAST-LRC-GL'!E32</f>
        <v>455133.13000000006</v>
      </c>
      <c r="H32" s="60">
        <f>F32-D32</f>
        <v>147531</v>
      </c>
      <c r="I32" s="38">
        <f>G32-E32</f>
        <v>455133.13000000006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147531</v>
      </c>
      <c r="G36" s="39">
        <f t="shared" si="6"/>
        <v>455133.13000000006</v>
      </c>
      <c r="H36" s="61">
        <f t="shared" si="6"/>
        <v>147531</v>
      </c>
      <c r="I36" s="39">
        <f t="shared" si="6"/>
        <v>455133.13000000006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669651</v>
      </c>
      <c r="E39" s="66">
        <f>'EAST-LRC-FLSH'!M39</f>
        <v>2049132</v>
      </c>
      <c r="F39" s="60">
        <f>'EAST-LRC-GL'!D39</f>
        <v>717156</v>
      </c>
      <c r="G39" s="38">
        <f>'EAST-LRC-GL'!E39</f>
        <v>1387625.14</v>
      </c>
      <c r="H39" s="60">
        <f t="shared" ref="H39:I41" si="7">F39-D39</f>
        <v>47505</v>
      </c>
      <c r="I39" s="38">
        <f t="shared" si="7"/>
        <v>-661506.8600000001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-1704571</v>
      </c>
      <c r="E40" s="66">
        <f>'EAST-LRC-FLSH'!M40</f>
        <v>-5215985</v>
      </c>
      <c r="F40" s="60">
        <f>'EAST-LRC-GL'!D40</f>
        <v>-1813736</v>
      </c>
      <c r="G40" s="38">
        <f>'EAST-LRC-GL'!E40</f>
        <v>-3509397.79</v>
      </c>
      <c r="H40" s="60">
        <f t="shared" si="7"/>
        <v>-109165</v>
      </c>
      <c r="I40" s="38">
        <f t="shared" si="7"/>
        <v>1706587.21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-1704571</v>
      </c>
      <c r="E42" s="70">
        <f t="shared" si="8"/>
        <v>-5215985</v>
      </c>
      <c r="F42" s="69">
        <f t="shared" si="8"/>
        <v>-1813736</v>
      </c>
      <c r="G42" s="70">
        <f t="shared" si="8"/>
        <v>-3509397.79</v>
      </c>
      <c r="H42" s="69">
        <f t="shared" si="8"/>
        <v>-109165</v>
      </c>
      <c r="I42" s="70">
        <f t="shared" si="8"/>
        <v>1706587.21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-1034920</v>
      </c>
      <c r="E43" s="39">
        <f t="shared" si="9"/>
        <v>-3166853</v>
      </c>
      <c r="F43" s="61">
        <f t="shared" si="9"/>
        <v>-1096580</v>
      </c>
      <c r="G43" s="39">
        <f t="shared" si="9"/>
        <v>-2121772.6500000004</v>
      </c>
      <c r="H43" s="61">
        <f t="shared" si="9"/>
        <v>-61660</v>
      </c>
      <c r="I43" s="39">
        <f t="shared" si="9"/>
        <v>1045080.3499999999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-5073</v>
      </c>
      <c r="G45" s="38">
        <f>'EAST-LRC-GL'!E45</f>
        <v>-8671.7900000000009</v>
      </c>
      <c r="H45" s="60">
        <f>F45-D45</f>
        <v>-5073</v>
      </c>
      <c r="I45" s="38">
        <f>G45-E45</f>
        <v>-8671.7900000000009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984191</v>
      </c>
      <c r="E49" s="66">
        <f>'EAST-LRC-FLSH'!M49</f>
        <v>2884134.6433662344</v>
      </c>
      <c r="F49" s="60">
        <f>'EAST-LRC-GL'!D49</f>
        <v>202496</v>
      </c>
      <c r="G49" s="38">
        <f>'EAST-LRC-GL'!E49</f>
        <v>624700.16999999981</v>
      </c>
      <c r="H49" s="60">
        <f>F49-D49</f>
        <v>-781695</v>
      </c>
      <c r="I49" s="38">
        <f>G49-E49</f>
        <v>-2259434.4733662345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-33749</v>
      </c>
      <c r="G51" s="38">
        <f>'EAST-LRC-GL'!E51</f>
        <v>-79118.430000000008</v>
      </c>
      <c r="H51" s="60">
        <f>F51-D51</f>
        <v>-33749</v>
      </c>
      <c r="I51" s="38">
        <f>G51-E51</f>
        <v>-79118.430000000008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-77209</v>
      </c>
      <c r="G54" s="38">
        <f>'EAST-LRC-GL'!E54</f>
        <v>-2513.4</v>
      </c>
      <c r="H54" s="60">
        <f>F54-D54</f>
        <v>-77209</v>
      </c>
      <c r="I54" s="38">
        <f>G54-E54</f>
        <v>-2513.4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-77209</v>
      </c>
      <c r="G56" s="39">
        <f t="shared" si="10"/>
        <v>-2513.4</v>
      </c>
      <c r="H56" s="61">
        <f t="shared" si="10"/>
        <v>-77209</v>
      </c>
      <c r="I56" s="39">
        <f t="shared" si="10"/>
        <v>-2513.4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2707106</v>
      </c>
      <c r="G59" s="38">
        <f>'EAST-LRC-GL'!E59</f>
        <v>92493.88</v>
      </c>
      <c r="H59" s="60">
        <f>F59-D59</f>
        <v>2707106</v>
      </c>
      <c r="I59" s="38">
        <f>G59-E59</f>
        <v>92493.88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82527</v>
      </c>
      <c r="F60" s="60">
        <f>'EAST-LRC-GL'!D60</f>
        <v>169670</v>
      </c>
      <c r="G60" s="38">
        <f>'EAST-LRC-GL'!E60</f>
        <v>170000</v>
      </c>
      <c r="H60" s="60">
        <f>F60-D60</f>
        <v>169670</v>
      </c>
      <c r="I60" s="38">
        <f>G60-E60</f>
        <v>87473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82527</v>
      </c>
      <c r="F61" s="69">
        <f t="shared" si="11"/>
        <v>2876776</v>
      </c>
      <c r="G61" s="70">
        <f t="shared" si="11"/>
        <v>262493.88</v>
      </c>
      <c r="H61" s="69">
        <f t="shared" si="11"/>
        <v>2876776</v>
      </c>
      <c r="I61" s="70">
        <f t="shared" si="11"/>
        <v>179966.88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-19819750</v>
      </c>
      <c r="G64" s="38">
        <f>'EAST-LRC-GL'!E64</f>
        <v>-2307498.6999999997</v>
      </c>
      <c r="H64" s="60">
        <f>F64-D64</f>
        <v>-19819750</v>
      </c>
      <c r="I64" s="38">
        <f>G64-E64</f>
        <v>-2307498.6999999997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19966444</v>
      </c>
      <c r="G65" s="38">
        <f>'EAST-LRC-GL'!E65</f>
        <v>2310632.2999999993</v>
      </c>
      <c r="H65" s="60">
        <f>F65-D65</f>
        <v>19966444</v>
      </c>
      <c r="I65" s="38">
        <f>G65-E65</f>
        <v>2310632.2999999993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146694</v>
      </c>
      <c r="G66" s="39">
        <f t="shared" si="12"/>
        <v>3133.5999999996275</v>
      </c>
      <c r="H66" s="61">
        <f t="shared" si="12"/>
        <v>146694</v>
      </c>
      <c r="I66" s="39">
        <f t="shared" si="12"/>
        <v>3133.5999999996275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503215.61999295466</v>
      </c>
      <c r="F82" s="71">
        <f>F16+F24+F29+F36+F43+F45+F47+F49</f>
        <v>0</v>
      </c>
      <c r="G82" s="72">
        <f>SUM(G72:G81)+G16+G24+G29+G36+G43+G45+G47+G49+G51+G56+G61+G66</f>
        <v>5458490.4999999991</v>
      </c>
      <c r="H82" s="71">
        <f>H16+H24+H29+H36+H43+H45+H47+H49</f>
        <v>60000</v>
      </c>
      <c r="I82" s="72">
        <f>SUM(I72:I81)+I16+I24+I29+I36+I43+I45+I47+I49+I51+I56+I61+I66</f>
        <v>4955274.8800070444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112606163</v>
      </c>
      <c r="E11" s="66">
        <f>'EAST-CON-FLSH'!M11</f>
        <v>323822835</v>
      </c>
      <c r="F11" s="60">
        <f>'EAST-CON-GL '!D11</f>
        <v>101010654</v>
      </c>
      <c r="G11" s="38">
        <f>'EAST-CON-GL '!E11</f>
        <v>299427556.35999995</v>
      </c>
      <c r="H11" s="60">
        <f>F11-D11</f>
        <v>-11595509</v>
      </c>
      <c r="I11" s="38">
        <f>G11-E11</f>
        <v>-24395278.640000045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-1855894.5200000003</v>
      </c>
      <c r="H12" s="60">
        <f>F12-D12</f>
        <v>0</v>
      </c>
      <c r="I12" s="38">
        <f>G12-E12</f>
        <v>-1855894.5200000003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34376354</v>
      </c>
      <c r="E13" s="66">
        <f>'EAST-CON-FLSH'!M13</f>
        <v>87323206</v>
      </c>
      <c r="F13" s="60">
        <f>'EAST-CON-GL '!D13</f>
        <v>34376354</v>
      </c>
      <c r="G13" s="38">
        <f>'EAST-CON-GL '!E13</f>
        <v>87323206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-481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481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911450.15</v>
      </c>
      <c r="H15" s="60">
        <f t="shared" si="0"/>
        <v>0</v>
      </c>
      <c r="I15" s="38">
        <f t="shared" si="0"/>
        <v>911450.15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146982517</v>
      </c>
      <c r="E16" s="39">
        <f t="shared" si="1"/>
        <v>411145560</v>
      </c>
      <c r="F16" s="61">
        <f t="shared" si="1"/>
        <v>135387008</v>
      </c>
      <c r="G16" s="39">
        <f t="shared" si="1"/>
        <v>385806317.98999995</v>
      </c>
      <c r="H16" s="61">
        <f t="shared" si="1"/>
        <v>-11595509</v>
      </c>
      <c r="I16" s="39">
        <f t="shared" si="1"/>
        <v>-25339242.010000046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-115429462</v>
      </c>
      <c r="E19" s="66">
        <f>'EAST-CON-FLSH'!M19</f>
        <v>-337395019</v>
      </c>
      <c r="F19" s="60">
        <f>'EAST-CON-GL '!D19</f>
        <v>-103758321</v>
      </c>
      <c r="G19" s="38">
        <f>'EAST-CON-GL '!E19</f>
        <v>-309923208.14000005</v>
      </c>
      <c r="H19" s="60">
        <f>F19-D19</f>
        <v>11671141</v>
      </c>
      <c r="I19" s="38">
        <f>G19-E19</f>
        <v>27471810.859999955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-1893012.96</v>
      </c>
      <c r="H20" s="60">
        <f>F20-D20</f>
        <v>0</v>
      </c>
      <c r="I20" s="38">
        <f>G20-E20</f>
        <v>-1893012.96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-30814363</v>
      </c>
      <c r="E21" s="66">
        <f>'EAST-CON-FLSH'!M21</f>
        <v>-78054921</v>
      </c>
      <c r="F21" s="60">
        <f>'EAST-CON-GL '!D21</f>
        <v>-30932657</v>
      </c>
      <c r="G21" s="38">
        <f>'EAST-CON-GL '!E21</f>
        <v>-78373609</v>
      </c>
      <c r="H21" s="60">
        <f t="shared" ref="H21:I23" si="2">F21-D21</f>
        <v>-118294</v>
      </c>
      <c r="I21" s="38">
        <f t="shared" si="2"/>
        <v>-318688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152027</v>
      </c>
      <c r="E23" s="66">
        <f>'EAST-CON-FLSH'!M23</f>
        <v>362607</v>
      </c>
      <c r="F23" s="60">
        <f>'EAST-CON-GL '!D23</f>
        <v>208011</v>
      </c>
      <c r="G23" s="38">
        <f>'EAST-CON-GL '!E23</f>
        <v>2307371.7450000001</v>
      </c>
      <c r="H23" s="60">
        <f t="shared" si="2"/>
        <v>55984</v>
      </c>
      <c r="I23" s="38">
        <f t="shared" si="2"/>
        <v>1944764.7450000001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-146091798</v>
      </c>
      <c r="E24" s="39">
        <f t="shared" si="3"/>
        <v>-415087333</v>
      </c>
      <c r="F24" s="61">
        <f t="shared" si="3"/>
        <v>-134482967</v>
      </c>
      <c r="G24" s="39">
        <f t="shared" si="3"/>
        <v>-387882458.35500002</v>
      </c>
      <c r="H24" s="61">
        <f t="shared" si="3"/>
        <v>11608831</v>
      </c>
      <c r="I24" s="39">
        <f t="shared" si="3"/>
        <v>27204874.644999955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12482707</v>
      </c>
      <c r="G27" s="38">
        <f>'EAST-CON-GL '!E27</f>
        <v>29472757.520000003</v>
      </c>
      <c r="H27" s="60">
        <f>F27-D27</f>
        <v>12482707</v>
      </c>
      <c r="I27" s="38">
        <f>G27-E27</f>
        <v>29472757.520000003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-12916914</v>
      </c>
      <c r="G28" s="38">
        <f>'EAST-CON-GL '!E28</f>
        <v>-30430878.250000004</v>
      </c>
      <c r="H28" s="60">
        <f>F28-D28</f>
        <v>-12916914</v>
      </c>
      <c r="I28" s="38">
        <f>G28-E28</f>
        <v>-30430878.250000004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-434207</v>
      </c>
      <c r="G29" s="70">
        <f t="shared" si="4"/>
        <v>-958120.73000000045</v>
      </c>
      <c r="H29" s="69">
        <f t="shared" si="4"/>
        <v>-434207</v>
      </c>
      <c r="I29" s="70">
        <f t="shared" si="4"/>
        <v>-958120.73000000045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-3098</v>
      </c>
      <c r="E32" s="66">
        <f>'EAST-CON-FLSH'!M32</f>
        <v>-75353</v>
      </c>
      <c r="F32" s="60">
        <f>'EAST-CON-GL '!D32</f>
        <v>-6407</v>
      </c>
      <c r="G32" s="38">
        <f>'EAST-CON-GL '!E32</f>
        <v>-19765.600000000326</v>
      </c>
      <c r="H32" s="60">
        <f>F32-D32</f>
        <v>-3309</v>
      </c>
      <c r="I32" s="38">
        <f>G32-E32</f>
        <v>55587.399999999674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830902</v>
      </c>
      <c r="E33" s="66">
        <f>'EAST-CON-FLSH'!M33</f>
        <v>2045437</v>
      </c>
      <c r="F33" s="60">
        <f>'EAST-CON-GL '!D33</f>
        <v>-157067</v>
      </c>
      <c r="G33" s="38">
        <f>'EAST-CON-GL '!E33</f>
        <v>-591956.32999999996</v>
      </c>
      <c r="H33" s="60">
        <f t="shared" ref="H33:I35" si="5">F33-D33</f>
        <v>-987969</v>
      </c>
      <c r="I33" s="38">
        <f t="shared" si="5"/>
        <v>-2637393.33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-844605</v>
      </c>
      <c r="E34" s="66">
        <f>'EAST-CON-FLSH'!M34</f>
        <v>-2079004</v>
      </c>
      <c r="F34" s="60">
        <f>'EAST-CON-GL '!D34</f>
        <v>108621</v>
      </c>
      <c r="G34" s="38">
        <f>'EAST-CON-GL '!E34</f>
        <v>246712.02000000002</v>
      </c>
      <c r="H34" s="60">
        <f t="shared" si="5"/>
        <v>953226</v>
      </c>
      <c r="I34" s="38">
        <f t="shared" si="5"/>
        <v>2325716.02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501387</v>
      </c>
      <c r="E35" s="66">
        <f>'EAST-CON-FLSH'!M35</f>
        <v>5752</v>
      </c>
      <c r="F35" s="60">
        <f>'EAST-CON-GL '!D35</f>
        <v>507378</v>
      </c>
      <c r="G35" s="38">
        <f>'EAST-CON-GL '!E35</f>
        <v>0</v>
      </c>
      <c r="H35" s="60">
        <f t="shared" si="5"/>
        <v>5991</v>
      </c>
      <c r="I35" s="38">
        <f t="shared" si="5"/>
        <v>-5752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484586</v>
      </c>
      <c r="E36" s="39">
        <f t="shared" si="6"/>
        <v>-103168</v>
      </c>
      <c r="F36" s="61">
        <f t="shared" si="6"/>
        <v>452525</v>
      </c>
      <c r="G36" s="39">
        <f t="shared" si="6"/>
        <v>-365009.91000000027</v>
      </c>
      <c r="H36" s="61">
        <f t="shared" si="6"/>
        <v>-32061</v>
      </c>
      <c r="I36" s="39">
        <f t="shared" si="6"/>
        <v>-261841.91000000061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669651</v>
      </c>
      <c r="E39" s="66">
        <f>'EAST-CON-FLSH'!M39</f>
        <v>2049132</v>
      </c>
      <c r="F39" s="60">
        <f>'EAST-CON-GL '!D39</f>
        <v>717156</v>
      </c>
      <c r="G39" s="38">
        <f>'EAST-CON-GL '!E39</f>
        <v>1387625.2699999996</v>
      </c>
      <c r="H39" s="60">
        <f t="shared" ref="H39:I41" si="7">F39-D39</f>
        <v>47505</v>
      </c>
      <c r="I39" s="38">
        <f t="shared" si="7"/>
        <v>-661506.73000000045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-1461287</v>
      </c>
      <c r="E40" s="66">
        <f>'EAST-CON-FLSH'!M40</f>
        <v>-4471536</v>
      </c>
      <c r="F40" s="60">
        <f>'EAST-CON-GL '!D40</f>
        <v>-1840614</v>
      </c>
      <c r="G40" s="38">
        <f>'EAST-CON-GL '!E40</f>
        <v>-4537283.88</v>
      </c>
      <c r="H40" s="60">
        <f t="shared" si="7"/>
        <v>-379327</v>
      </c>
      <c r="I40" s="38">
        <f t="shared" si="7"/>
        <v>-65747.879999999888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-1461287</v>
      </c>
      <c r="E42" s="70">
        <f t="shared" si="8"/>
        <v>-4471536</v>
      </c>
      <c r="F42" s="69">
        <f t="shared" si="8"/>
        <v>-1840614</v>
      </c>
      <c r="G42" s="70">
        <f t="shared" si="8"/>
        <v>-4537283.88</v>
      </c>
      <c r="H42" s="69">
        <f t="shared" si="8"/>
        <v>-379327</v>
      </c>
      <c r="I42" s="70">
        <f t="shared" si="8"/>
        <v>-65747.879999999888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-791636</v>
      </c>
      <c r="E43" s="39">
        <f t="shared" si="9"/>
        <v>-2422404</v>
      </c>
      <c r="F43" s="61">
        <f t="shared" si="9"/>
        <v>-1123458</v>
      </c>
      <c r="G43" s="39">
        <f t="shared" si="9"/>
        <v>-3149658.6100000003</v>
      </c>
      <c r="H43" s="61">
        <f t="shared" si="9"/>
        <v>-331822</v>
      </c>
      <c r="I43" s="39">
        <f t="shared" si="9"/>
        <v>-727254.61000000034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-5073</v>
      </c>
      <c r="G45" s="38">
        <f>'EAST-CON-GL '!E45</f>
        <v>-8671.7900000000009</v>
      </c>
      <c r="H45" s="60">
        <f>F45-D45</f>
        <v>-5073</v>
      </c>
      <c r="I45" s="38">
        <f>G45-E45</f>
        <v>-8671.7900000000009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-583669</v>
      </c>
      <c r="E49" s="66">
        <f>'EAST-CON-FLSH'!M49</f>
        <v>-1800618.8650000002</v>
      </c>
      <c r="F49" s="60">
        <f>'EAST-CON-GL '!D49</f>
        <v>206172</v>
      </c>
      <c r="G49" s="38">
        <f>'EAST-CON-GL '!E49</f>
        <v>636040.62999999907</v>
      </c>
      <c r="H49" s="60">
        <f>F49-D49</f>
        <v>789841</v>
      </c>
      <c r="I49" s="38">
        <f>G49-E49</f>
        <v>2436659.4949999992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-152027</v>
      </c>
      <c r="E51" s="66">
        <f>'EAST-CON-FLSH'!M51</f>
        <v>-362607</v>
      </c>
      <c r="F51" s="60">
        <f>'EAST-CON-GL '!D51</f>
        <v>-764242</v>
      </c>
      <c r="G51" s="38">
        <f>'EAST-CON-GL '!E51</f>
        <v>-2332689.335</v>
      </c>
      <c r="H51" s="60">
        <f>F51-D51</f>
        <v>-612215</v>
      </c>
      <c r="I51" s="38">
        <f>G51-E51</f>
        <v>-1970082.335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-402213</v>
      </c>
      <c r="F54" s="60">
        <f>'EAST-CON-GL '!D54</f>
        <v>-76731356</v>
      </c>
      <c r="G54" s="38">
        <f>'EAST-CON-GL '!E54</f>
        <v>-344241.79</v>
      </c>
      <c r="H54" s="60">
        <f>F54-D54</f>
        <v>-76731356</v>
      </c>
      <c r="I54" s="38">
        <f>G54-E54</f>
        <v>57971.210000000021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-490388</v>
      </c>
      <c r="F55" s="60">
        <f>'EAST-CON-GL '!D55</f>
        <v>0</v>
      </c>
      <c r="G55" s="38">
        <f>'EAST-CON-GL '!E55</f>
        <v>-1278964.78</v>
      </c>
      <c r="H55" s="60">
        <f>F55-D55</f>
        <v>0</v>
      </c>
      <c r="I55" s="38">
        <f>G55-E55</f>
        <v>-788576.78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-892601</v>
      </c>
      <c r="F56" s="61">
        <f t="shared" si="10"/>
        <v>-76731356</v>
      </c>
      <c r="G56" s="39">
        <f t="shared" si="10"/>
        <v>-1623206.57</v>
      </c>
      <c r="H56" s="61">
        <f t="shared" si="10"/>
        <v>-76731356</v>
      </c>
      <c r="I56" s="39">
        <f t="shared" si="10"/>
        <v>-730605.57000000007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2707106</v>
      </c>
      <c r="G59" s="38">
        <f>'EAST-CON-GL '!E59</f>
        <v>162988.67000000001</v>
      </c>
      <c r="H59" s="60">
        <f>F59-D59</f>
        <v>2707106</v>
      </c>
      <c r="I59" s="38">
        <f>G59-E59</f>
        <v>162988.67000000001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169670</v>
      </c>
      <c r="G60" s="38">
        <f>'EAST-CON-GL '!E60</f>
        <v>170000</v>
      </c>
      <c r="H60" s="60">
        <f>F60-D60</f>
        <v>169670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2876776</v>
      </c>
      <c r="G61" s="70">
        <f t="shared" si="11"/>
        <v>332988.67000000004</v>
      </c>
      <c r="H61" s="69">
        <f t="shared" si="11"/>
        <v>2876776</v>
      </c>
      <c r="I61" s="70">
        <f t="shared" si="11"/>
        <v>332988.67000000004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42944</v>
      </c>
      <c r="F64" s="60">
        <f>'EAST-CON-GL '!D64</f>
        <v>-19801106</v>
      </c>
      <c r="G64" s="38">
        <f>'EAST-CON-GL '!E64</f>
        <v>-2304198.0699999998</v>
      </c>
      <c r="H64" s="60">
        <f>F64-D64</f>
        <v>-19801106</v>
      </c>
      <c r="I64" s="38">
        <f>G64-E64</f>
        <v>-2347142.0699999998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19947800</v>
      </c>
      <c r="G65" s="38">
        <f>'EAST-CON-GL '!E65</f>
        <v>2307331.6599999997</v>
      </c>
      <c r="H65" s="60">
        <f>F65-D65</f>
        <v>19947800</v>
      </c>
      <c r="I65" s="38">
        <f>G65-E65</f>
        <v>2307331.6599999997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146694</v>
      </c>
      <c r="G66" s="39">
        <f t="shared" si="12"/>
        <v>3133.589999999851</v>
      </c>
      <c r="H66" s="61">
        <f t="shared" si="12"/>
        <v>146694</v>
      </c>
      <c r="I66" s="39">
        <f t="shared" si="12"/>
        <v>-39810.410000000149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15355188.296300001</v>
      </c>
      <c r="F70" s="60">
        <f>'EAST-CON-GL '!D70</f>
        <v>0</v>
      </c>
      <c r="G70" s="38">
        <f>'EAST-CON-GL '!E70</f>
        <v>15355188.300000001</v>
      </c>
      <c r="H70" s="60">
        <f>F70-D70</f>
        <v>0</v>
      </c>
      <c r="I70" s="38">
        <f>G70-E70</f>
        <v>3.6999993026256561E-3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-6851832</v>
      </c>
      <c r="F71" s="60">
        <f>'EAST-CON-GL '!D71</f>
        <v>0</v>
      </c>
      <c r="G71" s="38">
        <f>'EAST-CON-GL '!E71</f>
        <v>-6851832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8503356.2963000014</v>
      </c>
      <c r="F72" s="69">
        <f t="shared" si="13"/>
        <v>0</v>
      </c>
      <c r="G72" s="70">
        <f t="shared" si="13"/>
        <v>8503356.3000000007</v>
      </c>
      <c r="H72" s="69">
        <f t="shared" si="13"/>
        <v>0</v>
      </c>
      <c r="I72" s="70">
        <f t="shared" si="13"/>
        <v>3.6999993026256561E-3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5094995</v>
      </c>
      <c r="F74" s="60">
        <f>'EAST-CON-GL '!D74</f>
        <v>0</v>
      </c>
      <c r="G74" s="38">
        <f>'EAST-CON-GL '!E74</f>
        <v>5123513</v>
      </c>
      <c r="H74" s="60">
        <f t="shared" ref="H74:I79" si="14">F74-D74</f>
        <v>0</v>
      </c>
      <c r="I74" s="38">
        <f t="shared" si="14"/>
        <v>28518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14426</v>
      </c>
      <c r="F75" s="60">
        <f>'EAST-CON-GL '!D75</f>
        <v>0</v>
      </c>
      <c r="G75" s="38">
        <f>'EAST-CON-GL '!E75</f>
        <v>14500</v>
      </c>
      <c r="H75" s="60">
        <f t="shared" si="14"/>
        <v>0</v>
      </c>
      <c r="I75" s="38">
        <f t="shared" si="14"/>
        <v>74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-15665</v>
      </c>
      <c r="F76" s="60">
        <f>'EAST-CON-GL '!D76</f>
        <v>0</v>
      </c>
      <c r="G76" s="38">
        <f>'EAST-CON-GL '!E76</f>
        <v>-10298.57</v>
      </c>
      <c r="H76" s="60">
        <f t="shared" si="14"/>
        <v>0</v>
      </c>
      <c r="I76" s="38">
        <f t="shared" si="14"/>
        <v>5366.43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23732.85</v>
      </c>
      <c r="F78" s="60">
        <f>'EAST-CON-GL '!D78</f>
        <v>0</v>
      </c>
      <c r="G78" s="38">
        <f>'EAST-CON-GL '!E78</f>
        <v>26963</v>
      </c>
      <c r="H78" s="60">
        <f t="shared" si="14"/>
        <v>0</v>
      </c>
      <c r="I78" s="38">
        <f t="shared" si="14"/>
        <v>3230.1500000000015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-20325</v>
      </c>
      <c r="F81" s="60">
        <f>'EAST-CON-GL '!D81</f>
        <v>0</v>
      </c>
      <c r="G81" s="38">
        <f>'EAST-CON-GL '!E81</f>
        <v>-7726.7699999999895</v>
      </c>
      <c r="H81" s="60">
        <f>F81-D81</f>
        <v>0</v>
      </c>
      <c r="I81" s="38">
        <f>G81-E81</f>
        <v>12598.23000000001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186483.28130001761</v>
      </c>
      <c r="F82" s="109">
        <f>F16+F24+F29+F36+F43+F45+F47+F49</f>
        <v>0</v>
      </c>
      <c r="G82" s="110">
        <f>SUM(G72:G81)+G16+G24+G29+G36+G43+G45+G47+G49+G51+G56+G61+G66</f>
        <v>175163.53999990725</v>
      </c>
      <c r="H82" s="109">
        <f>H16+H24+H29+H36+H43+H45+H47+H49</f>
        <v>0</v>
      </c>
      <c r="I82" s="110">
        <f>SUM(I72:I81)+I16+I24+I29+I36+I43+I45+I47+I49+I51+I56+I61+I66</f>
        <v>-11319.74130009592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'EAST-CON-FLSH'!L86</f>
        <v>0</v>
      </c>
      <c r="E86" s="169">
        <f>'EAST-CON-FLSH'!M86</f>
        <v>580000</v>
      </c>
      <c r="F86" s="169">
        <f>'EAST-CON-GL '!D86</f>
        <v>0</v>
      </c>
      <c r="G86" s="169">
        <f>'EAST-CON-GL '!E86</f>
        <v>580328</v>
      </c>
      <c r="H86" s="169">
        <f t="shared" ref="H86:I88" si="15">F86-D86</f>
        <v>0</v>
      </c>
      <c r="I86" s="169">
        <f t="shared" si="15"/>
        <v>328</v>
      </c>
    </row>
    <row r="87" spans="1:63" x14ac:dyDescent="0.2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'EAST-CON-FLSH'!L88</f>
        <v>0</v>
      </c>
      <c r="E88" s="171">
        <f>'EAST-CON-FLSH'!M88</f>
        <v>0</v>
      </c>
      <c r="F88" s="171">
        <f>'EAST-CON-GL '!D88</f>
        <v>0</v>
      </c>
      <c r="G88" s="171">
        <f>'EAST-CON-GL '!E88</f>
        <v>0</v>
      </c>
      <c r="H88" s="171">
        <f t="shared" si="15"/>
        <v>0</v>
      </c>
      <c r="I88" s="171">
        <f t="shared" si="15"/>
        <v>0</v>
      </c>
    </row>
    <row r="89" spans="1:63" ht="15" x14ac:dyDescent="0.2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580000</v>
      </c>
      <c r="F89" s="179">
        <f t="shared" si="16"/>
        <v>0</v>
      </c>
      <c r="G89" s="179">
        <f t="shared" si="16"/>
        <v>580328</v>
      </c>
      <c r="H89" s="179">
        <f t="shared" si="16"/>
        <v>0</v>
      </c>
      <c r="I89" s="179">
        <f t="shared" si="16"/>
        <v>328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766483.28130001761</v>
      </c>
      <c r="F91" s="184">
        <f t="shared" si="17"/>
        <v>0</v>
      </c>
      <c r="G91" s="184">
        <f t="shared" si="17"/>
        <v>755491.53999990725</v>
      </c>
      <c r="H91" s="184">
        <f t="shared" si="17"/>
        <v>0</v>
      </c>
      <c r="I91" s="184">
        <f t="shared" si="17"/>
        <v>-10991.74130009592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8"/>
      <c r="B94" s="189"/>
      <c r="D94" s="31"/>
      <c r="E94" s="14">
        <f>+'EAST-EGM-VAR'!E91+'EAST-LRC-VAR'!E82</f>
        <v>766483.28130004369</v>
      </c>
      <c r="G94" s="14">
        <f>+'EAST-EGM-VAR'!G91+'EAST-LRC-VAR'!G82</f>
        <v>755491.54999985918</v>
      </c>
      <c r="I94" s="14">
        <f>+'EAST-EGM-VAR'!I91+'EAST-LRC-VAR'!I82</f>
        <v>-10991.731300087646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12767378</v>
      </c>
      <c r="E11" s="66">
        <f>'TX-EGM-FLSH'!M11</f>
        <v>33255264.359999999</v>
      </c>
      <c r="F11" s="60">
        <f>'TX-EGM-GL'!D11</f>
        <v>9366943</v>
      </c>
      <c r="G11" s="38">
        <f>'TX-EGM-GL'!E11</f>
        <v>29387533.439999998</v>
      </c>
      <c r="H11" s="60">
        <f>F11-D11</f>
        <v>-3400435</v>
      </c>
      <c r="I11" s="38">
        <f>G11-E11</f>
        <v>-3867730.9200000018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-958963.55</v>
      </c>
      <c r="H12" s="60">
        <f>F12-D12</f>
        <v>0</v>
      </c>
      <c r="I12" s="38">
        <f>G12-E12</f>
        <v>-958963.55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15000</v>
      </c>
      <c r="E13" s="66">
        <f>'TX-EGM-FLSH'!M13</f>
        <v>44650</v>
      </c>
      <c r="F13" s="60">
        <f>'TX-EGM-GL'!D13</f>
        <v>3725247</v>
      </c>
      <c r="G13" s="38">
        <f>'TX-EGM-GL'!E13</f>
        <v>8162482</v>
      </c>
      <c r="H13" s="60">
        <f t="shared" ref="H13:I15" si="0">F13-D13</f>
        <v>3710247</v>
      </c>
      <c r="I13" s="38">
        <f t="shared" si="0"/>
        <v>8117832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12782378</v>
      </c>
      <c r="E16" s="39">
        <f t="shared" si="1"/>
        <v>33299914.359999999</v>
      </c>
      <c r="F16" s="61">
        <f t="shared" si="1"/>
        <v>13092190</v>
      </c>
      <c r="G16" s="39">
        <f t="shared" si="1"/>
        <v>36591051.890000001</v>
      </c>
      <c r="H16" s="61">
        <f t="shared" si="1"/>
        <v>309812</v>
      </c>
      <c r="I16" s="39">
        <f t="shared" si="1"/>
        <v>3291137.5299999984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-7612939</v>
      </c>
      <c r="E19" s="66">
        <f>'TX-EGM-FLSH'!M19</f>
        <v>-20225697.999999996</v>
      </c>
      <c r="F19" s="60">
        <f>'TX-EGM-GL'!D19</f>
        <v>-1230669</v>
      </c>
      <c r="G19" s="38">
        <f>'TX-EGM-GL'!E19</f>
        <v>-2550959.94</v>
      </c>
      <c r="H19" s="60">
        <f>F19-D19</f>
        <v>6382270</v>
      </c>
      <c r="I19" s="38">
        <f>G19-E19</f>
        <v>17674738.059999995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2020180</v>
      </c>
      <c r="H20" s="60">
        <f>F20-D20</f>
        <v>0</v>
      </c>
      <c r="I20" s="38">
        <f>G20-E20</f>
        <v>2020180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-11290</v>
      </c>
      <c r="E21" s="66">
        <f>'TX-EGM-FLSH'!M21</f>
        <v>-27847.599999999999</v>
      </c>
      <c r="F21" s="60">
        <f>'TX-EGM-GL'!D21</f>
        <v>-3725247</v>
      </c>
      <c r="G21" s="38">
        <f>'TX-EGM-GL'!E21</f>
        <v>-8162482</v>
      </c>
      <c r="H21" s="60">
        <f t="shared" ref="H21:I23" si="2">F21-D21</f>
        <v>-3713957</v>
      </c>
      <c r="I21" s="38">
        <f t="shared" si="2"/>
        <v>-8134634.4000000004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80</v>
      </c>
      <c r="E23" s="66">
        <f>'TX-EGM-FLSH'!M23</f>
        <v>198.29</v>
      </c>
      <c r="F23" s="60">
        <f>'TX-EGM-GL'!D23</f>
        <v>18416</v>
      </c>
      <c r="G23" s="38">
        <f>'TX-EGM-GL'!E23</f>
        <v>53535.311999999998</v>
      </c>
      <c r="H23" s="60">
        <f t="shared" si="2"/>
        <v>18336</v>
      </c>
      <c r="I23" s="38">
        <f t="shared" si="2"/>
        <v>53337.021999999997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-7624149</v>
      </c>
      <c r="E24" s="39">
        <f t="shared" si="3"/>
        <v>-20253347.309999999</v>
      </c>
      <c r="F24" s="61">
        <f t="shared" si="3"/>
        <v>-4937500</v>
      </c>
      <c r="G24" s="39">
        <f t="shared" si="3"/>
        <v>-8639726.6279999986</v>
      </c>
      <c r="H24" s="61">
        <f t="shared" si="3"/>
        <v>2686649</v>
      </c>
      <c r="I24" s="39">
        <f t="shared" si="3"/>
        <v>11613620.681999994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9692997</v>
      </c>
      <c r="E27" s="66">
        <f>'TX-EGM-FLSH'!M27</f>
        <v>25871132.780000001</v>
      </c>
      <c r="F27" s="60">
        <f>'TX-EGM-GL'!D27</f>
        <v>3322910</v>
      </c>
      <c r="G27" s="38">
        <f>'TX-EGM-GL'!E27</f>
        <v>7474871.04</v>
      </c>
      <c r="H27" s="60">
        <f>F27-D27</f>
        <v>-6370087</v>
      </c>
      <c r="I27" s="38">
        <f>G27-E27</f>
        <v>-18396261.740000002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-9692997</v>
      </c>
      <c r="E28" s="66">
        <f>'TX-EGM-FLSH'!M28</f>
        <v>-25871134.699999999</v>
      </c>
      <c r="F28" s="60">
        <f>'TX-EGM-GL'!D28</f>
        <v>-11489106</v>
      </c>
      <c r="G28" s="38">
        <f>'TX-EGM-GL'!E28</f>
        <v>-26402020.759999998</v>
      </c>
      <c r="H28" s="60">
        <f>F28-D28</f>
        <v>-1796109</v>
      </c>
      <c r="I28" s="38">
        <f>G28-E28</f>
        <v>-530886.05999999866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-1.919999998062849</v>
      </c>
      <c r="F29" s="69">
        <f t="shared" si="4"/>
        <v>-8166196</v>
      </c>
      <c r="G29" s="70">
        <f t="shared" si="4"/>
        <v>-18927149.719999999</v>
      </c>
      <c r="H29" s="69">
        <f t="shared" si="4"/>
        <v>-8166196</v>
      </c>
      <c r="I29" s="70">
        <f t="shared" si="4"/>
        <v>-18927147.800000001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-32800</v>
      </c>
      <c r="G32" s="38">
        <f>'TX-EGM-GL'!E32</f>
        <v>-95349.599999999162</v>
      </c>
      <c r="H32" s="60">
        <f>F32-D32</f>
        <v>-32800</v>
      </c>
      <c r="I32" s="38">
        <f>G32-E32</f>
        <v>-95349.599999999162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-32800</v>
      </c>
      <c r="G36" s="39">
        <f t="shared" si="6"/>
        <v>-95349.599999999162</v>
      </c>
      <c r="H36" s="61">
        <f t="shared" si="6"/>
        <v>-32800</v>
      </c>
      <c r="I36" s="39">
        <f t="shared" si="6"/>
        <v>-95349.599999999162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44550</v>
      </c>
      <c r="G39" s="38">
        <f>'TX-EGM-GL'!E39</f>
        <v>129506.85</v>
      </c>
      <c r="H39" s="60">
        <f t="shared" ref="H39:I41" si="7">F39-D39</f>
        <v>44550</v>
      </c>
      <c r="I39" s="38">
        <f t="shared" si="7"/>
        <v>129506.85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44550</v>
      </c>
      <c r="G43" s="39">
        <f t="shared" si="9"/>
        <v>129506.85</v>
      </c>
      <c r="H43" s="61">
        <f t="shared" si="9"/>
        <v>44550</v>
      </c>
      <c r="I43" s="39">
        <f t="shared" si="9"/>
        <v>129506.85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-5158229</v>
      </c>
      <c r="E49" s="66">
        <f>'TX-EGM-FLSH'!M49</f>
        <v>-14992482.937280502</v>
      </c>
      <c r="F49" s="60">
        <f>'TX-EGM-GL'!D49</f>
        <v>-244</v>
      </c>
      <c r="G49" s="38">
        <f>'TX-EGM-GL'!E49</f>
        <v>-702.83799999999871</v>
      </c>
      <c r="H49" s="60">
        <f>F49-D49</f>
        <v>5157985</v>
      </c>
      <c r="I49" s="38">
        <f>G49-E49</f>
        <v>14991780.099280503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-80</v>
      </c>
      <c r="E51" s="66">
        <f>'TX-EGM-FLSH'!M51</f>
        <v>0</v>
      </c>
      <c r="F51" s="60">
        <f>'TX-EGM-GL'!D51</f>
        <v>-18416</v>
      </c>
      <c r="G51" s="38">
        <f>'TX-EGM-GL'!E51</f>
        <v>-53535.311999999998</v>
      </c>
      <c r="H51" s="60">
        <f>F51-D51</f>
        <v>-18336</v>
      </c>
      <c r="I51" s="38">
        <f>G51-E51</f>
        <v>-53535.311999999998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-11635016</v>
      </c>
      <c r="G54" s="38">
        <f>'TX-EGM-GL'!E54</f>
        <v>-350252.59000000008</v>
      </c>
      <c r="H54" s="60">
        <f>F54-D54</f>
        <v>-11635016</v>
      </c>
      <c r="I54" s="38">
        <f>G54-E54</f>
        <v>-350252.59000000008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-8219</v>
      </c>
      <c r="G55" s="38">
        <f>'TX-EGM-GL'!E55</f>
        <v>-143818.53</v>
      </c>
      <c r="H55" s="60">
        <f>F55-D55</f>
        <v>-8219</v>
      </c>
      <c r="I55" s="38">
        <f>G55-E55</f>
        <v>-143818.53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-11643235</v>
      </c>
      <c r="G56" s="39">
        <f t="shared" si="10"/>
        <v>-494071.12000000011</v>
      </c>
      <c r="H56" s="61">
        <f t="shared" si="10"/>
        <v>-11643235</v>
      </c>
      <c r="I56" s="39">
        <f t="shared" si="10"/>
        <v>-494071.12000000011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-22452.809999999998</v>
      </c>
      <c r="H64" s="60">
        <f>F64-D64</f>
        <v>0</v>
      </c>
      <c r="I64" s="38">
        <f>G64-E64</f>
        <v>-22452.809999999998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-22452.809999999998</v>
      </c>
      <c r="H66" s="61">
        <f t="shared" si="12"/>
        <v>0</v>
      </c>
      <c r="I66" s="39">
        <f t="shared" si="12"/>
        <v>-22452.809999999998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-1210108.6200000001</v>
      </c>
      <c r="F70" s="60">
        <f>'TX-EGM-GL'!D70</f>
        <v>0</v>
      </c>
      <c r="G70" s="38">
        <f>'TX-EGM-GL'!E70</f>
        <v>-1210108.6200000001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876740</v>
      </c>
      <c r="F71" s="60">
        <f>'TX-EGM-GL'!D71</f>
        <v>0</v>
      </c>
      <c r="G71" s="38">
        <f>'TX-EGM-GL'!E71</f>
        <v>876739.35</v>
      </c>
      <c r="H71" s="60">
        <f>F71-D71</f>
        <v>0</v>
      </c>
      <c r="I71" s="38">
        <f>G71-E71</f>
        <v>-0.65000000002328306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-333368.62000000011</v>
      </c>
      <c r="F72" s="69">
        <f t="shared" si="13"/>
        <v>0</v>
      </c>
      <c r="G72" s="70">
        <f t="shared" si="13"/>
        <v>-333369.27000000014</v>
      </c>
      <c r="H72" s="69">
        <f t="shared" si="13"/>
        <v>0</v>
      </c>
      <c r="I72" s="70">
        <f t="shared" si="13"/>
        <v>-0.65000000002328306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-619419.84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619419.84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-6296.3</v>
      </c>
      <c r="H76" s="60">
        <f t="shared" si="14"/>
        <v>0</v>
      </c>
      <c r="I76" s="38">
        <f t="shared" si="14"/>
        <v>-6296.3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697272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-697272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-2201434.2672805004</v>
      </c>
      <c r="F82" s="109">
        <f>F16+F24+F29+F36+F43+F45+F47+F49</f>
        <v>0</v>
      </c>
      <c r="G82" s="110">
        <f>SUM(G72:G81)+G16+G24+G29+G36+G43+G45+G47+G49+G51+G56+G61+G66</f>
        <v>8147905.1420000028</v>
      </c>
      <c r="H82" s="109">
        <f>H16+H24+H29+H36+H43+H45+H47+H49</f>
        <v>0</v>
      </c>
      <c r="I82" s="110">
        <f>SUM(I72:I81)+I16+I24+I29+I36+I43+I45+I47+I49+I51+I56+I61+I66</f>
        <v>10349339.409280492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'TX-EGM-FLSH'!L86</f>
        <v>0</v>
      </c>
      <c r="E86" s="169">
        <f>'TX-EGM-FLSH'!M86</f>
        <v>-152498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152498</v>
      </c>
    </row>
    <row r="87" spans="1:63" x14ac:dyDescent="0.2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'TX-EGM-FLSH'!L88</f>
        <v>0</v>
      </c>
      <c r="E88" s="171">
        <f>'TX-EGM-FLSH'!M88</f>
        <v>0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-152498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152498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-2353932.2672805004</v>
      </c>
      <c r="F91" s="184">
        <f t="shared" si="17"/>
        <v>0</v>
      </c>
      <c r="G91" s="184">
        <f t="shared" si="17"/>
        <v>8147905.1420000028</v>
      </c>
      <c r="H91" s="184">
        <f t="shared" si="17"/>
        <v>0</v>
      </c>
      <c r="I91" s="184">
        <f t="shared" si="17"/>
        <v>10501837.409280492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-1089399</v>
      </c>
      <c r="E11" s="66">
        <f>'TX-HPLR-FLSH'!M11</f>
        <v>-567411.36000001431</v>
      </c>
      <c r="F11" s="60">
        <f>'TX-HPLR-GL '!D11</f>
        <v>106752</v>
      </c>
      <c r="G11" s="38">
        <f>'TX-HPLR-GL '!E11</f>
        <v>325700.34999999998</v>
      </c>
      <c r="H11" s="60">
        <f>F11-D11</f>
        <v>1196151</v>
      </c>
      <c r="I11" s="38">
        <f>G11-E11</f>
        <v>893111.71000001428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-3888</v>
      </c>
      <c r="H12" s="60">
        <f>F12-D12</f>
        <v>0</v>
      </c>
      <c r="I12" s="38">
        <f>G12-E12</f>
        <v>-3888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-15000</v>
      </c>
      <c r="E13" s="66">
        <f>'TX-HPLR-FLSH'!M13</f>
        <v>-44650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15000</v>
      </c>
      <c r="I13" s="38">
        <f t="shared" si="0"/>
        <v>44650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120000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-1104399</v>
      </c>
      <c r="E16" s="39">
        <f t="shared" si="1"/>
        <v>-492061.36000001431</v>
      </c>
      <c r="F16" s="61">
        <f t="shared" si="1"/>
        <v>106752</v>
      </c>
      <c r="G16" s="39">
        <f t="shared" si="1"/>
        <v>321812.34999999998</v>
      </c>
      <c r="H16" s="61">
        <f t="shared" si="1"/>
        <v>1211151</v>
      </c>
      <c r="I16" s="39">
        <f t="shared" si="1"/>
        <v>813873.71000001428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120147</v>
      </c>
      <c r="E19" s="66">
        <f>'TX-HPLR-FLSH'!M19</f>
        <v>3111548</v>
      </c>
      <c r="F19" s="60">
        <f>'TX-HPLR-GL '!D19</f>
        <v>0</v>
      </c>
      <c r="G19" s="38">
        <f>'TX-HPLR-GL '!E19</f>
        <v>926.26</v>
      </c>
      <c r="H19" s="60">
        <f>F19-D19</f>
        <v>-120147</v>
      </c>
      <c r="I19" s="38">
        <f>G19-E19</f>
        <v>-3110621.74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11290</v>
      </c>
      <c r="E21" s="66">
        <f>'TX-HPLR-FLSH'!M21</f>
        <v>27847.600000000093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-11290</v>
      </c>
      <c r="I21" s="38">
        <f t="shared" si="2"/>
        <v>-27847.600000000093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-74</v>
      </c>
      <c r="E23" s="66">
        <f>'TX-HPLR-FLSH'!M23</f>
        <v>-186.29000000000087</v>
      </c>
      <c r="F23" s="60">
        <f>'TX-HPLR-GL '!D23</f>
        <v>0</v>
      </c>
      <c r="G23" s="38">
        <f>'TX-HPLR-GL '!E23</f>
        <v>0</v>
      </c>
      <c r="H23" s="60">
        <f t="shared" si="2"/>
        <v>74</v>
      </c>
      <c r="I23" s="38">
        <f t="shared" si="2"/>
        <v>186.29000000000087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131363</v>
      </c>
      <c r="E24" s="39">
        <f t="shared" si="3"/>
        <v>3139209.31</v>
      </c>
      <c r="F24" s="61">
        <f t="shared" si="3"/>
        <v>0</v>
      </c>
      <c r="G24" s="39">
        <f t="shared" si="3"/>
        <v>926.26</v>
      </c>
      <c r="H24" s="61">
        <f t="shared" si="3"/>
        <v>-131363</v>
      </c>
      <c r="I24" s="39">
        <f t="shared" si="3"/>
        <v>-3138283.0500000003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-5967750</v>
      </c>
      <c r="E27" s="66">
        <f>'TX-HPLR-FLSH'!M27</f>
        <v>-17708650.780000001</v>
      </c>
      <c r="F27" s="60">
        <f>'TX-HPLR-GL '!D27</f>
        <v>0</v>
      </c>
      <c r="G27" s="38">
        <f>'TX-HPLR-GL '!E27</f>
        <v>3054</v>
      </c>
      <c r="H27" s="60">
        <f>F27-D27</f>
        <v>5967750</v>
      </c>
      <c r="I27" s="38">
        <f>G27-E27</f>
        <v>17711704.780000001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5967750</v>
      </c>
      <c r="E28" s="66">
        <f>'TX-HPLR-FLSH'!M28</f>
        <v>17708652.699999999</v>
      </c>
      <c r="F28" s="60">
        <f>'TX-HPLR-GL '!D28</f>
        <v>-106752</v>
      </c>
      <c r="G28" s="38">
        <f>'TX-HPLR-GL '!E28</f>
        <v>-323458.56</v>
      </c>
      <c r="H28" s="60">
        <f>F28-D28</f>
        <v>-6074502</v>
      </c>
      <c r="I28" s="38">
        <f>G28-E28</f>
        <v>-18032111.259999998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1.919999998062849</v>
      </c>
      <c r="F29" s="69">
        <f t="shared" si="4"/>
        <v>-106752</v>
      </c>
      <c r="G29" s="70">
        <f t="shared" si="4"/>
        <v>-320404.56</v>
      </c>
      <c r="H29" s="69">
        <f t="shared" si="4"/>
        <v>-106752</v>
      </c>
      <c r="I29" s="70">
        <f t="shared" si="4"/>
        <v>-320406.47999999672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45000</v>
      </c>
      <c r="E39" s="66">
        <f>'TX-HPLR-FLSH'!M39</f>
        <v>136350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-45000</v>
      </c>
      <c r="I39" s="38">
        <f t="shared" si="7"/>
        <v>-136350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45000</v>
      </c>
      <c r="E43" s="39">
        <f t="shared" si="9"/>
        <v>136350</v>
      </c>
      <c r="F43" s="61">
        <f t="shared" si="9"/>
        <v>0</v>
      </c>
      <c r="G43" s="39">
        <f t="shared" si="9"/>
        <v>0</v>
      </c>
      <c r="H43" s="61">
        <f t="shared" si="9"/>
        <v>-45000</v>
      </c>
      <c r="I43" s="39">
        <f t="shared" si="9"/>
        <v>-136350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9099.619999999999</v>
      </c>
      <c r="H47" s="60">
        <f>F47-D47</f>
        <v>0</v>
      </c>
      <c r="I47" s="38">
        <f>G47-E47</f>
        <v>9099.619999999999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928036</v>
      </c>
      <c r="E49" s="66">
        <f>'TX-HPLR-FLSH'!M49</f>
        <v>2697352.888982255</v>
      </c>
      <c r="F49" s="60">
        <f>'TX-HPLR-GL '!D49</f>
        <v>0</v>
      </c>
      <c r="G49" s="38">
        <f>'TX-HPLR-GL '!E49</f>
        <v>0</v>
      </c>
      <c r="H49" s="60">
        <f>F49-D49</f>
        <v>-928036</v>
      </c>
      <c r="I49" s="38">
        <f>G49-E49</f>
        <v>-2697352.888982255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80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-80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5480852.7589822393</v>
      </c>
      <c r="F82" s="109">
        <f>F16+F24+F29+F36+F43+F45+F47+F49</f>
        <v>0</v>
      </c>
      <c r="G82" s="110">
        <f>SUM(G72:G81)+G16+G24+G29+G36+G43+G45+G47+G49+G51+G56+G61+G66</f>
        <v>11433.669999999987</v>
      </c>
      <c r="H82" s="109">
        <f>H16+H24+H29+H36+H43+H45+H47+H49</f>
        <v>0</v>
      </c>
      <c r="I82" s="110">
        <f>SUM(I72:I81)+I16+I24+I29+I36+I43+I45+I47+I49+I51+I56+I61+I66</f>
        <v>-5469419.0889822375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50" zoomScale="75" workbookViewId="0">
      <selection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72518438</v>
      </c>
      <c r="E11" s="66">
        <f>'TX-HPLC-FLSH'!M11</f>
        <v>185499709</v>
      </c>
      <c r="F11" s="60">
        <f>'TX-HPLC-GL'!D11</f>
        <v>34741183</v>
      </c>
      <c r="G11" s="38">
        <f>'TX-HPLC-GL'!E11</f>
        <v>98382435.700000003</v>
      </c>
      <c r="H11" s="60">
        <f>F11-D11</f>
        <v>-37777255</v>
      </c>
      <c r="I11" s="38">
        <f>G11-E11</f>
        <v>-87117273.299999997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-2515818.69</v>
      </c>
      <c r="H12" s="60">
        <f>F12-D12</f>
        <v>0</v>
      </c>
      <c r="I12" s="38">
        <f>G12-E12</f>
        <v>-2515818.69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447399</v>
      </c>
      <c r="E13" s="66">
        <f>'TX-HPLC-FLSH'!M13</f>
        <v>968613</v>
      </c>
      <c r="F13" s="60">
        <f>'TX-HPLC-GL'!D13</f>
        <v>0</v>
      </c>
      <c r="G13" s="38">
        <f>'TX-HPLC-GL'!E13</f>
        <v>0</v>
      </c>
      <c r="H13" s="60">
        <f t="shared" ref="H13:I15" si="0">F13-D13</f>
        <v>-447399</v>
      </c>
      <c r="I13" s="38">
        <f t="shared" si="0"/>
        <v>-968613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120000</v>
      </c>
      <c r="H15" s="60">
        <f t="shared" si="0"/>
        <v>0</v>
      </c>
      <c r="I15" s="38">
        <f t="shared" si="0"/>
        <v>120000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72965837</v>
      </c>
      <c r="E16" s="39">
        <f t="shared" si="1"/>
        <v>186468322</v>
      </c>
      <c r="F16" s="61">
        <f t="shared" si="1"/>
        <v>34741183</v>
      </c>
      <c r="G16" s="39">
        <f t="shared" si="1"/>
        <v>95986617.010000005</v>
      </c>
      <c r="H16" s="61">
        <f t="shared" si="1"/>
        <v>-38224654</v>
      </c>
      <c r="I16" s="39">
        <f t="shared" si="1"/>
        <v>-90481704.989999995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-79116150</v>
      </c>
      <c r="E19" s="66">
        <f>'TX-HPLC-FLSH'!M19</f>
        <v>-201857085</v>
      </c>
      <c r="F19" s="60">
        <f>'TX-HPLC-GL'!D19</f>
        <v>-41785008</v>
      </c>
      <c r="G19" s="38">
        <f>'TX-HPLC-GL'!E19</f>
        <v>-116049167.18000001</v>
      </c>
      <c r="H19" s="60">
        <f>F19-D19</f>
        <v>37331142</v>
      </c>
      <c r="I19" s="38">
        <f>G19-E19</f>
        <v>85807917.819999993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-1224202.1399999999</v>
      </c>
      <c r="H20" s="60">
        <f>F20-D20</f>
        <v>0</v>
      </c>
      <c r="I20" s="38">
        <f>G20-E20</f>
        <v>-1224202.1399999999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-1209517</v>
      </c>
      <c r="E21" s="66">
        <f>'TX-HPLC-FLSH'!M21</f>
        <v>-2578691</v>
      </c>
      <c r="F21" s="60">
        <f>'TX-HPLC-GL'!D21</f>
        <v>0</v>
      </c>
      <c r="G21" s="38">
        <f>'TX-HPLC-GL'!E21</f>
        <v>0</v>
      </c>
      <c r="H21" s="60">
        <f t="shared" ref="H21:I23" si="2">F21-D21</f>
        <v>1209517</v>
      </c>
      <c r="I21" s="38">
        <f t="shared" si="2"/>
        <v>2578691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20100</v>
      </c>
      <c r="E23" s="66">
        <f>'TX-HPLC-FLSH'!M23</f>
        <v>42970</v>
      </c>
      <c r="F23" s="60">
        <f>'TX-HPLC-GL'!D23</f>
        <v>0</v>
      </c>
      <c r="G23" s="38">
        <f>'TX-HPLC-GL'!E23</f>
        <v>0</v>
      </c>
      <c r="H23" s="60">
        <f t="shared" si="2"/>
        <v>-20100</v>
      </c>
      <c r="I23" s="38">
        <f t="shared" si="2"/>
        <v>-42970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-80305567</v>
      </c>
      <c r="E24" s="39">
        <f t="shared" si="3"/>
        <v>-204392806</v>
      </c>
      <c r="F24" s="61">
        <f t="shared" si="3"/>
        <v>-41785008</v>
      </c>
      <c r="G24" s="39">
        <f t="shared" si="3"/>
        <v>-117273369.32000001</v>
      </c>
      <c r="H24" s="61">
        <f t="shared" si="3"/>
        <v>38520559</v>
      </c>
      <c r="I24" s="39">
        <f t="shared" si="3"/>
        <v>87119436.679999992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6564419</v>
      </c>
      <c r="E27" s="66">
        <f>'TX-HPLC-FLSH'!M27</f>
        <v>15242700</v>
      </c>
      <c r="F27" s="60">
        <f>'TX-HPLC-GL'!D27</f>
        <v>12066266</v>
      </c>
      <c r="G27" s="38">
        <f>'TX-HPLC-GL'!E27</f>
        <v>27743984</v>
      </c>
      <c r="H27" s="60">
        <f>F27-D27</f>
        <v>5501847</v>
      </c>
      <c r="I27" s="38">
        <f>G27-E27</f>
        <v>12501284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-3320188</v>
      </c>
      <c r="E28" s="66">
        <f>'TX-HPLC-FLSH'!M28</f>
        <v>-7466875</v>
      </c>
      <c r="F28" s="60">
        <f>'TX-HPLC-GL'!D28</f>
        <v>-4593426</v>
      </c>
      <c r="G28" s="38">
        <f>'TX-HPLC-GL'!E28</f>
        <v>-10186416</v>
      </c>
      <c r="H28" s="60">
        <f>F28-D28</f>
        <v>-1273238</v>
      </c>
      <c r="I28" s="38">
        <f>G28-E28</f>
        <v>-2719541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3244231</v>
      </c>
      <c r="E29" s="70">
        <f t="shared" si="4"/>
        <v>7775825</v>
      </c>
      <c r="F29" s="69">
        <f t="shared" si="4"/>
        <v>7472840</v>
      </c>
      <c r="G29" s="70">
        <f t="shared" si="4"/>
        <v>17557568</v>
      </c>
      <c r="H29" s="69">
        <f t="shared" si="4"/>
        <v>4228609</v>
      </c>
      <c r="I29" s="70">
        <f t="shared" si="4"/>
        <v>9781743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-397006</v>
      </c>
      <c r="G32" s="38">
        <f>'TX-HPLC-GL'!E32</f>
        <v>-1154096.01</v>
      </c>
      <c r="H32" s="60">
        <f>F32-D32</f>
        <v>-397006</v>
      </c>
      <c r="I32" s="38">
        <f>G32-E32</f>
        <v>-1154096.01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-397006</v>
      </c>
      <c r="G36" s="39">
        <f t="shared" si="6"/>
        <v>-1154096.01</v>
      </c>
      <c r="H36" s="61">
        <f t="shared" si="6"/>
        <v>-397006</v>
      </c>
      <c r="I36" s="39">
        <f t="shared" si="6"/>
        <v>-1154096.01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2259396</v>
      </c>
      <c r="E39" s="66">
        <f>'TX-HPLC-FLSH'!M39</f>
        <v>6260727</v>
      </c>
      <c r="F39" s="60">
        <f>'TX-HPLC-GL'!D39</f>
        <v>0</v>
      </c>
      <c r="G39" s="38">
        <f>'TX-HPLC-GL'!E39</f>
        <v>-876</v>
      </c>
      <c r="H39" s="60">
        <f t="shared" ref="H39:I41" si="7">F39-D39</f>
        <v>-2259396</v>
      </c>
      <c r="I39" s="38">
        <f t="shared" si="7"/>
        <v>-6261603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-2550952</v>
      </c>
      <c r="E40" s="66">
        <f>'TX-HPLC-FLSH'!M40</f>
        <v>-7697498</v>
      </c>
      <c r="F40" s="60">
        <f>'TX-HPLC-GL'!D40</f>
        <v>-420672</v>
      </c>
      <c r="G40" s="38">
        <f>'TX-HPLC-GL'!E40</f>
        <v>-946915.07</v>
      </c>
      <c r="H40" s="60">
        <f t="shared" si="7"/>
        <v>2130280</v>
      </c>
      <c r="I40" s="38">
        <f t="shared" si="7"/>
        <v>6750582.9299999997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-884369</v>
      </c>
      <c r="H41" s="60">
        <f t="shared" si="7"/>
        <v>0</v>
      </c>
      <c r="I41" s="38">
        <f t="shared" si="7"/>
        <v>-884369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-2550952</v>
      </c>
      <c r="E42" s="70">
        <f t="shared" si="8"/>
        <v>-7697498</v>
      </c>
      <c r="F42" s="69">
        <f t="shared" si="8"/>
        <v>-420672</v>
      </c>
      <c r="G42" s="70">
        <f t="shared" si="8"/>
        <v>-1831284.0699999998</v>
      </c>
      <c r="H42" s="69">
        <f t="shared" si="8"/>
        <v>2130280</v>
      </c>
      <c r="I42" s="70">
        <f t="shared" si="8"/>
        <v>5866213.9299999997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-291556</v>
      </c>
      <c r="E43" s="39">
        <f t="shared" si="9"/>
        <v>-1436771</v>
      </c>
      <c r="F43" s="61">
        <f t="shared" si="9"/>
        <v>-420672</v>
      </c>
      <c r="G43" s="39">
        <f t="shared" si="9"/>
        <v>-1832160.0699999998</v>
      </c>
      <c r="H43" s="61">
        <f t="shared" si="9"/>
        <v>-129116</v>
      </c>
      <c r="I43" s="39">
        <f t="shared" si="9"/>
        <v>-395389.0700000003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4387055</v>
      </c>
      <c r="E49" s="66">
        <f>'TX-HPLC-FLSH'!M49</f>
        <v>12751052.198809147</v>
      </c>
      <c r="F49" s="60">
        <f>'TX-HPLC-GL'!D49</f>
        <v>388663</v>
      </c>
      <c r="G49" s="38">
        <f>'TX-HPLC-GL'!E49</f>
        <v>1129842.9899999998</v>
      </c>
      <c r="H49" s="60">
        <f>F49-D49</f>
        <v>-3998392</v>
      </c>
      <c r="I49" s="38">
        <f>G49-E49</f>
        <v>-11621209.208809147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-1893243</v>
      </c>
      <c r="F54" s="60">
        <f>'TX-HPLC-GL'!D54</f>
        <v>-51207</v>
      </c>
      <c r="G54" s="38">
        <f>'TX-HPLC-GL'!E54</f>
        <v>-1511557.35</v>
      </c>
      <c r="H54" s="60">
        <f>F54-D54</f>
        <v>-51207</v>
      </c>
      <c r="I54" s="38">
        <f>G54-E54</f>
        <v>381685.64999999991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96648.89</v>
      </c>
      <c r="H55" s="60">
        <f>F55-D55</f>
        <v>0</v>
      </c>
      <c r="I55" s="38">
        <f>G55-E55</f>
        <v>96648.89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-1893243</v>
      </c>
      <c r="F56" s="61">
        <f t="shared" si="10"/>
        <v>-51207</v>
      </c>
      <c r="G56" s="39">
        <f t="shared" si="10"/>
        <v>-1414908.4600000002</v>
      </c>
      <c r="H56" s="61">
        <f t="shared" si="10"/>
        <v>-51207</v>
      </c>
      <c r="I56" s="39">
        <f t="shared" si="10"/>
        <v>478334.53999999992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9151</v>
      </c>
      <c r="H60" s="60">
        <f>F60-D60</f>
        <v>0</v>
      </c>
      <c r="I60" s="38">
        <f>G60-E60</f>
        <v>9151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9151</v>
      </c>
      <c r="H61" s="69">
        <f t="shared" si="11"/>
        <v>0</v>
      </c>
      <c r="I61" s="70">
        <f t="shared" si="11"/>
        <v>9151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10000</v>
      </c>
      <c r="H64" s="60">
        <f>F64-D64</f>
        <v>0</v>
      </c>
      <c r="I64" s="38">
        <f>G64-E64</f>
        <v>10000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70000</v>
      </c>
      <c r="H66" s="61">
        <f t="shared" si="12"/>
        <v>0</v>
      </c>
      <c r="I66" s="39">
        <f t="shared" si="12"/>
        <v>70000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-697178</v>
      </c>
      <c r="H74" s="60">
        <f t="shared" ref="H74:I79" si="14">F74-D74</f>
        <v>0</v>
      </c>
      <c r="I74" s="38">
        <f t="shared" si="14"/>
        <v>-697178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-4125</v>
      </c>
      <c r="H76" s="60">
        <f t="shared" si="14"/>
        <v>0</v>
      </c>
      <c r="I76" s="38">
        <f t="shared" si="14"/>
        <v>-4125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-108300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650000</v>
      </c>
      <c r="H81" s="60">
        <f>F81-D81</f>
        <v>0</v>
      </c>
      <c r="I81" s="38">
        <f>G81-E81</f>
        <v>650000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-835920.80119085312</v>
      </c>
      <c r="F82" s="109">
        <f>F16+F24+F29+F36+F43+F45+F47+F49</f>
        <v>0</v>
      </c>
      <c r="G82" s="110">
        <f>SUM(G72:G81)+G16+G24+G29+G36+G43+G45+G47+G49+G51+G56+G61+G66</f>
        <v>-7080957.8600000022</v>
      </c>
      <c r="H82" s="109">
        <f>H16+H24+H29+H36+H43+H45+H47+H49</f>
        <v>0</v>
      </c>
      <c r="I82" s="110">
        <f>SUM(I72:I81)+I16+I24+I29+I36+I43+I45+I47+I49+I51+I56+I61+I66</f>
        <v>-6245037.0588091491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242607</v>
      </c>
      <c r="H86" s="169">
        <f t="shared" ref="H86:I88" si="15">F86-D86</f>
        <v>0</v>
      </c>
      <c r="I86" s="169">
        <f t="shared" si="15"/>
        <v>242607</v>
      </c>
    </row>
    <row r="87" spans="1:63" x14ac:dyDescent="0.2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-390400</v>
      </c>
      <c r="H88" s="171">
        <f t="shared" si="15"/>
        <v>0</v>
      </c>
      <c r="I88" s="171">
        <f t="shared" si="15"/>
        <v>-390400</v>
      </c>
    </row>
    <row r="89" spans="1:63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-147793</v>
      </c>
      <c r="H89" s="184">
        <f t="shared" si="16"/>
        <v>0</v>
      </c>
      <c r="I89" s="184">
        <f t="shared" si="16"/>
        <v>-147793</v>
      </c>
    </row>
    <row r="90" spans="1:63" x14ac:dyDescent="0.2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-835920.80119085312</v>
      </c>
      <c r="F91" s="184">
        <f t="shared" si="17"/>
        <v>0</v>
      </c>
      <c r="G91" s="184">
        <f t="shared" si="17"/>
        <v>-7228750.8600000022</v>
      </c>
      <c r="H91" s="184">
        <f t="shared" si="17"/>
        <v>0</v>
      </c>
      <c r="I91" s="184">
        <f t="shared" si="17"/>
        <v>-6392830.0588091491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84196417</v>
      </c>
      <c r="E11" s="66">
        <f>'TX-CON-FLSH'!M11</f>
        <v>218187562</v>
      </c>
      <c r="F11" s="60">
        <f>'TX-CON-GL '!D11</f>
        <v>43410905</v>
      </c>
      <c r="G11" s="38">
        <f>'TX-CON-GL '!E11</f>
        <v>125948267.78999998</v>
      </c>
      <c r="H11" s="60">
        <f>F11-D11</f>
        <v>-40785512</v>
      </c>
      <c r="I11" s="38">
        <f>G11-E11</f>
        <v>-92239294.210000023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-3478670.24</v>
      </c>
      <c r="H12" s="60">
        <f>F12-D12</f>
        <v>0</v>
      </c>
      <c r="I12" s="38">
        <f>G12-E12</f>
        <v>-3478670.24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447399</v>
      </c>
      <c r="E13" s="66">
        <f>'TX-CON-FLSH'!M13</f>
        <v>968613</v>
      </c>
      <c r="F13" s="60">
        <f>'TX-CON-GL '!D13</f>
        <v>3725247</v>
      </c>
      <c r="G13" s="38">
        <f>'TX-CON-GL '!E13</f>
        <v>8162482</v>
      </c>
      <c r="H13" s="60">
        <f t="shared" ref="H13:I15" si="0">F13-D13</f>
        <v>3277848</v>
      </c>
      <c r="I13" s="38">
        <f t="shared" si="0"/>
        <v>7193869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120000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84643816</v>
      </c>
      <c r="E16" s="39">
        <f t="shared" si="1"/>
        <v>219276175</v>
      </c>
      <c r="F16" s="61">
        <f t="shared" si="1"/>
        <v>47136152</v>
      </c>
      <c r="G16" s="39">
        <f t="shared" si="1"/>
        <v>130752079.54999998</v>
      </c>
      <c r="H16" s="61">
        <f t="shared" si="1"/>
        <v>-37507664</v>
      </c>
      <c r="I16" s="39">
        <f t="shared" si="1"/>
        <v>-88524095.450000018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-86608942</v>
      </c>
      <c r="E19" s="66">
        <f>'TX-CON-FLSH'!M19</f>
        <v>-218971235</v>
      </c>
      <c r="F19" s="60">
        <f>'TX-CON-GL '!D19</f>
        <v>-42343985</v>
      </c>
      <c r="G19" s="38">
        <f>'TX-CON-GL '!E19</f>
        <v>-116787776.67999999</v>
      </c>
      <c r="H19" s="60">
        <f>F19-D19</f>
        <v>44264957</v>
      </c>
      <c r="I19" s="38">
        <f>G19-E19</f>
        <v>102183458.32000001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795977.8600000001</v>
      </c>
      <c r="H20" s="60">
        <f>F20-D20</f>
        <v>0</v>
      </c>
      <c r="I20" s="38">
        <f>G20-E20</f>
        <v>795977.8600000001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-1209517</v>
      </c>
      <c r="E21" s="66">
        <f>'TX-CON-FLSH'!M21</f>
        <v>-2578691</v>
      </c>
      <c r="F21" s="60">
        <f>'TX-CON-GL '!D21</f>
        <v>-3725247</v>
      </c>
      <c r="G21" s="38">
        <f>'TX-CON-GL '!E21</f>
        <v>-8162482</v>
      </c>
      <c r="H21" s="60">
        <f t="shared" ref="H21:I23" si="2">F21-D21</f>
        <v>-2515730</v>
      </c>
      <c r="I21" s="38">
        <f t="shared" si="2"/>
        <v>-5583791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20106</v>
      </c>
      <c r="E23" s="66">
        <f>'TX-CON-FLSH'!M23</f>
        <v>42982</v>
      </c>
      <c r="F23" s="60">
        <f>'TX-CON-GL '!D23</f>
        <v>18416</v>
      </c>
      <c r="G23" s="38">
        <f>'TX-CON-GL '!E23</f>
        <v>53535.311999999998</v>
      </c>
      <c r="H23" s="60">
        <f t="shared" si="2"/>
        <v>-1690</v>
      </c>
      <c r="I23" s="38">
        <f t="shared" si="2"/>
        <v>10553.311999999998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-87798353</v>
      </c>
      <c r="E24" s="39">
        <f t="shared" si="3"/>
        <v>-221506944</v>
      </c>
      <c r="F24" s="61">
        <f t="shared" si="3"/>
        <v>-46050816</v>
      </c>
      <c r="G24" s="39">
        <f t="shared" si="3"/>
        <v>-124100745.50799999</v>
      </c>
      <c r="H24" s="61">
        <f t="shared" si="3"/>
        <v>41747537</v>
      </c>
      <c r="I24" s="39">
        <f t="shared" si="3"/>
        <v>97406198.492000014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10289666</v>
      </c>
      <c r="E27" s="66">
        <f>'TX-CON-FLSH'!M27</f>
        <v>23405182</v>
      </c>
      <c r="F27" s="60">
        <f>'TX-CON-GL '!D27</f>
        <v>15336092</v>
      </c>
      <c r="G27" s="38">
        <f>'TX-CON-GL '!E27</f>
        <v>35116830.039999999</v>
      </c>
      <c r="H27" s="60">
        <f>F27-D27</f>
        <v>5046426</v>
      </c>
      <c r="I27" s="38">
        <f>G27-E27</f>
        <v>11711648.039999999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-7045435</v>
      </c>
      <c r="E28" s="66">
        <f>'TX-CON-FLSH'!M28</f>
        <v>-15629357</v>
      </c>
      <c r="F28" s="60">
        <f>'TX-CON-GL '!D28</f>
        <v>-16176799</v>
      </c>
      <c r="G28" s="38">
        <f>'TX-CON-GL '!E28</f>
        <v>-36873221.319999993</v>
      </c>
      <c r="H28" s="60">
        <f>F28-D28</f>
        <v>-9131364</v>
      </c>
      <c r="I28" s="38">
        <f>G28-E28</f>
        <v>-21243864.319999993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3244231</v>
      </c>
      <c r="E29" s="70">
        <f t="shared" si="4"/>
        <v>7775825</v>
      </c>
      <c r="F29" s="69">
        <f t="shared" si="4"/>
        <v>-840707</v>
      </c>
      <c r="G29" s="70">
        <f t="shared" si="4"/>
        <v>-1756391.2799999937</v>
      </c>
      <c r="H29" s="69">
        <f t="shared" si="4"/>
        <v>-4084938</v>
      </c>
      <c r="I29" s="70">
        <f t="shared" si="4"/>
        <v>-9532216.2799999937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72469</v>
      </c>
      <c r="G32" s="38">
        <f>'TX-CON-GL '!E32</f>
        <v>210667.40000000084</v>
      </c>
      <c r="H32" s="60">
        <f>F32-D32</f>
        <v>72469</v>
      </c>
      <c r="I32" s="38">
        <f>G32-E32</f>
        <v>210667.40000000084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72469</v>
      </c>
      <c r="G36" s="39">
        <f t="shared" si="6"/>
        <v>210667.40000000084</v>
      </c>
      <c r="H36" s="61">
        <f t="shared" si="6"/>
        <v>72469</v>
      </c>
      <c r="I36" s="39">
        <f t="shared" si="6"/>
        <v>210667.40000000084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2304396</v>
      </c>
      <c r="E39" s="66">
        <f>'TX-CON-FLSH'!M39</f>
        <v>6397077</v>
      </c>
      <c r="F39" s="60">
        <f>'TX-CON-GL '!D39</f>
        <v>44550</v>
      </c>
      <c r="G39" s="38">
        <f>'TX-CON-GL '!E39</f>
        <v>128630.85</v>
      </c>
      <c r="H39" s="60">
        <f t="shared" ref="H39:I41" si="7">F39-D39</f>
        <v>-2259846</v>
      </c>
      <c r="I39" s="38">
        <f t="shared" si="7"/>
        <v>-6268446.1500000004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-2550952</v>
      </c>
      <c r="E40" s="66">
        <f>'TX-CON-FLSH'!M40</f>
        <v>-7697498</v>
      </c>
      <c r="F40" s="60">
        <f>'TX-CON-GL '!D40</f>
        <v>-421064</v>
      </c>
      <c r="G40" s="38">
        <f>'TX-CON-GL '!E40</f>
        <v>-950628</v>
      </c>
      <c r="H40" s="60">
        <f t="shared" si="7"/>
        <v>2129888</v>
      </c>
      <c r="I40" s="38">
        <f t="shared" si="7"/>
        <v>6746870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-469242</v>
      </c>
      <c r="H41" s="60">
        <f t="shared" si="7"/>
        <v>0</v>
      </c>
      <c r="I41" s="38">
        <f t="shared" si="7"/>
        <v>-469242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-2550952</v>
      </c>
      <c r="E42" s="70">
        <f t="shared" si="8"/>
        <v>-7697498</v>
      </c>
      <c r="F42" s="69">
        <f t="shared" si="8"/>
        <v>-421064</v>
      </c>
      <c r="G42" s="70">
        <f t="shared" si="8"/>
        <v>-1419870</v>
      </c>
      <c r="H42" s="69">
        <f t="shared" si="8"/>
        <v>2129888</v>
      </c>
      <c r="I42" s="70">
        <f t="shared" si="8"/>
        <v>6277628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-246556</v>
      </c>
      <c r="E43" s="39">
        <f t="shared" si="9"/>
        <v>-1300421</v>
      </c>
      <c r="F43" s="61">
        <f t="shared" si="9"/>
        <v>-376514</v>
      </c>
      <c r="G43" s="39">
        <f t="shared" si="9"/>
        <v>-1291239.1499999999</v>
      </c>
      <c r="H43" s="61">
        <f t="shared" si="9"/>
        <v>-129958</v>
      </c>
      <c r="I43" s="39">
        <f t="shared" si="9"/>
        <v>9181.8499999996275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9099.619999999999</v>
      </c>
      <c r="H47" s="60">
        <f>F47-D47</f>
        <v>0</v>
      </c>
      <c r="I47" s="38">
        <f>G47-E47</f>
        <v>9099.619999999999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156862</v>
      </c>
      <c r="E49" s="66">
        <f>'TX-CON-FLSH'!M49</f>
        <v>455922.15051089972</v>
      </c>
      <c r="F49" s="60">
        <f>'TX-CON-GL '!D49</f>
        <v>59416</v>
      </c>
      <c r="G49" s="38">
        <f>'TX-CON-GL '!E49</f>
        <v>172728.16200000129</v>
      </c>
      <c r="H49" s="60">
        <f>F49-D49</f>
        <v>-97446</v>
      </c>
      <c r="I49" s="38">
        <f>G49-E49</f>
        <v>-283193.98851089843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-18416</v>
      </c>
      <c r="G51" s="38">
        <f>'TX-CON-GL '!E51</f>
        <v>-53535.311999999998</v>
      </c>
      <c r="H51" s="60">
        <f>F51-D51</f>
        <v>-18416</v>
      </c>
      <c r="I51" s="38">
        <f>G51-E51</f>
        <v>-53535.311999999998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-1893243</v>
      </c>
      <c r="F54" s="60">
        <f>'TX-CON-GL '!D54</f>
        <v>-11635016</v>
      </c>
      <c r="G54" s="38">
        <f>'TX-CON-GL '!E54</f>
        <v>-1601604.5900000003</v>
      </c>
      <c r="H54" s="60">
        <f>F54-D54</f>
        <v>-11635016</v>
      </c>
      <c r="I54" s="38">
        <f>G54-E54</f>
        <v>291638.40999999968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-8219</v>
      </c>
      <c r="G55" s="38">
        <f>'TX-CON-GL '!E55</f>
        <v>-50518.53</v>
      </c>
      <c r="H55" s="60">
        <f>F55-D55</f>
        <v>-8219</v>
      </c>
      <c r="I55" s="38">
        <f>G55-E55</f>
        <v>-50518.53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-1893243</v>
      </c>
      <c r="F56" s="61">
        <f t="shared" si="10"/>
        <v>-11643235</v>
      </c>
      <c r="G56" s="39">
        <f t="shared" si="10"/>
        <v>-1652123.1200000003</v>
      </c>
      <c r="H56" s="61">
        <f t="shared" si="10"/>
        <v>-11643235</v>
      </c>
      <c r="I56" s="39">
        <f t="shared" si="10"/>
        <v>241119.87999999968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-12452.81</v>
      </c>
      <c r="H64" s="60">
        <f>F64-D64</f>
        <v>0</v>
      </c>
      <c r="I64" s="38">
        <f>G64-E64</f>
        <v>-12452.81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47547.19</v>
      </c>
      <c r="H66" s="61">
        <f t="shared" si="12"/>
        <v>0</v>
      </c>
      <c r="I66" s="39">
        <f t="shared" si="12"/>
        <v>47547.19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-1210108.6200000001</v>
      </c>
      <c r="F70" s="60">
        <f>'TX-CON-GL '!D70</f>
        <v>0</v>
      </c>
      <c r="G70" s="38">
        <f>'TX-CON-GL '!E70</f>
        <v>-1210108.6200000001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876740</v>
      </c>
      <c r="F71" s="60">
        <f>'TX-CON-GL '!D71</f>
        <v>0</v>
      </c>
      <c r="G71" s="38">
        <f>'TX-CON-GL '!E71</f>
        <v>876739.35</v>
      </c>
      <c r="H71" s="60">
        <f>F71-D71</f>
        <v>0</v>
      </c>
      <c r="I71" s="38">
        <f>G71-E71</f>
        <v>-0.65000000002328306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-333368.62000000011</v>
      </c>
      <c r="F72" s="69">
        <f t="shared" si="13"/>
        <v>0</v>
      </c>
      <c r="G72" s="70">
        <f t="shared" si="13"/>
        <v>-333369.27000000014</v>
      </c>
      <c r="H72" s="69">
        <f t="shared" si="13"/>
        <v>0</v>
      </c>
      <c r="I72" s="70">
        <f t="shared" si="13"/>
        <v>-0.65000000002328306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-619419.84</v>
      </c>
      <c r="F74" s="60">
        <f>'TX-CON-GL '!D74</f>
        <v>0</v>
      </c>
      <c r="G74" s="38">
        <f>'TX-CON-GL '!E74</f>
        <v>-902978</v>
      </c>
      <c r="H74" s="60">
        <f t="shared" ref="H74:I79" si="14">F74-D74</f>
        <v>0</v>
      </c>
      <c r="I74" s="38">
        <f t="shared" si="14"/>
        <v>-283558.16000000003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0</v>
      </c>
      <c r="F75" s="60">
        <f>'TX-CON-GL '!D75</f>
        <v>0</v>
      </c>
      <c r="G75" s="38">
        <f>'TX-CON-GL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0</v>
      </c>
      <c r="F76" s="60">
        <f>'TX-CON-GL '!D76</f>
        <v>0</v>
      </c>
      <c r="G76" s="38">
        <f>'TX-CON-GL '!E76</f>
        <v>-10421.299999999999</v>
      </c>
      <c r="H76" s="60">
        <f t="shared" si="14"/>
        <v>0</v>
      </c>
      <c r="I76" s="38">
        <f t="shared" si="14"/>
        <v>-10421.299999999999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-108300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697272</v>
      </c>
      <c r="F81" s="60">
        <f>'TX-CON-GL '!D81</f>
        <v>0</v>
      </c>
      <c r="G81" s="38">
        <f>'TX-CON-GL '!E81</f>
        <v>650000</v>
      </c>
      <c r="H81" s="60">
        <f>F81-D81</f>
        <v>0</v>
      </c>
      <c r="I81" s="38">
        <f>G81-E81</f>
        <v>-47272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2443497.6905108914</v>
      </c>
      <c r="F82" s="109">
        <f>F16+F24+F29+F36+F43+F45+F47+F49</f>
        <v>0</v>
      </c>
      <c r="G82" s="110">
        <f>SUM(G72:G81)+G16+G24+G29+G36+G43+G45+G47+G49+G51+G56+G61+G66</f>
        <v>1633018.9820000108</v>
      </c>
      <c r="H82" s="109">
        <f>H16+H24+H29+H36+H43+H45+H47+H49</f>
        <v>0</v>
      </c>
      <c r="I82" s="110">
        <f>SUM(I72:I81)+I16+I24+I29+I36+I43+I45+I47+I49+I51+I56+I61+I66</f>
        <v>-810478.70851089573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'TX-CON-FLSH'!L86</f>
        <v>0</v>
      </c>
      <c r="E86" s="169">
        <f>'TX-CON-FLSH'!M86</f>
        <v>-152498</v>
      </c>
      <c r="F86" s="169">
        <f>'TX-CON-GL '!D86</f>
        <v>0</v>
      </c>
      <c r="G86" s="169">
        <f>'TX-CON-GL '!E86</f>
        <v>242607</v>
      </c>
      <c r="H86" s="169">
        <f t="shared" ref="H86:I88" si="15">F86-D86</f>
        <v>0</v>
      </c>
      <c r="I86" s="169">
        <f t="shared" si="15"/>
        <v>395105</v>
      </c>
    </row>
    <row r="87" spans="1:63" x14ac:dyDescent="0.2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'TX-CON-FLSH'!L88</f>
        <v>0</v>
      </c>
      <c r="E88" s="171">
        <f>'TX-CON-FLSH'!M88</f>
        <v>0</v>
      </c>
      <c r="F88" s="171">
        <f>'TX-CON-GL '!D88</f>
        <v>0</v>
      </c>
      <c r="G88" s="171">
        <f>'TX-CON-GL '!E88</f>
        <v>-390400</v>
      </c>
      <c r="H88" s="171">
        <f t="shared" si="15"/>
        <v>0</v>
      </c>
      <c r="I88" s="171">
        <f t="shared" si="15"/>
        <v>-390400</v>
      </c>
    </row>
    <row r="89" spans="1:63" ht="15" x14ac:dyDescent="0.2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-152498</v>
      </c>
      <c r="F89" s="179">
        <f t="shared" si="16"/>
        <v>0</v>
      </c>
      <c r="G89" s="179">
        <f t="shared" si="16"/>
        <v>-147793</v>
      </c>
      <c r="H89" s="179">
        <f t="shared" si="16"/>
        <v>0</v>
      </c>
      <c r="I89" s="179">
        <f t="shared" si="16"/>
        <v>4705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5"/>
      <c r="B91" s="176"/>
      <c r="C91" s="181" t="s">
        <v>172</v>
      </c>
      <c r="D91" s="179">
        <f t="shared" ref="D91:I91" si="17">+D82+D89</f>
        <v>0</v>
      </c>
      <c r="E91" s="179">
        <f t="shared" si="17"/>
        <v>2290999.6905108914</v>
      </c>
      <c r="F91" s="179">
        <f t="shared" si="17"/>
        <v>0</v>
      </c>
      <c r="G91" s="179">
        <f t="shared" si="17"/>
        <v>1485225.9820000108</v>
      </c>
      <c r="H91" s="179">
        <f t="shared" si="17"/>
        <v>0</v>
      </c>
      <c r="I91" s="179">
        <f t="shared" si="17"/>
        <v>-805773.70851089573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30324706</v>
      </c>
      <c r="E11" s="66">
        <f>'WE-FLSH'!M11</f>
        <v>83109250</v>
      </c>
      <c r="F11" s="60">
        <f>'WE-GL '!D11</f>
        <v>29850257</v>
      </c>
      <c r="G11" s="38">
        <f>'WE-GL '!E11</f>
        <v>79654897.960000008</v>
      </c>
      <c r="H11" s="60">
        <f>F11-D11</f>
        <v>-474449</v>
      </c>
      <c r="I11" s="38">
        <f>G11-E11</f>
        <v>-3454352.0399999917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1951956.98</v>
      </c>
      <c r="H12" s="60">
        <f>F12-D12</f>
        <v>0</v>
      </c>
      <c r="I12" s="38">
        <f>G12-E12</f>
        <v>1951956.98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14474230</v>
      </c>
      <c r="E13" s="66">
        <f>'WE-FLSH'!M13</f>
        <v>34297248</v>
      </c>
      <c r="F13" s="60">
        <f>'WE-GL '!D13</f>
        <v>14440811</v>
      </c>
      <c r="G13" s="38">
        <f>'WE-GL '!E13</f>
        <v>34228120</v>
      </c>
      <c r="H13" s="60">
        <f t="shared" ref="H13:I15" si="0">F13-D13</f>
        <v>-33419</v>
      </c>
      <c r="I13" s="38">
        <f t="shared" si="0"/>
        <v>-69128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1109336.6599999999</v>
      </c>
      <c r="F15" s="60">
        <f>'WE-GL '!D15</f>
        <v>0</v>
      </c>
      <c r="G15" s="38">
        <f>'WE-GL '!E15</f>
        <v>1131190.43</v>
      </c>
      <c r="H15" s="60">
        <f t="shared" si="0"/>
        <v>0</v>
      </c>
      <c r="I15" s="38">
        <f t="shared" si="0"/>
        <v>21853.770000000019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44798936</v>
      </c>
      <c r="E16" s="39">
        <f t="shared" si="1"/>
        <v>118515834.66</v>
      </c>
      <c r="F16" s="61">
        <f t="shared" si="1"/>
        <v>44291068</v>
      </c>
      <c r="G16" s="39">
        <f t="shared" si="1"/>
        <v>116966165.37000002</v>
      </c>
      <c r="H16" s="61">
        <f t="shared" si="1"/>
        <v>-507868</v>
      </c>
      <c r="I16" s="39">
        <f t="shared" si="1"/>
        <v>-1549669.2899999917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-31503134</v>
      </c>
      <c r="E19" s="66">
        <f>'WE-FLSH'!M19</f>
        <v>-89103809</v>
      </c>
      <c r="F19" s="60">
        <f>'WE-GL '!D19</f>
        <v>-31454557</v>
      </c>
      <c r="G19" s="38">
        <f>'WE-GL '!E19</f>
        <v>-87283210.959999993</v>
      </c>
      <c r="H19" s="60">
        <f>F19-D19</f>
        <v>48577</v>
      </c>
      <c r="I19" s="38">
        <f>G19-E19</f>
        <v>1820598.0400000066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-1061975.8400000001</v>
      </c>
      <c r="H20" s="60">
        <f>F20-D20</f>
        <v>0</v>
      </c>
      <c r="I20" s="38">
        <f>G20-E20</f>
        <v>-1061975.8400000001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-13692828</v>
      </c>
      <c r="E21" s="66">
        <f>'WE-FLSH'!M21</f>
        <v>-31908650</v>
      </c>
      <c r="F21" s="60">
        <f>'WE-GL '!D21</f>
        <v>-13692828</v>
      </c>
      <c r="G21" s="38">
        <f>'WE-GL '!E21</f>
        <v>-31908650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274339</v>
      </c>
      <c r="E23" s="66">
        <f>'WE-FLSH'!M23</f>
        <v>593522</v>
      </c>
      <c r="F23" s="60">
        <f>'WE-GL '!D23</f>
        <v>313415</v>
      </c>
      <c r="G23" s="38">
        <f>'WE-GL '!E23</f>
        <v>905455.93400000001</v>
      </c>
      <c r="H23" s="60">
        <f t="shared" si="2"/>
        <v>39076</v>
      </c>
      <c r="I23" s="38">
        <f t="shared" si="2"/>
        <v>311933.93400000001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-44921623</v>
      </c>
      <c r="E24" s="39">
        <f t="shared" si="3"/>
        <v>-120418937</v>
      </c>
      <c r="F24" s="61">
        <f t="shared" si="3"/>
        <v>-44833970</v>
      </c>
      <c r="G24" s="39">
        <f t="shared" si="3"/>
        <v>-119348380.866</v>
      </c>
      <c r="H24" s="61">
        <f t="shared" si="3"/>
        <v>87653</v>
      </c>
      <c r="I24" s="39">
        <f t="shared" si="3"/>
        <v>1070556.1340000066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683303</v>
      </c>
      <c r="G27" s="38">
        <f>'WE-GL '!E27</f>
        <v>1398317.28</v>
      </c>
      <c r="H27" s="60">
        <f>F27-D27</f>
        <v>683303</v>
      </c>
      <c r="I27" s="38">
        <f>G27-E27</f>
        <v>1398317.28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-143499</v>
      </c>
      <c r="G28" s="38">
        <f>'WE-GL '!E28</f>
        <v>-281037.87</v>
      </c>
      <c r="H28" s="60">
        <f>F28-D28</f>
        <v>-143499</v>
      </c>
      <c r="I28" s="38">
        <f>G28-E28</f>
        <v>-281037.87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539804</v>
      </c>
      <c r="G29" s="70">
        <f t="shared" si="4"/>
        <v>1117279.4100000001</v>
      </c>
      <c r="H29" s="69">
        <f t="shared" si="4"/>
        <v>539804</v>
      </c>
      <c r="I29" s="70">
        <f t="shared" si="4"/>
        <v>1117279.4100000001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13842</v>
      </c>
      <c r="E32" s="66">
        <f>'WE-FLSH'!M32</f>
        <v>36910</v>
      </c>
      <c r="F32" s="60">
        <f>'WE-GL '!D32</f>
        <v>-65064</v>
      </c>
      <c r="G32" s="38">
        <f>'WE-GL '!E32</f>
        <v>-187969.89500000002</v>
      </c>
      <c r="H32" s="60">
        <f>F32-D32</f>
        <v>-78906</v>
      </c>
      <c r="I32" s="38">
        <f>G32-E32</f>
        <v>-224879.89500000002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-6959</v>
      </c>
      <c r="G33" s="38">
        <f>'WE-GL '!E33</f>
        <v>-2773.2400000000002</v>
      </c>
      <c r="H33" s="60">
        <f t="shared" ref="H33:I35" si="5">F33-D33</f>
        <v>-6959</v>
      </c>
      <c r="I33" s="38">
        <f t="shared" si="5"/>
        <v>-2773.2400000000002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24613</v>
      </c>
      <c r="G34" s="38">
        <f>'WE-GL '!E34</f>
        <v>46412.55</v>
      </c>
      <c r="H34" s="60">
        <f t="shared" si="5"/>
        <v>24613</v>
      </c>
      <c r="I34" s="38">
        <f t="shared" si="5"/>
        <v>46412.55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51345</v>
      </c>
      <c r="E35" s="66">
        <f>'WE-FLSH'!M35</f>
        <v>92647</v>
      </c>
      <c r="F35" s="60">
        <f>'WE-GL '!D35</f>
        <v>0</v>
      </c>
      <c r="G35" s="38">
        <f>'WE-GL '!E35</f>
        <v>-148615.94</v>
      </c>
      <c r="H35" s="60">
        <f t="shared" si="5"/>
        <v>-51345</v>
      </c>
      <c r="I35" s="38">
        <f t="shared" si="5"/>
        <v>-241262.94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65187</v>
      </c>
      <c r="E36" s="39">
        <f t="shared" si="6"/>
        <v>129557</v>
      </c>
      <c r="F36" s="61">
        <f t="shared" si="6"/>
        <v>-47410</v>
      </c>
      <c r="G36" s="39">
        <f t="shared" si="6"/>
        <v>-292946.52500000002</v>
      </c>
      <c r="H36" s="61">
        <f t="shared" si="6"/>
        <v>-112597</v>
      </c>
      <c r="I36" s="39">
        <f t="shared" si="6"/>
        <v>-422503.52500000002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75417</v>
      </c>
      <c r="E39" s="66">
        <f>'WE-FLSH'!M39</f>
        <v>163490</v>
      </c>
      <c r="F39" s="60">
        <f>'WE-GL '!D39</f>
        <v>94537</v>
      </c>
      <c r="G39" s="38">
        <f>'WE-GL '!E39</f>
        <v>245148.74</v>
      </c>
      <c r="H39" s="60">
        <f t="shared" ref="H39:I41" si="7">F39-D39</f>
        <v>19120</v>
      </c>
      <c r="I39" s="38">
        <f t="shared" si="7"/>
        <v>81658.739999999991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-31776</v>
      </c>
      <c r="E40" s="66">
        <f>'WE-FLSH'!M40</f>
        <v>-66822</v>
      </c>
      <c r="F40" s="60">
        <f>'WE-GL '!D40</f>
        <v>0</v>
      </c>
      <c r="G40" s="38">
        <f>'WE-GL '!E40</f>
        <v>0</v>
      </c>
      <c r="H40" s="60">
        <f t="shared" si="7"/>
        <v>31776</v>
      </c>
      <c r="I40" s="38">
        <f t="shared" si="7"/>
        <v>66822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-31776</v>
      </c>
      <c r="E42" s="39">
        <f t="shared" si="8"/>
        <v>-66822</v>
      </c>
      <c r="F42" s="61">
        <f t="shared" si="8"/>
        <v>0</v>
      </c>
      <c r="G42" s="39">
        <f t="shared" si="8"/>
        <v>0</v>
      </c>
      <c r="H42" s="61">
        <f t="shared" si="8"/>
        <v>31776</v>
      </c>
      <c r="I42" s="39">
        <f t="shared" si="8"/>
        <v>66822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43641</v>
      </c>
      <c r="E43" s="39">
        <f t="shared" si="9"/>
        <v>96668</v>
      </c>
      <c r="F43" s="61">
        <f t="shared" si="9"/>
        <v>94537</v>
      </c>
      <c r="G43" s="39">
        <f t="shared" si="9"/>
        <v>245148.74</v>
      </c>
      <c r="H43" s="61">
        <f t="shared" si="9"/>
        <v>50896</v>
      </c>
      <c r="I43" s="39">
        <f t="shared" si="9"/>
        <v>148480.74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13859</v>
      </c>
      <c r="E49" s="66">
        <f>'WE-FLSH'!M49</f>
        <v>40037.479267444913</v>
      </c>
      <c r="F49" s="60">
        <f>'WE-GL '!D49</f>
        <v>-44029</v>
      </c>
      <c r="G49" s="38">
        <f>'WE-GL '!E49</f>
        <v>-127199.78100000019</v>
      </c>
      <c r="H49" s="60">
        <f>F49-D49</f>
        <v>-57888</v>
      </c>
      <c r="I49" s="38">
        <f>G49-E49</f>
        <v>-167237.26026744512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-274339</v>
      </c>
      <c r="E51" s="66">
        <f>'WE-FLSH'!M51</f>
        <v>-593522</v>
      </c>
      <c r="F51" s="60">
        <f>'WE-GL '!D51</f>
        <v>-313415</v>
      </c>
      <c r="G51" s="38">
        <f>'WE-GL '!E51</f>
        <v>-905455.93400000001</v>
      </c>
      <c r="H51" s="60">
        <f>F51-D51</f>
        <v>-39076</v>
      </c>
      <c r="I51" s="38">
        <f>G51-E51</f>
        <v>-311933.93400000001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-230</v>
      </c>
      <c r="F54" s="60">
        <f>'WE-GL '!D54</f>
        <v>-22388172</v>
      </c>
      <c r="G54" s="38">
        <f>'WE-GL '!E54</f>
        <v>-52853.44999999999</v>
      </c>
      <c r="H54" s="60">
        <f>F54-D54</f>
        <v>-22388172</v>
      </c>
      <c r="I54" s="38">
        <f>G54-E54</f>
        <v>-52623.44999999999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-2454820.62</v>
      </c>
      <c r="F55" s="60">
        <f>'WE-GL '!D55</f>
        <v>0</v>
      </c>
      <c r="G55" s="38">
        <f>'WE-GL '!E55</f>
        <v>-2524306.5999999996</v>
      </c>
      <c r="H55" s="60">
        <f>F55-D55</f>
        <v>0</v>
      </c>
      <c r="I55" s="38">
        <f>G55-E55</f>
        <v>-69485.979999999516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-2455050.62</v>
      </c>
      <c r="F56" s="61">
        <f t="shared" si="10"/>
        <v>-22388172</v>
      </c>
      <c r="G56" s="39">
        <f t="shared" si="10"/>
        <v>-2577160.0499999998</v>
      </c>
      <c r="H56" s="61">
        <f t="shared" si="10"/>
        <v>-22388172</v>
      </c>
      <c r="I56" s="39">
        <f t="shared" si="10"/>
        <v>-122109.4299999995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1968882.4585000004</v>
      </c>
      <c r="F70" s="60">
        <f>'WE-GL '!D70</f>
        <v>0</v>
      </c>
      <c r="G70" s="38">
        <f>'WE-GL '!E70</f>
        <v>1968882.46</v>
      </c>
      <c r="H70" s="60">
        <f>F70-D70</f>
        <v>0</v>
      </c>
      <c r="I70" s="38">
        <f>G70-E70</f>
        <v>1.4999995473772287E-3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1343082</v>
      </c>
      <c r="F71" s="60">
        <f>'WE-GL '!D71</f>
        <v>0</v>
      </c>
      <c r="G71" s="38">
        <f>'WE-GL '!E71</f>
        <v>1343082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3311964.4585000006</v>
      </c>
      <c r="F72" s="61">
        <f t="shared" si="13"/>
        <v>0</v>
      </c>
      <c r="G72" s="39">
        <f t="shared" si="13"/>
        <v>3311964.46</v>
      </c>
      <c r="H72" s="61">
        <f t="shared" si="13"/>
        <v>0</v>
      </c>
      <c r="I72" s="39">
        <f t="shared" si="13"/>
        <v>1.4999995473772287E-3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2295015</v>
      </c>
      <c r="F74" s="60">
        <f>'WE-GL '!D74</f>
        <v>0</v>
      </c>
      <c r="G74" s="38">
        <f>'WE-GL '!E74</f>
        <v>2473554</v>
      </c>
      <c r="H74" s="60">
        <f t="shared" ref="H74:I79" si="14">F74-D74</f>
        <v>0</v>
      </c>
      <c r="I74" s="38">
        <f t="shared" si="14"/>
        <v>178539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78558</v>
      </c>
      <c r="F75" s="60">
        <f>'WE-GL '!D75</f>
        <v>0</v>
      </c>
      <c r="G75" s="38">
        <f>'WE-GL '!E75</f>
        <v>78500</v>
      </c>
      <c r="H75" s="60">
        <f t="shared" si="14"/>
        <v>0</v>
      </c>
      <c r="I75" s="38">
        <f t="shared" si="14"/>
        <v>-58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-21510</v>
      </c>
      <c r="F76" s="60">
        <f>'WE-GL '!D76</f>
        <v>0</v>
      </c>
      <c r="G76" s="38">
        <f>'WE-GL '!E76</f>
        <v>-21883.7</v>
      </c>
      <c r="H76" s="60">
        <f t="shared" si="14"/>
        <v>0</v>
      </c>
      <c r="I76" s="38">
        <f t="shared" si="14"/>
        <v>-373.70000000000073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30221</v>
      </c>
      <c r="F81" s="60">
        <f>'WE-GL '!D81</f>
        <v>0</v>
      </c>
      <c r="G81" s="38">
        <f>'WE-GL '!E81</f>
        <v>55256.86</v>
      </c>
      <c r="H81" s="60">
        <f>F81-D81</f>
        <v>0</v>
      </c>
      <c r="I81" s="38">
        <f>G81-E81</f>
        <v>25035.86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1008835.9777674391</v>
      </c>
      <c r="F82" s="109">
        <f>F16+F24+F29+F36+F43+F45+F47+F49</f>
        <v>0</v>
      </c>
      <c r="G82" s="110">
        <f>SUM(G72:G81)+G16+G24+G29+G36+G43+G45+G47+G49+G51+G56+G61+G66</f>
        <v>974841.98400002765</v>
      </c>
      <c r="H82" s="109">
        <f>H16+H24+H29+H36+H43+H45+H47+H49</f>
        <v>0</v>
      </c>
      <c r="I82" s="110">
        <f>SUM(I72:I81)+I16+I24+I29+I36+I43+I45+I47+I49+I51+I56+I61+I66</f>
        <v>-33993.993767430104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6" activePane="bottomRight" state="frozen"/>
      <selection activeCell="B11" sqref="B11"/>
      <selection pane="topRight" activeCell="B11" sqref="B11"/>
      <selection pane="bottomLeft" activeCell="B11" sqref="B11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530625</v>
      </c>
      <c r="F12" s="60">
        <f>STG_GL!D12</f>
        <v>0</v>
      </c>
      <c r="G12" s="38">
        <f>STG_GL!E12</f>
        <v>-37500</v>
      </c>
      <c r="H12" s="60">
        <f>F12-D12</f>
        <v>0</v>
      </c>
      <c r="I12" s="38">
        <f>G12-E12</f>
        <v>-568125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862643</v>
      </c>
      <c r="H13" s="60">
        <f t="shared" ref="H13:I15" si="0">F13-D13</f>
        <v>0</v>
      </c>
      <c r="I13" s="38">
        <f t="shared" si="0"/>
        <v>862643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530625</v>
      </c>
      <c r="F16" s="61">
        <f t="shared" si="1"/>
        <v>0</v>
      </c>
      <c r="G16" s="39">
        <f t="shared" si="1"/>
        <v>825143</v>
      </c>
      <c r="H16" s="61">
        <f t="shared" si="1"/>
        <v>0</v>
      </c>
      <c r="I16" s="39">
        <f t="shared" si="1"/>
        <v>294518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469242</v>
      </c>
      <c r="H41" s="60">
        <f t="shared" si="7"/>
        <v>0</v>
      </c>
      <c r="I41" s="38">
        <f t="shared" si="7"/>
        <v>469242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469242</v>
      </c>
      <c r="H42" s="69">
        <f t="shared" si="8"/>
        <v>0</v>
      </c>
      <c r="I42" s="70">
        <f t="shared" si="8"/>
        <v>469242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469242</v>
      </c>
      <c r="H43" s="61">
        <f t="shared" si="9"/>
        <v>0</v>
      </c>
      <c r="I43" s="39">
        <f t="shared" si="9"/>
        <v>469242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700000</v>
      </c>
      <c r="H65" s="60">
        <f>F65-D65</f>
        <v>0</v>
      </c>
      <c r="I65" s="38">
        <f>G65-E65</f>
        <v>700000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700000</v>
      </c>
      <c r="H66" s="61">
        <f t="shared" si="12"/>
        <v>0</v>
      </c>
      <c r="I66" s="39">
        <f t="shared" si="12"/>
        <v>700000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-1347000</v>
      </c>
      <c r="F70" s="60">
        <f>STG_GL!D70</f>
        <v>0</v>
      </c>
      <c r="G70" s="38">
        <f>STG_GL!E70</f>
        <v>-1347000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-1347000</v>
      </c>
      <c r="F72" s="69">
        <f t="shared" si="13"/>
        <v>0</v>
      </c>
      <c r="G72" s="70">
        <f t="shared" si="13"/>
        <v>-1347000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2409464</v>
      </c>
      <c r="F74" s="60">
        <f>STG_GL!D74</f>
        <v>0</v>
      </c>
      <c r="G74" s="38">
        <f>STG_GL!E74</f>
        <v>1838742</v>
      </c>
      <c r="H74" s="60">
        <f t="shared" ref="H74:I79" si="14">F74-D74</f>
        <v>0</v>
      </c>
      <c r="I74" s="38">
        <f t="shared" si="14"/>
        <v>-570722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-388</v>
      </c>
      <c r="F76" s="60">
        <f>STG_GL!D76</f>
        <v>0</v>
      </c>
      <c r="G76" s="38">
        <f>STG_GL!E76</f>
        <v>-765</v>
      </c>
      <c r="H76" s="60">
        <f t="shared" si="14"/>
        <v>0</v>
      </c>
      <c r="I76" s="38">
        <f t="shared" si="14"/>
        <v>-377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-537587</v>
      </c>
      <c r="H77" s="60">
        <f t="shared" si="14"/>
        <v>0</v>
      </c>
      <c r="I77" s="38">
        <f t="shared" si="14"/>
        <v>-537587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0</v>
      </c>
      <c r="F81" s="60">
        <f>STG_GL!D81</f>
        <v>0</v>
      </c>
      <c r="G81" s="38">
        <f>STG_GL!E81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1592701</v>
      </c>
      <c r="F82" s="109">
        <f>F16+F24+F29+F36+F43+F45+F47+F49</f>
        <v>0</v>
      </c>
      <c r="G82" s="110">
        <f>SUM(G72:G81)+G16+G24+G29+G36+G43+G45+G47+G49+G51+G56+G61+G66</f>
        <v>2071037</v>
      </c>
      <c r="H82" s="109">
        <f>H16+H24+H29+H36+H43+H45+H47+H49</f>
        <v>0</v>
      </c>
      <c r="I82" s="110">
        <f>SUM(I72:I81)+I16+I24+I29+I36+I43+I45+I47+I49+I51+I56+I61+I66</f>
        <v>478336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29124134</v>
      </c>
      <c r="E11" s="66">
        <f>ONT_FLSH!M11</f>
        <v>93298632</v>
      </c>
      <c r="F11" s="60">
        <f>'ONT_GL '!D11</f>
        <v>31022758</v>
      </c>
      <c r="G11" s="38">
        <f>'ONT_GL '!E11</f>
        <v>90186432.590000004</v>
      </c>
      <c r="H11" s="60">
        <f>F11-D11</f>
        <v>1898624</v>
      </c>
      <c r="I11" s="38">
        <f>G11-E11</f>
        <v>-3112199.4099999964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2812168.68</v>
      </c>
      <c r="H12" s="60">
        <f>F12-D12</f>
        <v>0</v>
      </c>
      <c r="I12" s="38">
        <f>G12-E12</f>
        <v>2812168.68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2467938</v>
      </c>
      <c r="E13" s="66">
        <f>ONT_FLSH!M13</f>
        <v>7302508</v>
      </c>
      <c r="F13" s="60">
        <f>'ONT_GL '!D13</f>
        <v>1241772</v>
      </c>
      <c r="G13" s="38">
        <f>'ONT_GL '!E13</f>
        <v>3102806</v>
      </c>
      <c r="H13" s="60">
        <f t="shared" ref="H13:I15" si="0">F13-D13</f>
        <v>-1226166</v>
      </c>
      <c r="I13" s="38">
        <f t="shared" si="0"/>
        <v>-4199702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31592072</v>
      </c>
      <c r="E16" s="39">
        <f t="shared" si="1"/>
        <v>100601140</v>
      </c>
      <c r="F16" s="61">
        <f t="shared" si="1"/>
        <v>32264530</v>
      </c>
      <c r="G16" s="39">
        <f t="shared" si="1"/>
        <v>96101407.270000011</v>
      </c>
      <c r="H16" s="61">
        <f t="shared" si="1"/>
        <v>672458</v>
      </c>
      <c r="I16" s="39">
        <f t="shared" si="1"/>
        <v>-4499732.7299999967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-27025350</v>
      </c>
      <c r="E19" s="66">
        <f>ONT_FLSH!M19</f>
        <v>-87314096</v>
      </c>
      <c r="F19" s="60">
        <f>'ONT_GL '!D19</f>
        <v>-29344709</v>
      </c>
      <c r="G19" s="38">
        <f>'ONT_GL '!E19</f>
        <v>-80329184.700000003</v>
      </c>
      <c r="H19" s="60">
        <f>F19-D19</f>
        <v>-2319359</v>
      </c>
      <c r="I19" s="38">
        <f>G19-E19</f>
        <v>6984911.299999997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-8069730.3700000001</v>
      </c>
      <c r="H20" s="60">
        <f>F20-D20</f>
        <v>0</v>
      </c>
      <c r="I20" s="38">
        <f>G20-E20</f>
        <v>-8069730.3700000001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-4606171</v>
      </c>
      <c r="E21" s="66">
        <f>ONT_FLSH!M21</f>
        <v>-14726977</v>
      </c>
      <c r="F21" s="60">
        <f>'ONT_GL '!D21</f>
        <v>-2897280</v>
      </c>
      <c r="G21" s="38">
        <f>'ONT_GL '!E21</f>
        <v>-9066340</v>
      </c>
      <c r="H21" s="60">
        <f t="shared" ref="H21:I23" si="2">F21-D21</f>
        <v>1708891</v>
      </c>
      <c r="I21" s="38">
        <f t="shared" si="2"/>
        <v>5660637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-31631521</v>
      </c>
      <c r="E24" s="39">
        <f t="shared" si="3"/>
        <v>-102041073</v>
      </c>
      <c r="F24" s="61">
        <f t="shared" si="3"/>
        <v>-32241989</v>
      </c>
      <c r="G24" s="39">
        <f t="shared" si="3"/>
        <v>-97465255.070000008</v>
      </c>
      <c r="H24" s="61">
        <f t="shared" si="3"/>
        <v>-610468</v>
      </c>
      <c r="I24" s="39">
        <f t="shared" si="3"/>
        <v>4575817.9299999969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47914</v>
      </c>
      <c r="G32" s="38">
        <f>'ONT_GL '!E32</f>
        <v>112118.37999999999</v>
      </c>
      <c r="H32" s="60">
        <f>F32-D32</f>
        <v>47914</v>
      </c>
      <c r="I32" s="38">
        <f>G32-E32</f>
        <v>112118.37999999999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47914</v>
      </c>
      <c r="G36" s="39">
        <f t="shared" si="6"/>
        <v>112118.37999999999</v>
      </c>
      <c r="H36" s="61">
        <f t="shared" si="6"/>
        <v>47914</v>
      </c>
      <c r="I36" s="39">
        <f t="shared" si="6"/>
        <v>112118.37999999999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39449</v>
      </c>
      <c r="E49" s="66">
        <f>ONT_FLSH!M49</f>
        <v>92310.66</v>
      </c>
      <c r="F49" s="60">
        <f>'ONT_GL '!D49</f>
        <v>-70455</v>
      </c>
      <c r="G49" s="38">
        <f>'ONT_GL '!E49</f>
        <v>-164864.48000000045</v>
      </c>
      <c r="H49" s="60">
        <f>F49-D49</f>
        <v>-109904</v>
      </c>
      <c r="I49" s="38">
        <f>G49-E49</f>
        <v>-257175.14000000045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-133196.51999999999</v>
      </c>
      <c r="H54" s="60">
        <f>F54-D54</f>
        <v>0</v>
      </c>
      <c r="I54" s="38">
        <f>G54-E54</f>
        <v>-133196.51999999999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-3231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3231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-3231</v>
      </c>
      <c r="F56" s="61">
        <f t="shared" si="10"/>
        <v>0</v>
      </c>
      <c r="G56" s="39">
        <f t="shared" si="10"/>
        <v>-133196.51999999999</v>
      </c>
      <c r="H56" s="61">
        <f t="shared" si="10"/>
        <v>0</v>
      </c>
      <c r="I56" s="39">
        <f t="shared" si="10"/>
        <v>-129965.51999999999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695659.52289829031</v>
      </c>
      <c r="F70" s="60">
        <f>'ONT_GL '!D70</f>
        <v>0</v>
      </c>
      <c r="G70" s="38">
        <f>'ONT_GL '!E70</f>
        <v>695659.52000000002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837625</v>
      </c>
      <c r="F71" s="60">
        <f>'ONT_GL '!D71</f>
        <v>0</v>
      </c>
      <c r="G71" s="38">
        <f>'ONT_GL '!E71</f>
        <v>837625.48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1533284.5228982903</v>
      </c>
      <c r="F72" s="69">
        <f t="shared" si="13"/>
        <v>0</v>
      </c>
      <c r="G72" s="70">
        <f t="shared" si="13"/>
        <v>1533285</v>
      </c>
      <c r="H72" s="69">
        <f t="shared" si="13"/>
        <v>0</v>
      </c>
      <c r="I72" s="70">
        <f t="shared" si="13"/>
        <v>0.47710170969367027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-125217</v>
      </c>
      <c r="F74" s="60">
        <f>'ONT_GL '!D74</f>
        <v>0</v>
      </c>
      <c r="G74" s="38">
        <f>'ONT_GL '!E74</f>
        <v>418305.20999999996</v>
      </c>
      <c r="H74" s="60">
        <f t="shared" ref="H74:I79" si="14">F74-D74</f>
        <v>0</v>
      </c>
      <c r="I74" s="38">
        <f t="shared" si="14"/>
        <v>543522.21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-77</v>
      </c>
      <c r="F76" s="60">
        <f>'ONT_GL '!D76</f>
        <v>0</v>
      </c>
      <c r="G76" s="38">
        <f>'ONT_GL '!E76</f>
        <v>-61</v>
      </c>
      <c r="H76" s="60">
        <f t="shared" si="14"/>
        <v>0</v>
      </c>
      <c r="I76" s="38">
        <f t="shared" si="14"/>
        <v>16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19990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-19990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77127.182898286585</v>
      </c>
      <c r="F82" s="109">
        <f>F16+F24+F29+F36+F43+F45+F47+F49</f>
        <v>0</v>
      </c>
      <c r="G82" s="110">
        <f>SUM(G72:G81)+G16+G24+G29+G36+G43+G45+G47+G49+G51+G56+G61+G66</f>
        <v>401738.78999999596</v>
      </c>
      <c r="H82" s="109">
        <f>H16+H24+H29+H36+H43+H45+H47+H49</f>
        <v>0</v>
      </c>
      <c r="I82" s="110">
        <f>SUM(I72:I81)+I16+I24+I29+I36+I43+I45+I47+I49+I51+I56+I61+I66</f>
        <v>324611.60710170935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ONT_FLSH!L86</f>
        <v>0</v>
      </c>
      <c r="E86" s="169">
        <f>ONT_FLSH!M86</f>
        <v>686492</v>
      </c>
      <c r="F86" s="169">
        <f>'ONT_GL '!D86</f>
        <v>0</v>
      </c>
      <c r="G86" s="169">
        <f>'ONT_GL '!E86</f>
        <v>705229</v>
      </c>
      <c r="H86" s="169">
        <f t="shared" ref="H86:I88" si="15">F86-D86</f>
        <v>0</v>
      </c>
      <c r="I86" s="169">
        <f t="shared" si="15"/>
        <v>18737</v>
      </c>
    </row>
    <row r="87" spans="1:63" x14ac:dyDescent="0.2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-18737</v>
      </c>
      <c r="H88" s="171">
        <f t="shared" si="15"/>
        <v>0</v>
      </c>
      <c r="I88" s="171">
        <f t="shared" si="15"/>
        <v>-18737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686492</v>
      </c>
      <c r="F89" s="184">
        <f t="shared" si="16"/>
        <v>0</v>
      </c>
      <c r="G89" s="184">
        <f t="shared" si="16"/>
        <v>686492</v>
      </c>
      <c r="H89" s="184">
        <f t="shared" si="16"/>
        <v>0</v>
      </c>
      <c r="I89" s="184">
        <f t="shared" si="16"/>
        <v>0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763619.18289828661</v>
      </c>
      <c r="F91" s="184">
        <f t="shared" si="17"/>
        <v>0</v>
      </c>
      <c r="G91" s="184">
        <f t="shared" si="17"/>
        <v>1088230.7899999958</v>
      </c>
      <c r="H91" s="184">
        <f t="shared" si="17"/>
        <v>0</v>
      </c>
      <c r="I91" s="184">
        <f t="shared" si="17"/>
        <v>324611.60710170935</v>
      </c>
    </row>
    <row r="92" spans="1:63" s="143" customFormat="1" x14ac:dyDescent="0.2">
      <c r="A92" s="186"/>
      <c r="B92" s="183"/>
      <c r="D92" s="187"/>
      <c r="E92" s="187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D11" sqref="D1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8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9911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189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198</v>
      </c>
      <c r="AC8" s="27"/>
      <c r="AD8" s="26" t="s">
        <v>113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 t="shared" ref="D11:E15" si="0">F11+J11+L11+N11+P11+R11+T11+X11+Z11+AD11+V11+H11+AB11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4732546.25</v>
      </c>
      <c r="F12" s="65"/>
      <c r="G12" s="38">
        <v>4164023.12</v>
      </c>
      <c r="H12" s="65"/>
      <c r="I12" s="38">
        <v>331650.98</v>
      </c>
      <c r="J12" s="65">
        <v>0</v>
      </c>
      <c r="K12" s="38">
        <v>-2225151.9700000002</v>
      </c>
      <c r="L12" s="65"/>
      <c r="M12" s="38">
        <v>369257.45</v>
      </c>
      <c r="N12" s="65"/>
      <c r="O12" s="38">
        <v>0</v>
      </c>
      <c r="P12" s="65"/>
      <c r="Q12" s="38">
        <v>1951956.98</v>
      </c>
      <c r="R12" s="65"/>
      <c r="S12" s="38">
        <v>-3888</v>
      </c>
      <c r="T12" s="65"/>
      <c r="U12" s="38">
        <v>-958963.55</v>
      </c>
      <c r="V12" s="65">
        <v>0</v>
      </c>
      <c r="W12" s="38">
        <v>297031.31</v>
      </c>
      <c r="X12" s="65"/>
      <c r="Y12" s="38">
        <v>0</v>
      </c>
      <c r="Z12" s="65">
        <v>0</v>
      </c>
      <c r="AA12" s="38">
        <v>2812168.68</v>
      </c>
      <c r="AB12" s="65"/>
      <c r="AC12" s="38">
        <v>-2005538.75</v>
      </c>
      <c r="AD12" s="65"/>
      <c r="AE12" s="3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202">
        <f t="shared" si="1"/>
        <v>4732546.25</v>
      </c>
      <c r="F16" s="61">
        <f t="shared" si="1"/>
        <v>0</v>
      </c>
      <c r="G16" s="39">
        <f t="shared" si="1"/>
        <v>4164023.12</v>
      </c>
      <c r="H16" s="61">
        <f>SUM(H11:H15)</f>
        <v>0</v>
      </c>
      <c r="I16" s="39">
        <f>SUM(I11:I15)</f>
        <v>331650.98</v>
      </c>
      <c r="J16" s="61">
        <f t="shared" si="1"/>
        <v>0</v>
      </c>
      <c r="K16" s="39">
        <f t="shared" si="1"/>
        <v>-2225151.9700000002</v>
      </c>
      <c r="L16" s="61">
        <f t="shared" si="1"/>
        <v>0</v>
      </c>
      <c r="M16" s="39">
        <f t="shared" si="1"/>
        <v>369257.45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1951956.98</v>
      </c>
      <c r="R16" s="61">
        <f t="shared" si="1"/>
        <v>0</v>
      </c>
      <c r="S16" s="39">
        <f t="shared" si="1"/>
        <v>-3888</v>
      </c>
      <c r="T16" s="61">
        <f t="shared" si="1"/>
        <v>0</v>
      </c>
      <c r="U16" s="39">
        <f t="shared" si="1"/>
        <v>-958963.55</v>
      </c>
      <c r="V16" s="61">
        <f>SUM(V11:V15)</f>
        <v>0</v>
      </c>
      <c r="W16" s="39">
        <f>SUM(W11:W15)</f>
        <v>297031.31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2812168.68</v>
      </c>
      <c r="AB16" s="61">
        <f>SUM(AB11:AB15)</f>
        <v>0</v>
      </c>
      <c r="AC16" s="39">
        <f>SUM(AC11:AC15)</f>
        <v>-2005538.75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2">F19+J19+L19+N19+P19+R19+T19+X19+Z19+AD19+V19+H19+AB19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-14801041.830000002</v>
      </c>
      <c r="F20" s="65"/>
      <c r="G20" s="38">
        <v>-3901847.5</v>
      </c>
      <c r="H20" s="65"/>
      <c r="I20" s="38">
        <v>-167100</v>
      </c>
      <c r="J20" s="65"/>
      <c r="K20" s="38">
        <v>-2295775.98</v>
      </c>
      <c r="L20" s="65"/>
      <c r="M20" s="38">
        <v>0</v>
      </c>
      <c r="N20" s="65"/>
      <c r="O20" s="38">
        <v>0</v>
      </c>
      <c r="P20" s="65"/>
      <c r="Q20" s="38">
        <v>-1061975.8400000001</v>
      </c>
      <c r="R20" s="65"/>
      <c r="S20" s="38">
        <v>0</v>
      </c>
      <c r="T20" s="65"/>
      <c r="U20" s="38">
        <v>2020180</v>
      </c>
      <c r="V20" s="65"/>
      <c r="W20" s="38">
        <v>-1224202.1399999999</v>
      </c>
      <c r="X20" s="65"/>
      <c r="Y20" s="38">
        <v>0</v>
      </c>
      <c r="Z20" s="65">
        <v>0</v>
      </c>
      <c r="AA20" s="38">
        <v>-8069730.3700000001</v>
      </c>
      <c r="AB20" s="65"/>
      <c r="AC20" s="38">
        <v>0</v>
      </c>
      <c r="AD20" s="65"/>
      <c r="AE20" s="38">
        <v>-100590</v>
      </c>
    </row>
    <row r="21" spans="1:31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 t="shared" ref="D24:AE24" si="3">SUM(D19:D23)</f>
        <v>0</v>
      </c>
      <c r="E24" s="202">
        <f t="shared" si="3"/>
        <v>-14801041.830000002</v>
      </c>
      <c r="F24" s="61">
        <f t="shared" si="3"/>
        <v>0</v>
      </c>
      <c r="G24" s="39">
        <f t="shared" si="3"/>
        <v>-3901847.5</v>
      </c>
      <c r="H24" s="61">
        <f>SUM(H19:H23)</f>
        <v>0</v>
      </c>
      <c r="I24" s="39">
        <f>SUM(I19:I23)</f>
        <v>-167100</v>
      </c>
      <c r="J24" s="61">
        <f t="shared" si="3"/>
        <v>0</v>
      </c>
      <c r="K24" s="39">
        <f t="shared" si="3"/>
        <v>-2295775.98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0</v>
      </c>
      <c r="P24" s="61">
        <f t="shared" si="3"/>
        <v>0</v>
      </c>
      <c r="Q24" s="39">
        <f t="shared" si="3"/>
        <v>-1061975.8400000001</v>
      </c>
      <c r="R24" s="61">
        <f t="shared" si="3"/>
        <v>0</v>
      </c>
      <c r="S24" s="39">
        <f t="shared" si="3"/>
        <v>0</v>
      </c>
      <c r="T24" s="61">
        <f t="shared" si="3"/>
        <v>0</v>
      </c>
      <c r="U24" s="39">
        <f t="shared" si="3"/>
        <v>2020180</v>
      </c>
      <c r="V24" s="61">
        <f>SUM(V19:V23)</f>
        <v>0</v>
      </c>
      <c r="W24" s="39">
        <f>SUM(W19:W23)</f>
        <v>-1224202.1399999999</v>
      </c>
      <c r="X24" s="61">
        <f t="shared" si="3"/>
        <v>0</v>
      </c>
      <c r="Y24" s="39">
        <f t="shared" si="3"/>
        <v>0</v>
      </c>
      <c r="Z24" s="61">
        <f t="shared" si="3"/>
        <v>0</v>
      </c>
      <c r="AA24" s="39">
        <f t="shared" si="3"/>
        <v>-8069730.3700000001</v>
      </c>
      <c r="AB24" s="61">
        <f>SUM(AB19:AB23)</f>
        <v>0</v>
      </c>
      <c r="AC24" s="39">
        <f>SUM(AC19:AC23)</f>
        <v>0</v>
      </c>
      <c r="AD24" s="61">
        <f t="shared" si="3"/>
        <v>0</v>
      </c>
      <c r="AE24" s="39">
        <f t="shared" si="3"/>
        <v>-100590</v>
      </c>
    </row>
    <row r="25" spans="1:31" x14ac:dyDescent="0.2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F27+J27+L27+N27+P27+R27+T27+X27+Z27+AD27+V27+H27+AB27</f>
        <v>0</v>
      </c>
      <c r="E27" s="60">
        <f>G27+K27+M27+O27+Q27+S27+U27+Y27+AA27+AE27+W27+I27+AC27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F28+J28+L28+N28+P28+R28+T28+X28+Z28+AD28+V28+H28+AB28</f>
        <v>0</v>
      </c>
      <c r="E28" s="60">
        <f>G28+K28+M28+O28+Q28+S28+U28+Y28+AA28+AE28+W28+I28+AC28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AE29" si="4">SUM(D27:D28)</f>
        <v>0</v>
      </c>
      <c r="E29" s="202">
        <f t="shared" si="4"/>
        <v>0</v>
      </c>
      <c r="F29" s="61">
        <f t="shared" si="4"/>
        <v>0</v>
      </c>
      <c r="G29" s="39">
        <f t="shared" si="4"/>
        <v>0</v>
      </c>
      <c r="H29" s="61">
        <f>SUM(H27:H28)</f>
        <v>0</v>
      </c>
      <c r="I29" s="39">
        <f>SUM(I27:I28)</f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>SUM(V27:V28)</f>
        <v>0</v>
      </c>
      <c r="W29" s="39">
        <f>SUM(W27:W28)</f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  <c r="AB29" s="61">
        <f>SUM(AB27:AB28)</f>
        <v>0</v>
      </c>
      <c r="AC29" s="39">
        <f>SUM(AC27:AC28)</f>
        <v>0</v>
      </c>
      <c r="AD29" s="61">
        <f t="shared" si="4"/>
        <v>0</v>
      </c>
      <c r="AE29" s="39">
        <f t="shared" si="4"/>
        <v>0</v>
      </c>
    </row>
    <row r="30" spans="1:31" x14ac:dyDescent="0.2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5">F32+J32+L32+N32+P32+R32+T32+X32+Z32+AD32+V32+H32+AB32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6">SUM(F32:F34)</f>
        <v>0</v>
      </c>
      <c r="G36" s="39">
        <f t="shared" si="6"/>
        <v>0</v>
      </c>
      <c r="H36" s="61">
        <f>SUM(H32:H34)</f>
        <v>0</v>
      </c>
      <c r="I36" s="39">
        <f>SUM(I32:I34)</f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>SUM(V32:V34)</f>
        <v>0</v>
      </c>
      <c r="W36" s="39">
        <f>SUM(W32:W34)</f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  <c r="AB36" s="61">
        <f>SUM(AB32:AB34)</f>
        <v>0</v>
      </c>
      <c r="AC36" s="39">
        <f>SUM(AC32:AC34)</f>
        <v>0</v>
      </c>
      <c r="AD36" s="61">
        <f t="shared" si="6"/>
        <v>0</v>
      </c>
      <c r="AE36" s="39">
        <f t="shared" si="6"/>
        <v>0</v>
      </c>
    </row>
    <row r="37" spans="1:31" x14ac:dyDescent="0.2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7">F39+J39+L39+N39+P39+R39+T39+X39+Z39+AD39+V39+H39+AB39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">
      <c r="A42" s="9"/>
      <c r="B42" s="7"/>
      <c r="C42" s="53" t="s">
        <v>48</v>
      </c>
      <c r="D42" s="61">
        <f t="shared" ref="D42:AE42" si="8">SUM(D40:D41)</f>
        <v>0</v>
      </c>
      <c r="E42" s="202">
        <f t="shared" si="8"/>
        <v>0</v>
      </c>
      <c r="F42" s="61">
        <f t="shared" si="8"/>
        <v>0</v>
      </c>
      <c r="G42" s="39">
        <f t="shared" si="8"/>
        <v>0</v>
      </c>
      <c r="H42" s="61">
        <f>SUM(H40:H41)</f>
        <v>0</v>
      </c>
      <c r="I42" s="39">
        <f>SUM(I40:I41)</f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>SUM(V40:V41)</f>
        <v>0</v>
      </c>
      <c r="W42" s="39">
        <f>SUM(W40:W41)</f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  <c r="AB42" s="61">
        <f>SUM(AB40:AB41)</f>
        <v>0</v>
      </c>
      <c r="AC42" s="39">
        <f>SUM(AC40:AC41)</f>
        <v>0</v>
      </c>
      <c r="AD42" s="61">
        <f t="shared" si="8"/>
        <v>0</v>
      </c>
      <c r="AE42" s="39">
        <f t="shared" si="8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9">D42+D39</f>
        <v>0</v>
      </c>
      <c r="E43" s="202">
        <f t="shared" si="9"/>
        <v>0</v>
      </c>
      <c r="F43" s="61">
        <f t="shared" si="9"/>
        <v>0</v>
      </c>
      <c r="G43" s="39">
        <f t="shared" si="9"/>
        <v>0</v>
      </c>
      <c r="H43" s="61">
        <f>H42+H39</f>
        <v>0</v>
      </c>
      <c r="I43" s="39">
        <f>I42+I39</f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>V42+V39</f>
        <v>0</v>
      </c>
      <c r="W43" s="39">
        <f>W42+W39</f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  <c r="AB43" s="61">
        <f>AB42+AB39</f>
        <v>0</v>
      </c>
      <c r="AC43" s="39">
        <f>AC42+AC39</f>
        <v>0</v>
      </c>
      <c r="AD43" s="61">
        <f t="shared" si="9"/>
        <v>0</v>
      </c>
      <c r="AE43" s="39">
        <f t="shared" si="9"/>
        <v>0</v>
      </c>
    </row>
    <row r="44" spans="1:31" x14ac:dyDescent="0.2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F45+J45+L45+N45+P45+R45+T45+X45+Z45+AD45+V45+H45+AB45</f>
        <v>0</v>
      </c>
      <c r="E45" s="60">
        <f>G45+K45+M45+O45+Q45+S45+U45+Y45+AA45+AE45+W45+I45+AC45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F47+J47+L47+N47+P47+R47+T47+X47+Z47+AD47+V47+H47+AB47</f>
        <v>0</v>
      </c>
      <c r="E47" s="60">
        <f>G47+K47+M47+O47+Q47+S47+U47+Y47+AA47+AE47+W47+I47+AC47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F49+J49+L49+N49+P49+R49+T49+X49+Z49+AD49+V49+H49+AB49</f>
        <v>0</v>
      </c>
      <c r="E49" s="60">
        <f>G49+K49+M49+O49+Q49+S49+U49+Y49+AA49+AE49+W49+I49+AC49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F51+J51+L51+N51+P51+R51+T51+X51+Z51+AD51+V51+H51+AB51</f>
        <v>0</v>
      </c>
      <c r="E51" s="60">
        <f>G51+K51+M51+O51+Q51+S51+U51+Y51+AA51+AE51+W51+I51+AC51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F54+J54+L54+N54+P54+R54+T54+X54+Z54+AD54+V54+H54+AB54</f>
        <v>0</v>
      </c>
      <c r="E54" s="60">
        <f>G54+K54+M54+O54+Q54+S54+U54+Y54+AA54+AE54+W54+I54+AC54</f>
        <v>-1592330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-1592330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F55+J55+L55+N55+P55+R55+T55+X55+Z55+AD55+V55+H55+AB55</f>
        <v>0</v>
      </c>
      <c r="E55" s="60">
        <f>G55+K55+M55+O55+Q55+S55+U55+Y55+AA55+AE55+W55+I55+AC55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">
      <c r="A56" s="9"/>
      <c r="B56" s="7" t="s">
        <v>57</v>
      </c>
      <c r="C56" s="6"/>
      <c r="D56" s="61">
        <f t="shared" ref="D56:AE56" si="10">SUM(D54:D55)</f>
        <v>0</v>
      </c>
      <c r="E56" s="202">
        <f t="shared" si="10"/>
        <v>-1592330</v>
      </c>
      <c r="F56" s="61">
        <f t="shared" si="10"/>
        <v>0</v>
      </c>
      <c r="G56" s="39">
        <f t="shared" si="10"/>
        <v>0</v>
      </c>
      <c r="H56" s="61">
        <f>SUM(H54:H55)</f>
        <v>0</v>
      </c>
      <c r="I56" s="39">
        <f>SUM(I54:I55)</f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>SUM(V54:V55)</f>
        <v>0</v>
      </c>
      <c r="W56" s="39">
        <f>SUM(W54:W55)</f>
        <v>-1592330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  <c r="AB56" s="61">
        <f>SUM(AB54:AB55)</f>
        <v>0</v>
      </c>
      <c r="AC56" s="39">
        <f>SUM(AC54:AC55)</f>
        <v>0</v>
      </c>
      <c r="AD56" s="61">
        <f t="shared" si="10"/>
        <v>0</v>
      </c>
      <c r="AE56" s="39">
        <f t="shared" si="10"/>
        <v>0</v>
      </c>
    </row>
    <row r="57" spans="1:31" x14ac:dyDescent="0.2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F59+J59+L59+N59+P59+R59+T59+X59+Z59+AD59+V59+H59+AB59</f>
        <v>0</v>
      </c>
      <c r="E59" s="60">
        <f>G59+K59+M59+O59+Q59+S59+U59+Y59+AA59+AE59+W59+I59+AC59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">
      <c r="A60" s="9">
        <v>27</v>
      </c>
      <c r="B60" s="11"/>
      <c r="C60" s="18" t="s">
        <v>60</v>
      </c>
      <c r="D60" s="60">
        <f>F60+J60+L60+N60+P60+R60+T60+X60+Z60+AD60+V60+H60+AB60</f>
        <v>0</v>
      </c>
      <c r="E60" s="60">
        <f>G60+K60+M60+O60+Q60+S60+U60+Y60+AA60+AE60+W60+I60+AC60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AE61" si="11">SUM(D59:D60)</f>
        <v>0</v>
      </c>
      <c r="E61" s="202">
        <f t="shared" si="11"/>
        <v>0</v>
      </c>
      <c r="F61" s="61">
        <f t="shared" si="11"/>
        <v>0</v>
      </c>
      <c r="G61" s="39">
        <f t="shared" si="11"/>
        <v>0</v>
      </c>
      <c r="H61" s="61">
        <f>SUM(H59:H60)</f>
        <v>0</v>
      </c>
      <c r="I61" s="39">
        <f>SUM(I59:I60)</f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>SUM(V59:V60)</f>
        <v>0</v>
      </c>
      <c r="W61" s="39">
        <f>SUM(W59:W60)</f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  <c r="AB61" s="61">
        <f>SUM(AB59:AB60)</f>
        <v>0</v>
      </c>
      <c r="AC61" s="39">
        <f>SUM(AC59:AC60)</f>
        <v>0</v>
      </c>
      <c r="AD61" s="61">
        <f t="shared" si="11"/>
        <v>0</v>
      </c>
      <c r="AE61" s="39">
        <f t="shared" si="11"/>
        <v>0</v>
      </c>
    </row>
    <row r="62" spans="1:31" x14ac:dyDescent="0.2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F64+J64+L64+N64+P64+R64+T64+X64+Z64+AD64+V64+H64+AB64</f>
        <v>0</v>
      </c>
      <c r="E64" s="60">
        <f>G64+K64+M64+O64+Q64+S64+U64+Y64+AA64+AE64+W64+I64+AC64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F65+J65+L65+N65+P65+R65+T65+X65+Z65+AD65+V65+H65+AB65</f>
        <v>0</v>
      </c>
      <c r="E65" s="60">
        <f>G65+K65+M65+O65+Q65+S65+U65+Y65+AA65+AE65+W65+I65+AC65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AE66" si="12">SUM(D64:D65)</f>
        <v>0</v>
      </c>
      <c r="E66" s="202">
        <f t="shared" si="12"/>
        <v>0</v>
      </c>
      <c r="F66" s="61">
        <f t="shared" si="12"/>
        <v>0</v>
      </c>
      <c r="G66" s="39">
        <f t="shared" si="12"/>
        <v>0</v>
      </c>
      <c r="H66" s="61">
        <f>SUM(H64:H65)</f>
        <v>0</v>
      </c>
      <c r="I66" s="39">
        <f>SUM(I64:I65)</f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>SUM(V64:V65)</f>
        <v>0</v>
      </c>
      <c r="W66" s="39">
        <f>SUM(W64:W65)</f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  <c r="AB66" s="61">
        <f>SUM(AB64:AB65)</f>
        <v>0</v>
      </c>
      <c r="AC66" s="39">
        <f>SUM(AC64:AC65)</f>
        <v>0</v>
      </c>
      <c r="AD66" s="61">
        <f t="shared" si="12"/>
        <v>0</v>
      </c>
      <c r="AE66" s="39">
        <f t="shared" si="12"/>
        <v>0</v>
      </c>
    </row>
    <row r="67" spans="1:31" x14ac:dyDescent="0.2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F70+J70+L70+N70+P70+R70+T70+X70+Z70+AD70+V70+H70+AB70</f>
        <v>0</v>
      </c>
      <c r="E70" s="60">
        <f>G70+K70+M70+O70+Q70+S70+U70+Y70+AA70+AE70+W70+I70+AC70</f>
        <v>36713967.659999996</v>
      </c>
      <c r="F70" s="60"/>
      <c r="G70" s="38">
        <v>-2767229</v>
      </c>
      <c r="H70" s="60"/>
      <c r="I70" s="38">
        <v>15019906</v>
      </c>
      <c r="J70" s="60"/>
      <c r="K70" s="38">
        <v>15355188.300000001</v>
      </c>
      <c r="L70" s="60"/>
      <c r="M70" s="38">
        <v>0</v>
      </c>
      <c r="N70" s="60"/>
      <c r="O70" s="38">
        <v>0</v>
      </c>
      <c r="P70" s="60">
        <v>0</v>
      </c>
      <c r="Q70" s="38">
        <v>1968882.46</v>
      </c>
      <c r="R70" s="60"/>
      <c r="S70" s="38">
        <v>0</v>
      </c>
      <c r="T70" s="60">
        <v>0</v>
      </c>
      <c r="U70" s="38">
        <v>-1210108.6200000001</v>
      </c>
      <c r="V70" s="60">
        <v>0</v>
      </c>
      <c r="W70" s="38">
        <v>0</v>
      </c>
      <c r="X70" s="60">
        <v>0</v>
      </c>
      <c r="Y70" s="38">
        <v>804171</v>
      </c>
      <c r="Z70" s="60"/>
      <c r="AA70" s="38">
        <v>695659.52000000002</v>
      </c>
      <c r="AB70" s="60"/>
      <c r="AC70" s="38">
        <v>17435</v>
      </c>
      <c r="AD70" s="60"/>
      <c r="AE70" s="38">
        <v>6830063</v>
      </c>
    </row>
    <row r="71" spans="1:31" x14ac:dyDescent="0.2">
      <c r="A71" s="9">
        <v>31</v>
      </c>
      <c r="B71" s="3"/>
      <c r="C71" s="10" t="s">
        <v>68</v>
      </c>
      <c r="D71" s="60">
        <f>F71+J71+L71+N71+P71+R71+T71+X71+Z71+AD71+V71+H71+AB71</f>
        <v>0</v>
      </c>
      <c r="E71" s="60">
        <f>G71+K71+M71+O71+Q71+S71+U71+Y71+AA71+AE71+W71+I71+AC71</f>
        <v>-31146522.199999999</v>
      </c>
      <c r="F71" s="60"/>
      <c r="G71" s="38">
        <v>-2723828.88</v>
      </c>
      <c r="H71" s="60"/>
      <c r="I71" s="38">
        <v>-16562230</v>
      </c>
      <c r="J71" s="60"/>
      <c r="K71" s="38">
        <v>-6851832</v>
      </c>
      <c r="L71" s="60"/>
      <c r="M71" s="38">
        <v>0</v>
      </c>
      <c r="N71" s="60"/>
      <c r="O71" s="38">
        <v>0</v>
      </c>
      <c r="P71" s="60"/>
      <c r="Q71" s="38">
        <v>1343082</v>
      </c>
      <c r="R71" s="60"/>
      <c r="S71" s="38">
        <v>0</v>
      </c>
      <c r="T71" s="60"/>
      <c r="U71" s="38">
        <v>876739.35</v>
      </c>
      <c r="V71" s="60"/>
      <c r="W71" s="38">
        <v>0</v>
      </c>
      <c r="X71" s="60"/>
      <c r="Y71" s="38">
        <v>0</v>
      </c>
      <c r="Z71" s="60"/>
      <c r="AA71" s="38">
        <v>837625.48</v>
      </c>
      <c r="AB71" s="60"/>
      <c r="AC71" s="38">
        <v>0</v>
      </c>
      <c r="AD71" s="60"/>
      <c r="AE71" s="38">
        <v>-8066078.1500000004</v>
      </c>
    </row>
    <row r="72" spans="1:31" x14ac:dyDescent="0.2">
      <c r="A72" s="9"/>
      <c r="B72" s="3"/>
      <c r="C72" s="55" t="s">
        <v>69</v>
      </c>
      <c r="D72" s="61">
        <f t="shared" ref="D72:AE72" si="13">SUM(D70:D71)</f>
        <v>0</v>
      </c>
      <c r="E72" s="209">
        <f t="shared" si="13"/>
        <v>5567445.4599999972</v>
      </c>
      <c r="F72" s="61">
        <f t="shared" si="13"/>
        <v>0</v>
      </c>
      <c r="G72" s="39">
        <f t="shared" si="13"/>
        <v>-5491057.8799999999</v>
      </c>
      <c r="H72" s="61">
        <f>SUM(H70:H71)</f>
        <v>0</v>
      </c>
      <c r="I72" s="39">
        <f>SUM(I70:I71)</f>
        <v>-1542324</v>
      </c>
      <c r="J72" s="61">
        <f t="shared" si="13"/>
        <v>0</v>
      </c>
      <c r="K72" s="39">
        <f t="shared" si="13"/>
        <v>8503356.3000000007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0</v>
      </c>
      <c r="P72" s="61">
        <f t="shared" si="13"/>
        <v>0</v>
      </c>
      <c r="Q72" s="39">
        <f t="shared" si="13"/>
        <v>3311964.46</v>
      </c>
      <c r="R72" s="61">
        <f t="shared" si="13"/>
        <v>0</v>
      </c>
      <c r="S72" s="39">
        <f t="shared" si="13"/>
        <v>0</v>
      </c>
      <c r="T72" s="61">
        <f t="shared" si="13"/>
        <v>0</v>
      </c>
      <c r="U72" s="39">
        <f t="shared" si="13"/>
        <v>-333369.27000000014</v>
      </c>
      <c r="V72" s="61">
        <f>SUM(V70:V71)</f>
        <v>0</v>
      </c>
      <c r="W72" s="39">
        <f>SUM(W70:W71)</f>
        <v>0</v>
      </c>
      <c r="X72" s="61">
        <f t="shared" si="13"/>
        <v>0</v>
      </c>
      <c r="Y72" s="39">
        <f t="shared" si="13"/>
        <v>804171</v>
      </c>
      <c r="Z72" s="61">
        <f t="shared" si="13"/>
        <v>0</v>
      </c>
      <c r="AA72" s="39">
        <f t="shared" si="13"/>
        <v>1533285</v>
      </c>
      <c r="AB72" s="61">
        <f>SUM(AB70:AB71)</f>
        <v>0</v>
      </c>
      <c r="AC72" s="39">
        <f>SUM(AC70:AC71)</f>
        <v>17435</v>
      </c>
      <c r="AD72" s="61">
        <f t="shared" si="13"/>
        <v>0</v>
      </c>
      <c r="AE72" s="39">
        <f t="shared" si="13"/>
        <v>-1236015.1500000004</v>
      </c>
    </row>
    <row r="73" spans="1:31" x14ac:dyDescent="0.2">
      <c r="A73" s="9">
        <v>32</v>
      </c>
      <c r="B73" s="3"/>
      <c r="C73" s="10" t="s">
        <v>70</v>
      </c>
      <c r="D73" s="60">
        <f>F73+J73+L73+N73+P73+R73+T73+X73+Z73+AD73+V73+H73+AB73</f>
        <v>0</v>
      </c>
      <c r="E73" s="60">
        <f>G73+K73+M73+O73+Q73+S73+U73+Y73+AA73+AE73+W73+I73+AC73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>F74+J74+L74+N74+P74+R74+T74+X74+Z74+AD74+V74+H74+AB74</f>
        <v>0</v>
      </c>
      <c r="E74" s="60">
        <f>G74+K74+M74+O74+Q74+S74+U74+Y74+AA74+AE74+W74+I74+AC74</f>
        <v>15139303</v>
      </c>
      <c r="F74" s="65"/>
      <c r="G74" s="66">
        <v>13200261</v>
      </c>
      <c r="H74" s="65"/>
      <c r="I74" s="66">
        <v>-968459</v>
      </c>
      <c r="J74" s="65"/>
      <c r="K74" s="66">
        <f>3191641-14291</f>
        <v>3177350</v>
      </c>
      <c r="L74" s="65"/>
      <c r="M74" s="66">
        <v>0</v>
      </c>
      <c r="N74" s="65"/>
      <c r="O74" s="66">
        <v>0</v>
      </c>
      <c r="P74" s="65"/>
      <c r="Q74" s="66">
        <v>3874176</v>
      </c>
      <c r="R74" s="65"/>
      <c r="S74" s="66">
        <v>0</v>
      </c>
      <c r="T74" s="65"/>
      <c r="U74" s="66">
        <v>0</v>
      </c>
      <c r="V74" s="65"/>
      <c r="W74" s="66">
        <v>-2139253</v>
      </c>
      <c r="X74" s="65"/>
      <c r="Y74" s="212">
        <v>533067</v>
      </c>
      <c r="Z74" s="65"/>
      <c r="AA74" s="212">
        <v>568693</v>
      </c>
      <c r="AB74" s="65"/>
      <c r="AC74" s="66">
        <v>0</v>
      </c>
      <c r="AD74" s="65"/>
      <c r="AE74" s="212">
        <v>-3106532</v>
      </c>
    </row>
    <row r="75" spans="1:31" x14ac:dyDescent="0.2">
      <c r="A75" s="9">
        <v>34</v>
      </c>
      <c r="B75" s="3"/>
      <c r="C75" s="10" t="s">
        <v>72</v>
      </c>
      <c r="D75" s="60">
        <f t="shared" ref="D75:D81" si="14">F75+J75+L75+N75+P75+R75+T75+X75+Z75+AD75+V75+H75+AB75</f>
        <v>0</v>
      </c>
      <c r="E75" s="60">
        <f t="shared" ref="E75:E81" si="15">G75+K75+M75+O75+Q75+S75+U75+Y75+AA75+AE75+W75+I75+AC75</f>
        <v>116100</v>
      </c>
      <c r="F75" s="65"/>
      <c r="G75" s="38">
        <v>20200</v>
      </c>
      <c r="H75" s="65"/>
      <c r="I75" s="38">
        <v>0</v>
      </c>
      <c r="J75" s="65"/>
      <c r="K75" s="38">
        <v>14500</v>
      </c>
      <c r="L75" s="65"/>
      <c r="M75" s="38">
        <v>0</v>
      </c>
      <c r="N75" s="65"/>
      <c r="O75" s="38">
        <v>0</v>
      </c>
      <c r="P75" s="65"/>
      <c r="Q75" s="38">
        <v>78500</v>
      </c>
      <c r="R75" s="65"/>
      <c r="S75" s="38"/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2900</v>
      </c>
    </row>
    <row r="76" spans="1:31" x14ac:dyDescent="0.2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-765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-765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204">
        <f>SUM(E72:E81)+E16+E24+E29+E36+E43+E45+E47+E49+E51+E56+E61+E66</f>
        <v>5227448.8799999952</v>
      </c>
      <c r="F82" s="91">
        <f>F16+F24+F29+F36+F43+F45+F47+F49</f>
        <v>0</v>
      </c>
      <c r="G82" s="92">
        <f>SUM(G72:G81)+G16+G24+G29+G36+G43+G45+G47+G49+G51+G56+G61+G66</f>
        <v>7991578.7400000002</v>
      </c>
      <c r="H82" s="91">
        <f>H16+H24+H29+H36+H43+H45+H47+H49</f>
        <v>0</v>
      </c>
      <c r="I82" s="92">
        <f>SUM(I72:I81)+I16+I24+I29+I36+I43+I45+I47+I49+I51+I56+I61+I66</f>
        <v>-2346232.02</v>
      </c>
      <c r="J82" s="91">
        <f>J16+J24+J29+J36+J43+J45+J47+J49</f>
        <v>0</v>
      </c>
      <c r="K82" s="92">
        <f>SUM(K72:K81)+K16+K24+K29+K36+K43+K45+K47+K49+K51+K56+K61+K66</f>
        <v>3240469.35</v>
      </c>
      <c r="L82" s="91">
        <f>L16+L24+L29+L36+L43+L45+L47+L49</f>
        <v>0</v>
      </c>
      <c r="M82" s="92">
        <f>SUM(M72:M81)+M16+M24+M29+M36+M43+M45+M47+M49+M51+M56+M61+M66</f>
        <v>369257.45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8154621.5999999996</v>
      </c>
      <c r="R82" s="91">
        <f>R16+R24+R29+R36+R43+R45+R47+R49</f>
        <v>0</v>
      </c>
      <c r="S82" s="92">
        <f>SUM(S72:S81)+S16+S24+S29+S36+S43+S45+S47+S49+S51+S56+S61+S66</f>
        <v>-3888</v>
      </c>
      <c r="T82" s="91">
        <f>T16+T24+T29+T36+T43+T45+T47+T49</f>
        <v>0</v>
      </c>
      <c r="U82" s="92">
        <f>SUM(U72:U81)+U16+U24+U29+U36+U43+U45+U47+U49+U51+U56+U61+U66</f>
        <v>727847.1799999997</v>
      </c>
      <c r="V82" s="91">
        <f>V16+V24+V29+V36+V43+V45+V47+V49</f>
        <v>0</v>
      </c>
      <c r="W82" s="92">
        <f>SUM(W72:W81)+W16+W24+W29+W36+W43+W45+W47+W49+W51+W56+W61+W66</f>
        <v>-4658753.83</v>
      </c>
      <c r="X82" s="91">
        <f>X16+X24+X29+X36+X43+X45+X47+X49</f>
        <v>0</v>
      </c>
      <c r="Y82" s="92">
        <f>SUM(Y72:Y81)+Y16+Y24+Y29+Y36+Y43+Y45+Y47+Y49+Y51+Y56+Y61+Y66</f>
        <v>1336473</v>
      </c>
      <c r="Z82" s="91">
        <f>Z16+Z24+Z29+Z36+Z43+Z45+Z47+Z49</f>
        <v>0</v>
      </c>
      <c r="AA82" s="92">
        <f>SUM(AA72:AA81)+AA16+AA24+AA29+AA36+AA43+AA45+AA47+AA49+AA51+AA56+AA61+AA66</f>
        <v>-3155583.6900000004</v>
      </c>
      <c r="AB82" s="91">
        <f>AB16+AB24+AB29+AB36+AB43+AB45+AB47+AB49</f>
        <v>0</v>
      </c>
      <c r="AC82" s="92">
        <f>SUM(AC72:AC81)+AC16+AC24+AC29+AC36+AC43+AC45+AC47+AC49+AC51+AC56+AC61+AC66</f>
        <v>-1988103.75</v>
      </c>
      <c r="AD82" s="91">
        <f>AD16+AD24+AD29+AD36+AD43+AD45+AD47+AD49</f>
        <v>0</v>
      </c>
      <c r="AE82" s="92">
        <f>SUM(AE72:AE81)+AE16+AE24+AE29+AE36+AE43+AE45+AE47+AE49+AE51+AE56+AE61+AE66</f>
        <v>-4440237.1500000004</v>
      </c>
      <c r="AF82" s="93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O84" s="45"/>
    </row>
    <row r="85" spans="1:32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">
      <c r="A86" s="168"/>
      <c r="C86" s="10" t="s">
        <v>166</v>
      </c>
      <c r="D86" s="169">
        <f t="shared" ref="D86:E88" si="16">F86+J86+L86+N86+P86+R86+T86+X86+Z86+AD86+V86</f>
        <v>0</v>
      </c>
      <c r="E86" s="210">
        <f t="shared" si="16"/>
        <v>1342746</v>
      </c>
      <c r="F86" s="169"/>
      <c r="G86" s="169">
        <v>0</v>
      </c>
      <c r="H86" s="169"/>
      <c r="I86" s="169">
        <v>0</v>
      </c>
      <c r="J86" s="169"/>
      <c r="K86" s="169">
        <v>580328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v>242607</v>
      </c>
      <c r="X86" s="169"/>
      <c r="Y86" s="169"/>
      <c r="Z86" s="169"/>
      <c r="AA86" s="169">
        <v>519811</v>
      </c>
      <c r="AB86" s="169"/>
      <c r="AC86" s="169"/>
      <c r="AD86" s="169"/>
      <c r="AE86" s="169"/>
    </row>
    <row r="87" spans="1:32" s="3" customFormat="1" x14ac:dyDescent="0.2">
      <c r="A87" s="168"/>
      <c r="C87" s="10" t="s">
        <v>71</v>
      </c>
      <c r="D87" s="170">
        <f t="shared" si="16"/>
        <v>0</v>
      </c>
      <c r="E87" s="205">
        <f t="shared" si="16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">
      <c r="A88" s="168"/>
      <c r="C88" s="10" t="s">
        <v>72</v>
      </c>
      <c r="D88" s="171">
        <f t="shared" si="16"/>
        <v>0</v>
      </c>
      <c r="E88" s="211">
        <f t="shared" si="16"/>
        <v>-409137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-390400</v>
      </c>
      <c r="X88" s="171">
        <f>Z88+AD88+AF88+AH88+AJ88+AL88+AN88+AP88+AR88+AT88</f>
        <v>0</v>
      </c>
      <c r="Y88" s="171"/>
      <c r="Z88" s="171"/>
      <c r="AA88" s="171">
        <v>-18737</v>
      </c>
      <c r="AB88" s="171"/>
      <c r="AC88" s="171"/>
      <c r="AD88" s="171"/>
      <c r="AE88" s="171"/>
    </row>
    <row r="89" spans="1:32" s="143" customFormat="1" ht="20.25" customHeight="1" x14ac:dyDescent="0.2">
      <c r="A89" s="182"/>
      <c r="B89" s="183"/>
      <c r="C89" s="185" t="s">
        <v>174</v>
      </c>
      <c r="D89" s="184">
        <f>SUM(D86:D88)</f>
        <v>0</v>
      </c>
      <c r="E89" s="206">
        <f t="shared" ref="E89:O89" si="17">SUM(E86:E88)</f>
        <v>933609</v>
      </c>
      <c r="F89" s="184">
        <f t="shared" si="17"/>
        <v>0</v>
      </c>
      <c r="G89" s="184">
        <f t="shared" si="17"/>
        <v>0</v>
      </c>
      <c r="H89" s="184">
        <f>SUM(H86:H88)</f>
        <v>0</v>
      </c>
      <c r="I89" s="184">
        <f>SUM(I86:I88)</f>
        <v>0</v>
      </c>
      <c r="J89" s="184">
        <f t="shared" si="17"/>
        <v>0</v>
      </c>
      <c r="K89" s="184">
        <f t="shared" si="17"/>
        <v>580328</v>
      </c>
      <c r="L89" s="184">
        <f t="shared" si="17"/>
        <v>0</v>
      </c>
      <c r="M89" s="184">
        <f t="shared" si="17"/>
        <v>0</v>
      </c>
      <c r="N89" s="184">
        <f t="shared" si="17"/>
        <v>0</v>
      </c>
      <c r="O89" s="184">
        <f t="shared" si="17"/>
        <v>0</v>
      </c>
      <c r="P89" s="184">
        <f t="shared" ref="P89:AE89" si="18">SUM(P86:P88)</f>
        <v>0</v>
      </c>
      <c r="Q89" s="184">
        <f t="shared" si="18"/>
        <v>0</v>
      </c>
      <c r="R89" s="184">
        <f t="shared" si="18"/>
        <v>0</v>
      </c>
      <c r="S89" s="184">
        <f t="shared" si="18"/>
        <v>0</v>
      </c>
      <c r="T89" s="184">
        <f t="shared" si="18"/>
        <v>0</v>
      </c>
      <c r="U89" s="184">
        <f t="shared" si="18"/>
        <v>0</v>
      </c>
      <c r="V89" s="184">
        <f>SUM(V86:V88)</f>
        <v>0</v>
      </c>
      <c r="W89" s="184">
        <f>SUM(W86:W88)</f>
        <v>-147793</v>
      </c>
      <c r="X89" s="184">
        <f t="shared" si="18"/>
        <v>0</v>
      </c>
      <c r="Y89" s="184">
        <f t="shared" si="18"/>
        <v>0</v>
      </c>
      <c r="Z89" s="184">
        <f t="shared" si="18"/>
        <v>0</v>
      </c>
      <c r="AA89" s="184">
        <f t="shared" si="18"/>
        <v>501074</v>
      </c>
      <c r="AB89" s="184">
        <f>SUM(AB86:AB88)</f>
        <v>0</v>
      </c>
      <c r="AC89" s="184">
        <f>SUM(AC86:AC88)</f>
        <v>0</v>
      </c>
      <c r="AD89" s="184">
        <f t="shared" si="18"/>
        <v>0</v>
      </c>
      <c r="AE89" s="184">
        <f t="shared" si="18"/>
        <v>0</v>
      </c>
    </row>
    <row r="90" spans="1:32" x14ac:dyDescent="0.2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">
      <c r="A91" s="182"/>
      <c r="B91" s="183"/>
      <c r="C91" s="181" t="s">
        <v>175</v>
      </c>
      <c r="D91" s="184">
        <f>+D82+D89</f>
        <v>0</v>
      </c>
      <c r="E91" s="206">
        <f t="shared" ref="E91:O91" si="19">+E82+E89</f>
        <v>6161057.8799999952</v>
      </c>
      <c r="F91" s="184">
        <f t="shared" si="19"/>
        <v>0</v>
      </c>
      <c r="G91" s="184">
        <f t="shared" si="19"/>
        <v>7991578.7400000002</v>
      </c>
      <c r="H91" s="184">
        <f>+H82+H89</f>
        <v>0</v>
      </c>
      <c r="I91" s="184">
        <f>+I82+I89</f>
        <v>-2346232.02</v>
      </c>
      <c r="J91" s="184">
        <f t="shared" si="19"/>
        <v>0</v>
      </c>
      <c r="K91" s="184">
        <f t="shared" si="19"/>
        <v>3820797.35</v>
      </c>
      <c r="L91" s="184">
        <f t="shared" si="19"/>
        <v>0</v>
      </c>
      <c r="M91" s="184">
        <f t="shared" si="19"/>
        <v>369257.45</v>
      </c>
      <c r="N91" s="184">
        <f t="shared" si="19"/>
        <v>0</v>
      </c>
      <c r="O91" s="184">
        <f t="shared" si="19"/>
        <v>0</v>
      </c>
      <c r="P91" s="184">
        <f t="shared" ref="P91:AE91" si="20">+P82+P89</f>
        <v>0</v>
      </c>
      <c r="Q91" s="184">
        <f t="shared" si="20"/>
        <v>8154621.5999999996</v>
      </c>
      <c r="R91" s="184">
        <f t="shared" si="20"/>
        <v>0</v>
      </c>
      <c r="S91" s="184">
        <f t="shared" si="20"/>
        <v>-3888</v>
      </c>
      <c r="T91" s="184">
        <f t="shared" si="20"/>
        <v>0</v>
      </c>
      <c r="U91" s="184">
        <f t="shared" si="20"/>
        <v>727847.1799999997</v>
      </c>
      <c r="V91" s="184">
        <f>+V82+V89</f>
        <v>0</v>
      </c>
      <c r="W91" s="184">
        <f>+W82+W89</f>
        <v>-4806546.83</v>
      </c>
      <c r="X91" s="184">
        <f t="shared" si="20"/>
        <v>0</v>
      </c>
      <c r="Y91" s="184">
        <f t="shared" si="20"/>
        <v>1336473</v>
      </c>
      <c r="Z91" s="184">
        <f t="shared" si="20"/>
        <v>0</v>
      </c>
      <c r="AA91" s="184">
        <f t="shared" si="20"/>
        <v>-2654509.6900000004</v>
      </c>
      <c r="AB91" s="184">
        <f>+AB82+AB89</f>
        <v>0</v>
      </c>
      <c r="AC91" s="184">
        <f>+AC82+AC89</f>
        <v>-1988103.75</v>
      </c>
      <c r="AD91" s="184">
        <f t="shared" si="20"/>
        <v>0</v>
      </c>
      <c r="AE91" s="184">
        <f t="shared" si="20"/>
        <v>-4440237.1500000004</v>
      </c>
    </row>
    <row r="92" spans="1:32" x14ac:dyDescent="0.2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">
      <c r="A93" s="4"/>
      <c r="B93" s="3"/>
    </row>
    <row r="94" spans="1:32" x14ac:dyDescent="0.2">
      <c r="A94" s="4"/>
      <c r="B94" s="3"/>
      <c r="E94" s="198">
        <f>+E74+E12+E20</f>
        <v>5070807.4199999981</v>
      </c>
      <c r="G94" s="187">
        <f>+G12+G20+G74</f>
        <v>13462436.620000001</v>
      </c>
      <c r="I94" s="187">
        <f>+I12+I20+I74</f>
        <v>-803908.02</v>
      </c>
      <c r="K94" s="187">
        <f>+K12+K20+K74</f>
        <v>-1343577.9500000002</v>
      </c>
      <c r="M94" s="187">
        <f>+M12+M20+M74</f>
        <v>369257.45</v>
      </c>
      <c r="O94" s="187">
        <f>+O12+O20+O74</f>
        <v>0</v>
      </c>
      <c r="Q94" s="187">
        <f>+Q12+Q20+Q74</f>
        <v>4764157.1399999997</v>
      </c>
      <c r="S94" s="187">
        <f>+S12+S20+S74</f>
        <v>-3888</v>
      </c>
      <c r="U94" s="187">
        <f>+U12+U20+U74</f>
        <v>1061216.45</v>
      </c>
      <c r="W94" s="187">
        <f>+W12+W20+W74</f>
        <v>-3066423.83</v>
      </c>
      <c r="Y94" s="187">
        <f>+Y12+Y20+Y74</f>
        <v>533067</v>
      </c>
      <c r="AA94" s="187">
        <f>+AA12+AA20+AA74</f>
        <v>-4688868.6899999995</v>
      </c>
      <c r="AC94" s="187">
        <f>+AC12+AC20+AC74</f>
        <v>-2005538.75</v>
      </c>
      <c r="AE94" s="187">
        <f>+AE12+AE20+AE74</f>
        <v>-3207122</v>
      </c>
    </row>
    <row r="95" spans="1:32" x14ac:dyDescent="0.2">
      <c r="A95" s="4"/>
      <c r="B95" s="3"/>
      <c r="E95" s="198">
        <v>5070808</v>
      </c>
    </row>
    <row r="96" spans="1:32" x14ac:dyDescent="0.2">
      <c r="A96" s="4"/>
      <c r="B96" s="3"/>
      <c r="E96" s="198">
        <f>+E94-E95</f>
        <v>-0.58000000193715096</v>
      </c>
    </row>
    <row r="97" spans="1:5" x14ac:dyDescent="0.2">
      <c r="A97" s="4"/>
      <c r="B97" s="3"/>
    </row>
    <row r="98" spans="1:5" x14ac:dyDescent="0.2">
      <c r="A98" s="4"/>
      <c r="B98" s="3"/>
    </row>
    <row r="99" spans="1:5" x14ac:dyDescent="0.2">
      <c r="A99" s="4"/>
      <c r="B99" s="3"/>
      <c r="E99" s="198">
        <v>1213819.8799999999</v>
      </c>
    </row>
    <row r="100" spans="1:5" x14ac:dyDescent="0.2">
      <c r="A100" s="4"/>
      <c r="B100" s="3"/>
      <c r="E100" s="198">
        <f>-40800-104042</f>
        <v>-144842</v>
      </c>
    </row>
    <row r="101" spans="1:5" x14ac:dyDescent="0.2">
      <c r="A101" s="4"/>
      <c r="B101" s="3"/>
      <c r="E101" s="198">
        <f>+E96+E99+E100</f>
        <v>1068977.299999998</v>
      </c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12853457</v>
      </c>
      <c r="E11" s="66">
        <f>BUG_FLSH!E11</f>
        <v>36518397</v>
      </c>
      <c r="F11" s="60">
        <f>BUG_GL!D11</f>
        <v>12989211</v>
      </c>
      <c r="G11" s="38">
        <f>BUG_GL!E11</f>
        <v>40465893.060000002</v>
      </c>
      <c r="H11" s="60">
        <f>F11-D11</f>
        <v>135754</v>
      </c>
      <c r="I11" s="38">
        <f>G11-E11</f>
        <v>3947496.0600000024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28397164</v>
      </c>
      <c r="E13" s="66">
        <f>BUG_FLSH!E13</f>
        <v>76589544</v>
      </c>
      <c r="F13" s="60">
        <f>BUG_GL!D13</f>
        <v>28397164</v>
      </c>
      <c r="G13" s="38">
        <f>BUG_GL!E13</f>
        <v>76589544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16</v>
      </c>
      <c r="E15" s="66">
        <f>BUG_FLSH!E15</f>
        <v>10435321</v>
      </c>
      <c r="F15" s="60">
        <f>BUG_GL!D15</f>
        <v>0</v>
      </c>
      <c r="G15" s="38">
        <f>BUG_GL!E15</f>
        <v>10414942</v>
      </c>
      <c r="H15" s="60">
        <f t="shared" si="0"/>
        <v>-16</v>
      </c>
      <c r="I15" s="38">
        <f t="shared" si="0"/>
        <v>-20379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41250637</v>
      </c>
      <c r="E16" s="39">
        <f t="shared" si="1"/>
        <v>123543262</v>
      </c>
      <c r="F16" s="61">
        <f t="shared" si="1"/>
        <v>41386375</v>
      </c>
      <c r="G16" s="39">
        <f t="shared" si="1"/>
        <v>127470379.06</v>
      </c>
      <c r="H16" s="61">
        <f t="shared" si="1"/>
        <v>135738</v>
      </c>
      <c r="I16" s="39">
        <f t="shared" si="1"/>
        <v>3927117.0600000024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-6931794</v>
      </c>
      <c r="E19" s="66">
        <f>BUG_FLSH!E19</f>
        <v>-19336794</v>
      </c>
      <c r="F19" s="60">
        <f>BUG_GL!D19</f>
        <v>-6914047</v>
      </c>
      <c r="G19" s="38">
        <f>BUG_GL!E19</f>
        <v>-22688902.149999999</v>
      </c>
      <c r="H19" s="60">
        <f>F19-D19</f>
        <v>17747</v>
      </c>
      <c r="I19" s="38">
        <f>G19-E19</f>
        <v>-3352108.1499999985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-100590</v>
      </c>
      <c r="H20" s="60">
        <f>F20-D20</f>
        <v>0</v>
      </c>
      <c r="I20" s="38">
        <f>G20-E20</f>
        <v>-100590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-33209597</v>
      </c>
      <c r="E21" s="66">
        <f>BUG_FLSH!E21</f>
        <v>-88728638</v>
      </c>
      <c r="F21" s="60">
        <f>BUG_GL!D21</f>
        <v>-33209597</v>
      </c>
      <c r="G21" s="38">
        <f>BUG_GL!E21</f>
        <v>-88728638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547431</v>
      </c>
      <c r="E23" s="66">
        <f>BUG_FLSH!E23</f>
        <v>1279975</v>
      </c>
      <c r="F23" s="60">
        <f>BUG_GL!D23</f>
        <v>547431</v>
      </c>
      <c r="G23" s="38">
        <f>BUG_GL!E23</f>
        <v>0</v>
      </c>
      <c r="H23" s="60">
        <f t="shared" si="2"/>
        <v>0</v>
      </c>
      <c r="I23" s="38">
        <f t="shared" si="2"/>
        <v>-1279975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-39593960</v>
      </c>
      <c r="E24" s="39">
        <f t="shared" si="3"/>
        <v>-106785457</v>
      </c>
      <c r="F24" s="61">
        <f t="shared" si="3"/>
        <v>-39576213</v>
      </c>
      <c r="G24" s="39">
        <f t="shared" si="3"/>
        <v>-111518130.15000001</v>
      </c>
      <c r="H24" s="61">
        <f t="shared" si="3"/>
        <v>17747</v>
      </c>
      <c r="I24" s="39">
        <f t="shared" si="3"/>
        <v>-4732673.1499999985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2784</v>
      </c>
      <c r="E32" s="66">
        <f>BUG_FLSH!E32</f>
        <v>15796</v>
      </c>
      <c r="F32" s="60">
        <f>BUG_GL!D32</f>
        <v>0</v>
      </c>
      <c r="G32" s="38">
        <f>BUG_GL!E32</f>
        <v>0</v>
      </c>
      <c r="H32" s="60">
        <f>F32-D32</f>
        <v>-2784</v>
      </c>
      <c r="I32" s="38">
        <f>G32-E32</f>
        <v>-15796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-29369</v>
      </c>
      <c r="E35" s="66">
        <f>BUG_FLSH!E35</f>
        <v>-29</v>
      </c>
      <c r="F35" s="60">
        <f>BUG_GL!D35</f>
        <v>-9200</v>
      </c>
      <c r="G35" s="38">
        <f>BUG_GL!E35</f>
        <v>0</v>
      </c>
      <c r="H35" s="60">
        <f t="shared" si="5"/>
        <v>20169</v>
      </c>
      <c r="I35" s="38">
        <f t="shared" si="5"/>
        <v>29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-26585</v>
      </c>
      <c r="E36" s="39">
        <f t="shared" si="6"/>
        <v>15767</v>
      </c>
      <c r="F36" s="61">
        <f t="shared" si="6"/>
        <v>-9200</v>
      </c>
      <c r="G36" s="39">
        <f t="shared" si="6"/>
        <v>0</v>
      </c>
      <c r="H36" s="61">
        <f t="shared" si="6"/>
        <v>17385</v>
      </c>
      <c r="I36" s="39">
        <f t="shared" si="6"/>
        <v>-15767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989473</v>
      </c>
      <c r="E39" s="66">
        <f>BUG_FLSH!E39</f>
        <v>3349168</v>
      </c>
      <c r="F39" s="60">
        <f>BUG_GL!D39</f>
        <v>-210193</v>
      </c>
      <c r="G39" s="38">
        <f>BUG_GL!E39</f>
        <v>-2371244</v>
      </c>
      <c r="H39" s="60">
        <f t="shared" ref="H39:I41" si="7">F39-D39</f>
        <v>-1199666</v>
      </c>
      <c r="I39" s="38">
        <f t="shared" si="7"/>
        <v>-5720412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-2889962</v>
      </c>
      <c r="E40" s="66">
        <f>BUG_FLSH!E40</f>
        <v>-6064413</v>
      </c>
      <c r="F40" s="60">
        <f>BUG_GL!D40</f>
        <v>-1883417</v>
      </c>
      <c r="G40" s="38">
        <f>BUG_GL!E40</f>
        <v>-202731.25999999995</v>
      </c>
      <c r="H40" s="60">
        <f t="shared" si="7"/>
        <v>1006545</v>
      </c>
      <c r="I40" s="38">
        <f t="shared" si="7"/>
        <v>5861681.7400000002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-2889962</v>
      </c>
      <c r="E42" s="70">
        <f t="shared" si="8"/>
        <v>-6064413</v>
      </c>
      <c r="F42" s="69">
        <f t="shared" si="8"/>
        <v>-1883417</v>
      </c>
      <c r="G42" s="70">
        <f t="shared" si="8"/>
        <v>-202731.25999999995</v>
      </c>
      <c r="H42" s="69">
        <f t="shared" si="8"/>
        <v>1006545</v>
      </c>
      <c r="I42" s="70">
        <f t="shared" si="8"/>
        <v>5861681.7400000002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-1900489</v>
      </c>
      <c r="E43" s="39">
        <f t="shared" si="9"/>
        <v>-2715245</v>
      </c>
      <c r="F43" s="61">
        <f t="shared" si="9"/>
        <v>-2093610</v>
      </c>
      <c r="G43" s="39">
        <f t="shared" si="9"/>
        <v>-2573975.2599999998</v>
      </c>
      <c r="H43" s="61">
        <f t="shared" si="9"/>
        <v>-193121</v>
      </c>
      <c r="I43" s="39">
        <f t="shared" si="9"/>
        <v>141269.74000000022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270413</v>
      </c>
      <c r="E49" s="66">
        <f>BUG_FLSH!E49</f>
        <v>834224.10499999998</v>
      </c>
      <c r="F49" s="60">
        <f>BUG_GL!D49</f>
        <v>292648</v>
      </c>
      <c r="G49" s="38">
        <f>BUG_GL!E49</f>
        <v>902819.25000000163</v>
      </c>
      <c r="H49" s="60">
        <f>F49-D49</f>
        <v>22235</v>
      </c>
      <c r="I49" s="38">
        <f>G49-E49</f>
        <v>68595.145000001648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-547431</v>
      </c>
      <c r="E51" s="66">
        <f>BUG_FLSH!E51</f>
        <v>-1279975</v>
      </c>
      <c r="F51" s="60">
        <f>BUG_GL!D51</f>
        <v>0</v>
      </c>
      <c r="G51" s="38">
        <f>BUG_GL!E51</f>
        <v>0</v>
      </c>
      <c r="H51" s="60">
        <f>F51-D51</f>
        <v>547431</v>
      </c>
      <c r="I51" s="38">
        <f>G51-E51</f>
        <v>1279975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-736929</v>
      </c>
      <c r="F54" s="60">
        <f>BUG_GL!D54</f>
        <v>-18729520</v>
      </c>
      <c r="G54" s="38">
        <f>BUG_GL!E54</f>
        <v>-722327.93000000017</v>
      </c>
      <c r="H54" s="60">
        <f>F54-D54</f>
        <v>-18729520</v>
      </c>
      <c r="I54" s="38">
        <f>G54-E54</f>
        <v>14601.069999999832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-10256821</v>
      </c>
      <c r="F55" s="60">
        <f>BUG_GL!D55</f>
        <v>0</v>
      </c>
      <c r="G55" s="38">
        <f>BUG_GL!E55</f>
        <v>-10241713.779999999</v>
      </c>
      <c r="H55" s="60">
        <f>F55-D55</f>
        <v>0</v>
      </c>
      <c r="I55" s="38">
        <f>G55-E55</f>
        <v>15107.220000000671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-10993750</v>
      </c>
      <c r="F56" s="61">
        <f t="shared" si="10"/>
        <v>-18729520</v>
      </c>
      <c r="G56" s="39">
        <f t="shared" si="10"/>
        <v>-10964041.709999999</v>
      </c>
      <c r="H56" s="61">
        <f t="shared" si="10"/>
        <v>-18729520</v>
      </c>
      <c r="I56" s="39">
        <f t="shared" si="10"/>
        <v>29708.290000000503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8196.6200000000008</v>
      </c>
      <c r="H59" s="60">
        <f>F59-D59</f>
        <v>0</v>
      </c>
      <c r="I59" s="38">
        <f>G59-E59</f>
        <v>8196.6200000000008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8196.6200000000008</v>
      </c>
      <c r="H61" s="69">
        <f t="shared" si="11"/>
        <v>0</v>
      </c>
      <c r="I61" s="70">
        <f t="shared" si="11"/>
        <v>8196.6200000000008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6830063.1358007938</v>
      </c>
      <c r="F70" s="60">
        <f>BUG_GL!D70</f>
        <v>0</v>
      </c>
      <c r="G70" s="38">
        <f>BUG_GL!E70</f>
        <v>6830063</v>
      </c>
      <c r="H70" s="60">
        <f>F70-D70</f>
        <v>0</v>
      </c>
      <c r="I70" s="38">
        <f>G70-E70</f>
        <v>-0.1358007937669754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-8066079</v>
      </c>
      <c r="F71" s="60">
        <f>BUG_GL!D71</f>
        <v>0</v>
      </c>
      <c r="G71" s="38">
        <f>BUG_GL!E71</f>
        <v>-8066078.1500000004</v>
      </c>
      <c r="H71" s="60">
        <f>F71-D71</f>
        <v>0</v>
      </c>
      <c r="I71" s="38">
        <f>G71-E71</f>
        <v>0.84999999962747097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-1236015.8641992062</v>
      </c>
      <c r="F72" s="69">
        <f t="shared" si="13"/>
        <v>0</v>
      </c>
      <c r="G72" s="70">
        <f t="shared" si="13"/>
        <v>-1236015.1500000004</v>
      </c>
      <c r="H72" s="69">
        <f t="shared" si="13"/>
        <v>0</v>
      </c>
      <c r="I72" s="70">
        <f t="shared" si="13"/>
        <v>0.71419920586049557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-1488894.9367192537</v>
      </c>
      <c r="F74" s="60">
        <f>BUG_GL!D74</f>
        <v>0</v>
      </c>
      <c r="G74" s="38">
        <f>BUG_GL!E74</f>
        <v>-3265305</v>
      </c>
      <c r="H74" s="60">
        <f t="shared" ref="H74:I79" si="14">F74-D74</f>
        <v>0</v>
      </c>
      <c r="I74" s="38">
        <f t="shared" si="14"/>
        <v>-1776410.0632807463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2928</v>
      </c>
      <c r="F75" s="60">
        <f>BUG_GL!D75</f>
        <v>0</v>
      </c>
      <c r="G75" s="38">
        <f>BUG_GL!E75</f>
        <v>2900</v>
      </c>
      <c r="H75" s="60">
        <f t="shared" si="14"/>
        <v>0</v>
      </c>
      <c r="I75" s="38">
        <f t="shared" si="14"/>
        <v>-28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179915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-179915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76758.304081540555</v>
      </c>
      <c r="F82" s="109">
        <f>F16+F24+F29+F36+F43+F45+F47+F49</f>
        <v>0</v>
      </c>
      <c r="G82" s="110">
        <f>SUM(G72:G81)+G16+G24+G29+G36+G43+G45+G47+G49+G51+G56+G61+G66</f>
        <v>-1173172.3400000064</v>
      </c>
      <c r="H82" s="109">
        <f>H16+H24+H29+H36+H43+H45+H47+H49</f>
        <v>-16</v>
      </c>
      <c r="I82" s="110">
        <f>SUM(I72:I81)+I16+I24+I29+I36+I43+I45+I47+I49+I51+I56+I61+I66</f>
        <v>-1249930.6440815344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8"/>
  <sheetViews>
    <sheetView workbookViewId="0">
      <pane xSplit="4" ySplit="3" topLeftCell="T635" activePane="bottomRight" state="frozen"/>
      <selection pane="topRight" activeCell="E1" sqref="E1"/>
      <selection pane="bottomLeft" activeCell="A4" sqref="A4"/>
      <selection pane="bottomRight" activeCell="W645" sqref="W645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1" customWidth="1"/>
    <col min="8" max="8" width="12.28515625" customWidth="1"/>
    <col min="9" max="9" width="11.7109375" style="121" customWidth="1"/>
    <col min="10" max="10" width="11.28515625" customWidth="1"/>
    <col min="11" max="11" width="11" customWidth="1"/>
    <col min="12" max="12" width="11.7109375" customWidth="1"/>
    <col min="13" max="13" width="12.7109375" customWidth="1"/>
    <col min="14" max="14" width="12.42578125" customWidth="1"/>
    <col min="15" max="15" width="15.85546875" customWidth="1"/>
    <col min="16" max="16" width="12.28515625" customWidth="1"/>
    <col min="19" max="19" width="11.28515625" customWidth="1"/>
    <col min="21" max="21" width="12.7109375" customWidth="1"/>
    <col min="23" max="23" width="12.42578125" customWidth="1"/>
  </cols>
  <sheetData>
    <row r="1" spans="1:118" ht="28.5" customHeight="1" x14ac:dyDescent="0.2">
      <c r="E1" s="215">
        <v>36465</v>
      </c>
      <c r="F1" s="215"/>
      <c r="G1" s="216">
        <f>+E1+31</f>
        <v>36496</v>
      </c>
      <c r="H1" s="216"/>
      <c r="I1" s="216">
        <f>+G1+30</f>
        <v>36526</v>
      </c>
      <c r="J1" s="216"/>
      <c r="K1" s="217">
        <f>+I1+31</f>
        <v>36557</v>
      </c>
      <c r="L1" s="217"/>
      <c r="M1" s="217">
        <f>+K1+31</f>
        <v>36588</v>
      </c>
      <c r="N1" s="217"/>
      <c r="O1" s="217">
        <f>+M1+30</f>
        <v>36618</v>
      </c>
      <c r="P1" s="217"/>
      <c r="Q1" s="217">
        <f>+O1+31</f>
        <v>36649</v>
      </c>
      <c r="R1" s="217"/>
      <c r="S1" s="217">
        <f>+Q1+31</f>
        <v>36680</v>
      </c>
      <c r="T1" s="217"/>
      <c r="U1" s="217">
        <f>+S1+31</f>
        <v>36711</v>
      </c>
      <c r="V1" s="217"/>
      <c r="W1" s="217">
        <f>+U1+31</f>
        <v>36742</v>
      </c>
      <c r="X1" s="217"/>
      <c r="Y1" s="217">
        <f>+W1+31</f>
        <v>36773</v>
      </c>
      <c r="Z1" s="217"/>
      <c r="AA1" s="217">
        <f>+Y1+31</f>
        <v>36804</v>
      </c>
      <c r="AB1" s="217"/>
      <c r="AC1" s="217">
        <f>+AA1+31</f>
        <v>36835</v>
      </c>
      <c r="AD1" s="217"/>
      <c r="AE1" s="217">
        <f>+AC1+31</f>
        <v>36866</v>
      </c>
      <c r="AF1" s="217"/>
      <c r="AG1" s="217"/>
      <c r="AH1" s="217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21" t="s">
        <v>120</v>
      </c>
    </row>
    <row r="3" spans="1:118" s="115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14" t="s">
        <v>196</v>
      </c>
      <c r="F3" s="115" t="s">
        <v>197</v>
      </c>
      <c r="G3" s="164" t="s">
        <v>196</v>
      </c>
      <c r="H3" s="115" t="s">
        <v>197</v>
      </c>
      <c r="I3" s="164" t="s">
        <v>196</v>
      </c>
      <c r="J3" s="115" t="s">
        <v>197</v>
      </c>
      <c r="K3" s="114" t="s">
        <v>196</v>
      </c>
      <c r="L3" s="115" t="s">
        <v>197</v>
      </c>
      <c r="M3" s="114" t="s">
        <v>196</v>
      </c>
      <c r="N3" s="115" t="s">
        <v>197</v>
      </c>
      <c r="O3" s="114" t="s">
        <v>196</v>
      </c>
      <c r="P3" s="115" t="s">
        <v>197</v>
      </c>
      <c r="Q3" s="114" t="s">
        <v>196</v>
      </c>
      <c r="R3" s="115" t="s">
        <v>197</v>
      </c>
      <c r="S3" s="114" t="s">
        <v>196</v>
      </c>
      <c r="T3" s="115" t="s">
        <v>197</v>
      </c>
      <c r="U3" s="114" t="s">
        <v>122</v>
      </c>
      <c r="W3" s="114" t="s">
        <v>122</v>
      </c>
      <c r="Y3" s="114" t="s">
        <v>122</v>
      </c>
      <c r="AA3" s="114" t="s">
        <v>122</v>
      </c>
      <c r="AC3" s="114" t="s">
        <v>122</v>
      </c>
      <c r="AE3" s="114" t="s">
        <v>122</v>
      </c>
    </row>
    <row r="4" spans="1:118" x14ac:dyDescent="0.2">
      <c r="A4" s="116" t="s">
        <v>123</v>
      </c>
      <c r="B4" s="116" t="s">
        <v>124</v>
      </c>
      <c r="C4" s="117">
        <v>1</v>
      </c>
      <c r="D4" s="116" t="s">
        <v>25</v>
      </c>
      <c r="E4" s="118">
        <v>127489</v>
      </c>
      <c r="F4" s="118">
        <v>383348.94</v>
      </c>
      <c r="G4" s="122">
        <v>-10737</v>
      </c>
      <c r="H4" s="119">
        <v>-29948.59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-10000</v>
      </c>
      <c r="T4" s="119">
        <v>-27700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">
      <c r="A5" s="116" t="s">
        <v>123</v>
      </c>
      <c r="B5" s="116" t="s">
        <v>124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">
      <c r="A6" s="116" t="s">
        <v>123</v>
      </c>
      <c r="B6" s="116" t="s">
        <v>124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">
      <c r="A7" s="116" t="s">
        <v>123</v>
      </c>
      <c r="B7" s="116" t="s">
        <v>124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">
      <c r="A8" s="116" t="s">
        <v>123</v>
      </c>
      <c r="B8" s="116" t="s">
        <v>124</v>
      </c>
      <c r="C8" s="117">
        <v>5</v>
      </c>
      <c r="D8" s="116" t="s">
        <v>125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">
      <c r="A9" s="116" t="s">
        <v>123</v>
      </c>
      <c r="B9" s="116" t="s">
        <v>124</v>
      </c>
      <c r="C9" s="117">
        <v>6</v>
      </c>
      <c r="D9" s="116" t="s">
        <v>25</v>
      </c>
      <c r="E9" s="118">
        <v>-20000</v>
      </c>
      <c r="F9" s="118">
        <v>-58140</v>
      </c>
      <c r="G9" s="122">
        <v>20000</v>
      </c>
      <c r="H9" s="119">
        <v>58140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">
      <c r="A10" s="116" t="s">
        <v>123</v>
      </c>
      <c r="B10" s="116" t="s">
        <v>124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>
        <v>0</v>
      </c>
      <c r="T10" s="119">
        <v>0</v>
      </c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">
      <c r="A11" s="116" t="s">
        <v>123</v>
      </c>
      <c r="B11" s="116" t="s">
        <v>124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>
        <v>0</v>
      </c>
      <c r="T11" s="119">
        <v>0</v>
      </c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">
      <c r="A12" s="116" t="s">
        <v>123</v>
      </c>
      <c r="B12" s="116" t="s">
        <v>124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>
        <v>0</v>
      </c>
      <c r="T12" s="119">
        <v>0</v>
      </c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">
      <c r="A13" s="116" t="s">
        <v>123</v>
      </c>
      <c r="B13" s="116" t="s">
        <v>124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119">
        <v>0</v>
      </c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">
      <c r="A14" s="116" t="s">
        <v>123</v>
      </c>
      <c r="B14" s="116" t="s">
        <v>124</v>
      </c>
      <c r="C14" s="117">
        <v>11</v>
      </c>
      <c r="D14" s="116" t="s">
        <v>35</v>
      </c>
      <c r="E14" s="118">
        <v>0</v>
      </c>
      <c r="F14" s="118">
        <v>0</v>
      </c>
      <c r="G14" s="122">
        <v>-10000</v>
      </c>
      <c r="H14" s="119">
        <v>-27246</v>
      </c>
      <c r="I14" s="122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10000</v>
      </c>
      <c r="T14" s="119">
        <v>30300</v>
      </c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">
      <c r="A15" s="116" t="s">
        <v>123</v>
      </c>
      <c r="B15" s="116" t="s">
        <v>124</v>
      </c>
      <c r="C15" s="117">
        <v>12</v>
      </c>
      <c r="D15" s="116" t="s">
        <v>36</v>
      </c>
      <c r="E15" s="118">
        <v>-107489</v>
      </c>
      <c r="F15" s="118">
        <v>-325691.67</v>
      </c>
      <c r="G15" s="122">
        <v>737</v>
      </c>
      <c r="H15" s="119">
        <v>2233.11</v>
      </c>
      <c r="I15" s="122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">
      <c r="A16" s="116" t="s">
        <v>123</v>
      </c>
      <c r="B16" s="116" t="s">
        <v>124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">
      <c r="A17" s="116" t="s">
        <v>123</v>
      </c>
      <c r="B17" s="116" t="s">
        <v>124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>
        <v>0</v>
      </c>
      <c r="T17" s="119">
        <v>0</v>
      </c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">
      <c r="A18" s="116" t="s">
        <v>123</v>
      </c>
      <c r="B18" s="116" t="s">
        <v>124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>
        <v>0</v>
      </c>
      <c r="T18" s="119">
        <v>0</v>
      </c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">
      <c r="A19" s="116" t="s">
        <v>123</v>
      </c>
      <c r="B19" s="116" t="s">
        <v>124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>
        <v>0</v>
      </c>
      <c r="T19" s="119">
        <v>0</v>
      </c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">
      <c r="A20" s="116" t="s">
        <v>123</v>
      </c>
      <c r="B20" s="116" t="s">
        <v>124</v>
      </c>
      <c r="C20" s="117">
        <v>17</v>
      </c>
      <c r="D20" s="116" t="s">
        <v>126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">
      <c r="A21" s="116" t="s">
        <v>123</v>
      </c>
      <c r="B21" s="116" t="s">
        <v>124</v>
      </c>
      <c r="C21" s="117">
        <v>18</v>
      </c>
      <c r="D21" s="116" t="s">
        <v>127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">
      <c r="A22" s="116" t="s">
        <v>123</v>
      </c>
      <c r="B22" s="116" t="s">
        <v>124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>
        <v>0</v>
      </c>
      <c r="T22" s="119">
        <v>0</v>
      </c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">
      <c r="A23" s="116" t="s">
        <v>123</v>
      </c>
      <c r="B23" s="116" t="s">
        <v>124</v>
      </c>
      <c r="C23" s="117">
        <v>20</v>
      </c>
      <c r="D23" s="116" t="s">
        <v>128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">
      <c r="A24" s="116" t="s">
        <v>123</v>
      </c>
      <c r="B24" s="116" t="s">
        <v>124</v>
      </c>
      <c r="C24" s="117">
        <v>21</v>
      </c>
      <c r="D24" s="116" t="s">
        <v>129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-617.94000000000005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">
      <c r="A25" s="116" t="s">
        <v>123</v>
      </c>
      <c r="B25" s="116" t="s">
        <v>124</v>
      </c>
      <c r="C25" s="117">
        <v>22</v>
      </c>
      <c r="D25" s="116" t="s">
        <v>130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>
        <v>0</v>
      </c>
      <c r="T25" s="119">
        <v>0</v>
      </c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">
      <c r="A26" s="116" t="s">
        <v>123</v>
      </c>
      <c r="B26" s="116" t="s">
        <v>124</v>
      </c>
      <c r="C26" s="117">
        <v>23</v>
      </c>
      <c r="D26" s="116" t="s">
        <v>131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>
        <v>0</v>
      </c>
      <c r="T26" s="119">
        <v>0</v>
      </c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">
      <c r="A27" s="116" t="s">
        <v>123</v>
      </c>
      <c r="B27" s="116" t="s">
        <v>124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">
      <c r="A28" s="116" t="s">
        <v>123</v>
      </c>
      <c r="B28" s="116" t="s">
        <v>124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">
      <c r="A29" s="116" t="s">
        <v>123</v>
      </c>
      <c r="B29" s="116" t="s">
        <v>124</v>
      </c>
      <c r="C29" s="117">
        <v>26</v>
      </c>
      <c r="D29" s="116" t="s">
        <v>132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">
      <c r="A30" s="116" t="s">
        <v>123</v>
      </c>
      <c r="B30" s="116" t="s">
        <v>124</v>
      </c>
      <c r="C30" s="117">
        <v>27</v>
      </c>
      <c r="D30" s="116" t="s">
        <v>133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">
      <c r="A31" s="116" t="s">
        <v>123</v>
      </c>
      <c r="B31" s="116" t="s">
        <v>124</v>
      </c>
      <c r="C31" s="117">
        <v>28</v>
      </c>
      <c r="D31" s="116" t="s">
        <v>134</v>
      </c>
      <c r="E31" s="118">
        <v>0</v>
      </c>
      <c r="F31" s="118">
        <v>0</v>
      </c>
      <c r="G31" s="122">
        <v>0</v>
      </c>
      <c r="H31" s="119">
        <v>0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">
      <c r="A32" s="116" t="s">
        <v>123</v>
      </c>
      <c r="B32" s="116" t="s">
        <v>124</v>
      </c>
      <c r="C32" s="117">
        <v>29</v>
      </c>
      <c r="D32" s="116" t="s">
        <v>135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">
      <c r="A33" s="116" t="s">
        <v>123</v>
      </c>
      <c r="B33" s="116" t="s">
        <v>124</v>
      </c>
      <c r="C33" s="117">
        <v>30</v>
      </c>
      <c r="D33" s="116" t="s">
        <v>136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">
      <c r="A34" s="116" t="s">
        <v>123</v>
      </c>
      <c r="B34" s="116" t="s">
        <v>124</v>
      </c>
      <c r="C34" s="117">
        <v>31</v>
      </c>
      <c r="D34" s="116" t="s">
        <v>137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">
      <c r="A35" s="116" t="s">
        <v>123</v>
      </c>
      <c r="B35" s="116" t="s">
        <v>124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">
      <c r="A36" s="116" t="s">
        <v>123</v>
      </c>
      <c r="B36" s="116" t="s">
        <v>124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>
        <v>0</v>
      </c>
      <c r="T36" s="119">
        <v>0</v>
      </c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">
      <c r="A37" s="116" t="s">
        <v>123</v>
      </c>
      <c r="B37" s="116" t="s">
        <v>124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">
      <c r="A38" s="116" t="s">
        <v>123</v>
      </c>
      <c r="B38" s="116" t="s">
        <v>124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">
      <c r="A39" s="116" t="s">
        <v>123</v>
      </c>
      <c r="B39" s="116" t="s">
        <v>124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>
        <v>0</v>
      </c>
      <c r="T39" s="119">
        <v>0</v>
      </c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">
      <c r="A40" s="116" t="s">
        <v>123</v>
      </c>
      <c r="B40" s="116" t="s">
        <v>124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">
      <c r="A41" s="116" t="s">
        <v>123</v>
      </c>
      <c r="B41" s="116" t="s">
        <v>124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">
      <c r="A42" s="116" t="s">
        <v>123</v>
      </c>
      <c r="B42" s="116" t="s">
        <v>124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">
      <c r="A43" s="116" t="s">
        <v>123</v>
      </c>
      <c r="B43" s="116" t="s">
        <v>124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">
      <c r="A44" t="s">
        <v>138</v>
      </c>
      <c r="B44" t="s">
        <v>139</v>
      </c>
      <c r="C44">
        <v>1</v>
      </c>
      <c r="D44" t="s">
        <v>25</v>
      </c>
      <c r="E44" s="14">
        <v>7117092</v>
      </c>
      <c r="F44" s="14">
        <v>21349501.32</v>
      </c>
      <c r="G44" s="122">
        <v>-76967</v>
      </c>
      <c r="H44" s="119">
        <v>-433016.26</v>
      </c>
      <c r="I44" s="122">
        <v>80851</v>
      </c>
      <c r="J44" s="119">
        <v>253872.14</v>
      </c>
      <c r="K44" s="119">
        <v>782</v>
      </c>
      <c r="L44" s="119">
        <v>1803.84</v>
      </c>
      <c r="M44" s="119">
        <v>778</v>
      </c>
      <c r="N44" s="119">
        <v>1700.28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>
        <v>0</v>
      </c>
      <c r="T45" s="119">
        <v>0</v>
      </c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">
      <c r="A49" t="s">
        <v>138</v>
      </c>
      <c r="B49" t="s">
        <v>139</v>
      </c>
      <c r="C49">
        <v>6</v>
      </c>
      <c r="D49" t="s">
        <v>25</v>
      </c>
      <c r="E49" s="14">
        <v>-1903482</v>
      </c>
      <c r="F49" s="14">
        <v>-5764471.8700000001</v>
      </c>
      <c r="G49" s="122">
        <v>985708</v>
      </c>
      <c r="H49" s="119">
        <v>3037252.57</v>
      </c>
      <c r="I49" s="122">
        <v>0</v>
      </c>
      <c r="J49" s="119">
        <v>-546.99</v>
      </c>
      <c r="K49" s="119">
        <v>0</v>
      </c>
      <c r="L49" s="119">
        <v>0</v>
      </c>
      <c r="M49" s="119">
        <v>0</v>
      </c>
      <c r="N49" s="119">
        <v>0</v>
      </c>
      <c r="O49" s="119">
        <v>0</v>
      </c>
      <c r="P49" s="119">
        <v>0</v>
      </c>
      <c r="Q49" s="119">
        <v>0</v>
      </c>
      <c r="R49" s="119">
        <v>0</v>
      </c>
      <c r="S49" s="119">
        <v>0</v>
      </c>
      <c r="T49" s="119">
        <v>0</v>
      </c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2">
        <v>28665</v>
      </c>
      <c r="H53" s="119">
        <v>66523.490000000005</v>
      </c>
      <c r="I53" s="122">
        <v>1697</v>
      </c>
      <c r="J53" s="119">
        <v>3681.27</v>
      </c>
      <c r="K53" s="119">
        <v>-12194</v>
      </c>
      <c r="L53" s="119">
        <v>-32679.919999999998</v>
      </c>
      <c r="M53" s="119">
        <v>0</v>
      </c>
      <c r="N53" s="119">
        <v>0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">
      <c r="A54" t="s">
        <v>138</v>
      </c>
      <c r="B54" t="s">
        <v>139</v>
      </c>
      <c r="C54">
        <v>11</v>
      </c>
      <c r="D54" t="s">
        <v>35</v>
      </c>
      <c r="E54" s="14">
        <v>4192388</v>
      </c>
      <c r="F54" s="14">
        <v>10289402.380000001</v>
      </c>
      <c r="G54" s="122">
        <v>-297066</v>
      </c>
      <c r="H54" s="119">
        <v>-851428.94</v>
      </c>
      <c r="I54" s="122">
        <v>-200549</v>
      </c>
      <c r="J54" s="119">
        <v>-538128.4</v>
      </c>
      <c r="K54" s="119">
        <v>-138342</v>
      </c>
      <c r="L54" s="119">
        <v>-391507.86</v>
      </c>
      <c r="M54" s="119">
        <v>-148942</v>
      </c>
      <c r="N54" s="119">
        <v>-417097.64</v>
      </c>
      <c r="O54" s="119">
        <v>184308</v>
      </c>
      <c r="P54" s="119">
        <v>543272.06000000006</v>
      </c>
      <c r="Q54" s="119">
        <v>28975</v>
      </c>
      <c r="R54" s="119">
        <v>67428.08</v>
      </c>
      <c r="S54" s="119">
        <v>0</v>
      </c>
      <c r="T54" s="119">
        <v>0</v>
      </c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">
      <c r="A55" t="s">
        <v>138</v>
      </c>
      <c r="B55" t="s">
        <v>139</v>
      </c>
      <c r="C55">
        <v>12</v>
      </c>
      <c r="D55" t="s">
        <v>36</v>
      </c>
      <c r="E55" s="14">
        <v>-9766525</v>
      </c>
      <c r="F55" s="14">
        <v>-23114791.630000003</v>
      </c>
      <c r="G55" s="122">
        <v>273574</v>
      </c>
      <c r="H55" s="119">
        <v>912005.24</v>
      </c>
      <c r="I55" s="122">
        <v>198852</v>
      </c>
      <c r="J55" s="119">
        <v>402348.55</v>
      </c>
      <c r="K55" s="119">
        <v>25679</v>
      </c>
      <c r="L55" s="119">
        <v>145789.66</v>
      </c>
      <c r="M55" s="119">
        <v>283350</v>
      </c>
      <c r="N55" s="119">
        <v>730191.71</v>
      </c>
      <c r="O55" s="119">
        <v>-107331</v>
      </c>
      <c r="P55" s="119">
        <v>-232790.82</v>
      </c>
      <c r="Q55" s="119">
        <v>325</v>
      </c>
      <c r="R55" s="119">
        <v>-68782.720000000001</v>
      </c>
      <c r="S55" s="119">
        <v>0</v>
      </c>
      <c r="T55" s="119">
        <v>0</v>
      </c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2">
        <v>223541</v>
      </c>
      <c r="H56" s="119">
        <v>689623.98499999999</v>
      </c>
      <c r="I56" s="122">
        <v>-80851</v>
      </c>
      <c r="J56" s="119">
        <v>-249425.33499999999</v>
      </c>
      <c r="K56" s="119">
        <v>11412</v>
      </c>
      <c r="L56" s="119">
        <v>35206.019999999997</v>
      </c>
      <c r="M56" s="119">
        <v>0</v>
      </c>
      <c r="N56" s="119">
        <v>0</v>
      </c>
      <c r="O56" s="119">
        <v>0</v>
      </c>
      <c r="P56" s="119">
        <v>0</v>
      </c>
      <c r="Q56" s="119">
        <v>0</v>
      </c>
      <c r="R56" s="119">
        <v>0</v>
      </c>
      <c r="S56" s="119">
        <v>0</v>
      </c>
      <c r="T56" s="119">
        <v>0</v>
      </c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2">
        <v>717156</v>
      </c>
      <c r="H60" s="119">
        <v>1387625.14</v>
      </c>
      <c r="I60" s="122">
        <v>0</v>
      </c>
      <c r="J60" s="119">
        <v>0</v>
      </c>
      <c r="K60" s="119">
        <v>0</v>
      </c>
      <c r="L60" s="119">
        <v>0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>
        <v>0</v>
      </c>
      <c r="T60" s="119">
        <v>0</v>
      </c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2">
        <v>-1768095</v>
      </c>
      <c r="H61" s="119">
        <v>-3421087.02</v>
      </c>
      <c r="I61" s="122">
        <v>0</v>
      </c>
      <c r="J61" s="119">
        <v>0</v>
      </c>
      <c r="K61" s="119">
        <v>21839</v>
      </c>
      <c r="L61" s="119">
        <v>42256.28</v>
      </c>
      <c r="M61" s="119">
        <v>0</v>
      </c>
      <c r="N61" s="119">
        <v>0</v>
      </c>
      <c r="O61" s="119">
        <v>-67480</v>
      </c>
      <c r="P61" s="119">
        <v>-130567.05</v>
      </c>
      <c r="Q61" s="119">
        <v>0</v>
      </c>
      <c r="R61" s="119">
        <v>0</v>
      </c>
      <c r="S61" s="119">
        <v>0</v>
      </c>
      <c r="T61" s="119">
        <v>0</v>
      </c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2">
        <v>-5073</v>
      </c>
      <c r="H63" s="119">
        <v>-8671.7900000000009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</v>
      </c>
      <c r="Q63" s="119">
        <v>0</v>
      </c>
      <c r="R63" s="119">
        <v>0</v>
      </c>
      <c r="S63" s="119">
        <v>0</v>
      </c>
      <c r="T63" s="119">
        <v>0</v>
      </c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>
        <v>0</v>
      </c>
      <c r="T64" s="119">
        <v>0</v>
      </c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">
      <c r="A65" t="s">
        <v>138</v>
      </c>
      <c r="B65" t="s">
        <v>139</v>
      </c>
      <c r="C65">
        <v>22</v>
      </c>
      <c r="D65" t="s">
        <v>130</v>
      </c>
      <c r="E65" s="14">
        <v>360527</v>
      </c>
      <c r="F65" s="14">
        <v>1112225.7949999999</v>
      </c>
      <c r="G65" s="122">
        <v>-81443</v>
      </c>
      <c r="H65" s="119">
        <v>-251251.65</v>
      </c>
      <c r="I65" s="122">
        <v>0</v>
      </c>
      <c r="J65" s="119">
        <v>0</v>
      </c>
      <c r="K65" s="119">
        <v>90824</v>
      </c>
      <c r="L65" s="119">
        <v>280192.03999999998</v>
      </c>
      <c r="M65" s="119">
        <v>-135186</v>
      </c>
      <c r="N65" s="119">
        <v>-417048.81</v>
      </c>
      <c r="O65" s="119">
        <v>-9497</v>
      </c>
      <c r="P65" s="119">
        <v>-29298.244999999999</v>
      </c>
      <c r="Q65" s="119">
        <v>-29300</v>
      </c>
      <c r="R65" s="119">
        <v>-90390.5</v>
      </c>
      <c r="S65" s="119">
        <v>0</v>
      </c>
      <c r="T65" s="119">
        <v>0</v>
      </c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2">
        <v>-28514</v>
      </c>
      <c r="H66" s="119">
        <v>-66096.160000000003</v>
      </c>
      <c r="I66" s="122">
        <v>-1697</v>
      </c>
      <c r="J66" s="119">
        <v>-3681.27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-83780</v>
      </c>
      <c r="P67" s="119">
        <v>-2513.4</v>
      </c>
      <c r="Q67" s="119">
        <v>0</v>
      </c>
      <c r="R67" s="119">
        <v>0</v>
      </c>
      <c r="S67" s="119">
        <v>0</v>
      </c>
      <c r="T67" s="119">
        <v>0</v>
      </c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">
      <c r="A69" t="s">
        <v>138</v>
      </c>
      <c r="B69" t="s">
        <v>139</v>
      </c>
      <c r="C69">
        <v>26</v>
      </c>
      <c r="D69" t="s">
        <v>132</v>
      </c>
      <c r="E69" s="14">
        <v>4364352</v>
      </c>
      <c r="F69" s="14">
        <v>82526.740000000005</v>
      </c>
      <c r="G69" s="122">
        <v>-1658028</v>
      </c>
      <c r="H69" s="119">
        <v>17243.73</v>
      </c>
      <c r="I69" s="122">
        <v>0</v>
      </c>
      <c r="J69" s="119">
        <v>-7276.59</v>
      </c>
      <c r="K69" s="119">
        <v>782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">
      <c r="A71" t="s">
        <v>138</v>
      </c>
      <c r="B71" t="s">
        <v>139</v>
      </c>
      <c r="C71">
        <v>28</v>
      </c>
      <c r="D71" t="s">
        <v>134</v>
      </c>
      <c r="E71" s="14">
        <v>-12542632</v>
      </c>
      <c r="F71" s="14">
        <v>-2189986.8199999998</v>
      </c>
      <c r="G71" s="122">
        <v>-7289810</v>
      </c>
      <c r="H71" s="119">
        <v>-117344.85</v>
      </c>
      <c r="I71" s="122">
        <v>-18644</v>
      </c>
      <c r="J71" s="119">
        <v>-3300.63</v>
      </c>
      <c r="K71" s="119">
        <v>0</v>
      </c>
      <c r="L71" s="119">
        <v>0</v>
      </c>
      <c r="M71" s="119">
        <v>31336</v>
      </c>
      <c r="N71" s="119">
        <v>3133.6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">
      <c r="A72" t="s">
        <v>138</v>
      </c>
      <c r="B72" t="s">
        <v>139</v>
      </c>
      <c r="C72">
        <v>29</v>
      </c>
      <c r="D72" t="s">
        <v>135</v>
      </c>
      <c r="E72" s="14">
        <v>11778829</v>
      </c>
      <c r="F72" s="14">
        <v>1547086.47</v>
      </c>
      <c r="G72" s="122">
        <v>7451815</v>
      </c>
      <c r="H72" s="119">
        <v>120245.19</v>
      </c>
      <c r="I72" s="122">
        <v>18644</v>
      </c>
      <c r="J72" s="119">
        <v>3300.63</v>
      </c>
      <c r="K72" s="119">
        <v>0</v>
      </c>
      <c r="L72" s="119">
        <v>0.01</v>
      </c>
      <c r="M72" s="119">
        <v>0</v>
      </c>
      <c r="N72" s="119">
        <v>0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>
        <v>0</v>
      </c>
      <c r="T92" s="119">
        <v>0</v>
      </c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>
        <v>0</v>
      </c>
      <c r="T93" s="119">
        <v>0</v>
      </c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>
        <v>0</v>
      </c>
      <c r="T95" s="119">
        <v>0</v>
      </c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>
        <v>0</v>
      </c>
      <c r="T100" s="119">
        <v>0</v>
      </c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>
        <v>0</v>
      </c>
      <c r="T101" s="119">
        <v>0</v>
      </c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>
        <v>0</v>
      </c>
      <c r="T103" s="119">
        <v>0</v>
      </c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>
        <v>0</v>
      </c>
      <c r="T106" s="119">
        <v>0</v>
      </c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>
        <v>0</v>
      </c>
      <c r="T112" s="119">
        <v>0</v>
      </c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>
        <v>0</v>
      </c>
      <c r="T113" s="119">
        <v>0</v>
      </c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>
        <v>0</v>
      </c>
      <c r="T114" s="119">
        <v>0</v>
      </c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>
        <v>0</v>
      </c>
      <c r="T115" s="119">
        <v>0</v>
      </c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>
        <v>0</v>
      </c>
      <c r="T117" s="119">
        <v>0</v>
      </c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>
        <v>0</v>
      </c>
      <c r="T118" s="119">
        <v>0</v>
      </c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>
        <v>0</v>
      </c>
      <c r="T120" s="119">
        <v>0</v>
      </c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>
        <v>0</v>
      </c>
      <c r="T121" s="119">
        <v>0</v>
      </c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0</v>
      </c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">
      <c r="A124" t="s">
        <v>140</v>
      </c>
      <c r="B124" t="s">
        <v>141</v>
      </c>
      <c r="C124">
        <v>1</v>
      </c>
      <c r="D124" t="s">
        <v>25</v>
      </c>
      <c r="E124" s="14">
        <v>47244951</v>
      </c>
      <c r="F124" s="14">
        <v>134842586.57999998</v>
      </c>
      <c r="G124" s="122">
        <v>212318</v>
      </c>
      <c r="H124" s="119">
        <v>251838.01</v>
      </c>
      <c r="I124" s="122">
        <v>97576</v>
      </c>
      <c r="J124" s="119">
        <v>1578167.54</v>
      </c>
      <c r="K124" s="119">
        <v>0</v>
      </c>
      <c r="L124" s="119">
        <v>10.52</v>
      </c>
      <c r="M124" s="119">
        <v>0</v>
      </c>
      <c r="N124" s="119">
        <v>0</v>
      </c>
      <c r="O124" s="119">
        <v>0</v>
      </c>
      <c r="P124" s="119">
        <v>0</v>
      </c>
      <c r="Q124" s="119">
        <v>3544</v>
      </c>
      <c r="R124" s="119">
        <v>286</v>
      </c>
      <c r="S124" s="119">
        <v>0</v>
      </c>
      <c r="T124" s="119">
        <v>0</v>
      </c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">
      <c r="A126" t="s">
        <v>140</v>
      </c>
      <c r="B126" t="s">
        <v>141</v>
      </c>
      <c r="C126">
        <v>3</v>
      </c>
      <c r="D126" t="s">
        <v>27</v>
      </c>
      <c r="E126" s="14">
        <v>35578140</v>
      </c>
      <c r="F126" s="14">
        <v>93260882</v>
      </c>
      <c r="G126" s="122">
        <v>-26421082</v>
      </c>
      <c r="H126" s="119">
        <v>-68771314</v>
      </c>
      <c r="I126" s="122">
        <v>28397164</v>
      </c>
      <c r="J126" s="119">
        <v>76589544</v>
      </c>
      <c r="K126" s="119">
        <v>0</v>
      </c>
      <c r="L126" s="119">
        <v>0</v>
      </c>
      <c r="M126" s="119">
        <v>-28397164</v>
      </c>
      <c r="N126" s="119">
        <v>-76589544</v>
      </c>
      <c r="O126" s="119">
        <v>0</v>
      </c>
      <c r="P126" s="119">
        <v>0</v>
      </c>
      <c r="Q126" s="119">
        <v>0</v>
      </c>
      <c r="R126" s="119">
        <v>0</v>
      </c>
      <c r="S126" s="119">
        <v>18141175</v>
      </c>
      <c r="T126" s="119">
        <v>48032436</v>
      </c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1606252.1</v>
      </c>
      <c r="G128" s="122">
        <v>0</v>
      </c>
      <c r="H128" s="119">
        <v>-78142</v>
      </c>
      <c r="I128" s="122">
        <v>0</v>
      </c>
      <c r="J128" s="119">
        <v>0</v>
      </c>
      <c r="K128" s="119">
        <v>0</v>
      </c>
      <c r="L128" s="119">
        <v>7947</v>
      </c>
      <c r="M128" s="119">
        <v>0</v>
      </c>
      <c r="N128" s="119">
        <v>-25796</v>
      </c>
      <c r="O128" s="119">
        <v>0</v>
      </c>
      <c r="P128" s="119">
        <v>0</v>
      </c>
      <c r="Q128" s="119">
        <v>0</v>
      </c>
      <c r="R128" s="119">
        <v>0</v>
      </c>
      <c r="S128" s="119">
        <v>0</v>
      </c>
      <c r="T128" s="119">
        <v>0</v>
      </c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">
      <c r="A129" t="s">
        <v>140</v>
      </c>
      <c r="B129" t="s">
        <v>141</v>
      </c>
      <c r="C129">
        <v>6</v>
      </c>
      <c r="D129" t="s">
        <v>25</v>
      </c>
      <c r="E129" s="14">
        <v>-55906790</v>
      </c>
      <c r="F129" s="14">
        <v>-163161798.62</v>
      </c>
      <c r="G129" s="122">
        <v>-922283</v>
      </c>
      <c r="H129" s="119">
        <v>-2820287.98</v>
      </c>
      <c r="I129" s="122">
        <v>15070</v>
      </c>
      <c r="J129" s="119">
        <v>36020.32</v>
      </c>
      <c r="K129" s="119">
        <v>0</v>
      </c>
      <c r="L129" s="119">
        <v>-5</v>
      </c>
      <c r="M129" s="119">
        <v>0</v>
      </c>
      <c r="N129" s="119">
        <v>0</v>
      </c>
      <c r="O129" s="119">
        <v>0</v>
      </c>
      <c r="P129" s="119">
        <v>0</v>
      </c>
      <c r="Q129" s="119">
        <v>0</v>
      </c>
      <c r="R129" s="119">
        <v>0</v>
      </c>
      <c r="S129" s="119">
        <v>0</v>
      </c>
      <c r="T129" s="119">
        <v>-36011.47</v>
      </c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>
        <v>0</v>
      </c>
      <c r="T130" s="119">
        <v>0</v>
      </c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">
      <c r="A131" t="s">
        <v>140</v>
      </c>
      <c r="B131" t="s">
        <v>141</v>
      </c>
      <c r="C131">
        <v>8</v>
      </c>
      <c r="D131" t="s">
        <v>27</v>
      </c>
      <c r="E131" s="14">
        <v>-25611997</v>
      </c>
      <c r="F131" s="14">
        <v>-63714632</v>
      </c>
      <c r="G131" s="122">
        <v>18162518</v>
      </c>
      <c r="H131" s="119">
        <v>42789487</v>
      </c>
      <c r="I131" s="122">
        <v>-33209597</v>
      </c>
      <c r="J131" s="119">
        <v>-88728638</v>
      </c>
      <c r="K131" s="119">
        <v>0</v>
      </c>
      <c r="L131" s="119">
        <v>0</v>
      </c>
      <c r="M131" s="119">
        <v>33209597</v>
      </c>
      <c r="N131" s="119">
        <v>88728638</v>
      </c>
      <c r="O131" s="119">
        <v>-1034</v>
      </c>
      <c r="P131" s="119">
        <v>-2895</v>
      </c>
      <c r="Q131" s="119">
        <v>0</v>
      </c>
      <c r="R131" s="119">
        <v>0</v>
      </c>
      <c r="S131" s="119">
        <v>-18525504</v>
      </c>
      <c r="T131" s="119">
        <v>-48773031</v>
      </c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>
        <v>0</v>
      </c>
      <c r="T132" s="119">
        <v>0</v>
      </c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">
      <c r="A133" t="s">
        <v>140</v>
      </c>
      <c r="B133" t="s">
        <v>141</v>
      </c>
      <c r="C133">
        <v>10</v>
      </c>
      <c r="D133" t="s">
        <v>32</v>
      </c>
      <c r="E133" s="14">
        <v>661286</v>
      </c>
      <c r="F133" s="14">
        <v>2025849.6610000001</v>
      </c>
      <c r="G133" s="122">
        <v>45507</v>
      </c>
      <c r="H133" s="119">
        <v>139410.69450000001</v>
      </c>
      <c r="I133" s="122">
        <v>0</v>
      </c>
      <c r="J133" s="119">
        <v>0</v>
      </c>
      <c r="K133" s="119">
        <v>547431</v>
      </c>
      <c r="L133" s="119">
        <v>0</v>
      </c>
      <c r="M133" s="119">
        <v>0</v>
      </c>
      <c r="N133" s="119">
        <v>0</v>
      </c>
      <c r="O133" s="119">
        <v>0</v>
      </c>
      <c r="P133" s="119">
        <v>0</v>
      </c>
      <c r="Q133" s="119">
        <v>0</v>
      </c>
      <c r="R133" s="119">
        <v>0</v>
      </c>
      <c r="S133" s="119">
        <v>0</v>
      </c>
      <c r="T133" s="119">
        <v>0</v>
      </c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">
      <c r="A134" t="s">
        <v>140</v>
      </c>
      <c r="B134" t="s">
        <v>141</v>
      </c>
      <c r="C134">
        <v>11</v>
      </c>
      <c r="D134" t="s">
        <v>35</v>
      </c>
      <c r="E134" s="14">
        <v>721904</v>
      </c>
      <c r="F134" s="14">
        <v>1595686.97</v>
      </c>
      <c r="G134" s="122">
        <v>-495</v>
      </c>
      <c r="H134" s="119">
        <v>-1341.45</v>
      </c>
      <c r="I134" s="122">
        <v>0</v>
      </c>
      <c r="J134" s="119">
        <v>0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">
      <c r="A135" t="s">
        <v>140</v>
      </c>
      <c r="B135" t="s">
        <v>141</v>
      </c>
      <c r="C135">
        <v>12</v>
      </c>
      <c r="D135" t="s">
        <v>36</v>
      </c>
      <c r="E135" s="14">
        <v>-25000</v>
      </c>
      <c r="F135" s="14">
        <v>-63750</v>
      </c>
      <c r="G135" s="122">
        <v>0</v>
      </c>
      <c r="H135" s="119">
        <v>0</v>
      </c>
      <c r="I135" s="122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>
        <v>0</v>
      </c>
      <c r="T135" s="119">
        <v>0</v>
      </c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">
      <c r="A136" t="s">
        <v>140</v>
      </c>
      <c r="B136" t="s">
        <v>141</v>
      </c>
      <c r="C136">
        <v>13</v>
      </c>
      <c r="D136" t="s">
        <v>39</v>
      </c>
      <c r="E136" s="14">
        <v>-2570633</v>
      </c>
      <c r="F136" s="14">
        <v>-7875134.1955000004</v>
      </c>
      <c r="G136" s="122">
        <v>2787258</v>
      </c>
      <c r="H136" s="119">
        <v>8538764.8829999994</v>
      </c>
      <c r="I136" s="122">
        <v>0</v>
      </c>
      <c r="J136" s="119">
        <v>0</v>
      </c>
      <c r="K136" s="119">
        <v>0</v>
      </c>
      <c r="L136" s="119">
        <v>0</v>
      </c>
      <c r="M136" s="119">
        <v>0</v>
      </c>
      <c r="N136" s="119">
        <v>0</v>
      </c>
      <c r="O136" s="119">
        <v>0</v>
      </c>
      <c r="P136" s="119">
        <v>0</v>
      </c>
      <c r="Q136" s="119">
        <v>0</v>
      </c>
      <c r="R136" s="119">
        <v>0</v>
      </c>
      <c r="S136" s="119">
        <v>0</v>
      </c>
      <c r="T136" s="119">
        <v>0</v>
      </c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2">
        <v>-8229</v>
      </c>
      <c r="H137" s="119">
        <v>-18897.18</v>
      </c>
      <c r="I137" s="122">
        <v>0</v>
      </c>
      <c r="J137" s="119">
        <v>0</v>
      </c>
      <c r="K137" s="119">
        <v>0</v>
      </c>
      <c r="L137" s="119">
        <v>0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>
        <v>0</v>
      </c>
      <c r="T137" s="119">
        <v>0</v>
      </c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2">
        <v>4</v>
      </c>
      <c r="H138" s="119">
        <v>9.14</v>
      </c>
      <c r="I138" s="122">
        <v>0</v>
      </c>
      <c r="J138" s="119">
        <v>0</v>
      </c>
      <c r="K138" s="119">
        <v>0</v>
      </c>
      <c r="L138" s="119">
        <v>0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>
        <v>0</v>
      </c>
      <c r="T138" s="119">
        <v>0</v>
      </c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-9200</v>
      </c>
      <c r="N139" s="119">
        <v>0</v>
      </c>
      <c r="O139" s="119">
        <v>0</v>
      </c>
      <c r="P139" s="119">
        <v>0</v>
      </c>
      <c r="Q139" s="119">
        <v>0</v>
      </c>
      <c r="R139" s="119">
        <v>0</v>
      </c>
      <c r="S139" s="119">
        <v>0</v>
      </c>
      <c r="T139" s="119">
        <v>0</v>
      </c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">
      <c r="A140" t="s">
        <v>140</v>
      </c>
      <c r="B140" t="s">
        <v>141</v>
      </c>
      <c r="C140">
        <v>17</v>
      </c>
      <c r="D140" t="s">
        <v>126</v>
      </c>
      <c r="E140" s="14">
        <v>0</v>
      </c>
      <c r="F140" s="14">
        <v>0</v>
      </c>
      <c r="G140" s="122">
        <v>203591</v>
      </c>
      <c r="H140" s="119">
        <v>623701.02</v>
      </c>
      <c r="I140" s="122">
        <v>0</v>
      </c>
      <c r="J140" s="119">
        <v>0</v>
      </c>
      <c r="K140" s="119">
        <v>0</v>
      </c>
      <c r="L140" s="119">
        <v>0</v>
      </c>
      <c r="M140" s="119">
        <v>0</v>
      </c>
      <c r="N140" s="119">
        <v>0</v>
      </c>
      <c r="O140" s="119">
        <v>0</v>
      </c>
      <c r="P140" s="119">
        <v>0</v>
      </c>
      <c r="Q140" s="119">
        <v>0</v>
      </c>
      <c r="R140" s="119">
        <v>0</v>
      </c>
      <c r="S140" s="119">
        <v>0</v>
      </c>
      <c r="T140" s="119">
        <v>0</v>
      </c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">
      <c r="A141" t="s">
        <v>140</v>
      </c>
      <c r="B141" t="s">
        <v>141</v>
      </c>
      <c r="C141">
        <v>18</v>
      </c>
      <c r="D141" t="s">
        <v>127</v>
      </c>
      <c r="E141" s="14">
        <v>0</v>
      </c>
      <c r="F141" s="14">
        <v>0</v>
      </c>
      <c r="G141" s="122">
        <v>-1245237</v>
      </c>
      <c r="H141" s="119">
        <v>-2986150.83</v>
      </c>
      <c r="I141" s="122">
        <v>-85499</v>
      </c>
      <c r="J141" s="119">
        <v>1688693.03</v>
      </c>
      <c r="K141" s="119">
        <v>0</v>
      </c>
      <c r="L141" s="119">
        <v>0</v>
      </c>
      <c r="M141" s="119">
        <v>-2738</v>
      </c>
      <c r="N141" s="119">
        <v>-6561.01</v>
      </c>
      <c r="O141" s="119">
        <v>-271</v>
      </c>
      <c r="P141" s="119">
        <v>-730.94</v>
      </c>
      <c r="Q141" s="119">
        <v>-62600</v>
      </c>
      <c r="R141" s="119">
        <v>-106998.34</v>
      </c>
      <c r="S141" s="119">
        <v>0</v>
      </c>
      <c r="T141" s="119">
        <v>0</v>
      </c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>
        <v>0</v>
      </c>
      <c r="T142" s="119">
        <v>0</v>
      </c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>
        <v>0</v>
      </c>
      <c r="T143" s="119">
        <v>0</v>
      </c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">
      <c r="A145" t="s">
        <v>140</v>
      </c>
      <c r="B145" t="s">
        <v>141</v>
      </c>
      <c r="C145">
        <v>22</v>
      </c>
      <c r="D145" t="s">
        <v>130</v>
      </c>
      <c r="E145" s="14">
        <v>-91861</v>
      </c>
      <c r="F145" s="14">
        <v>-281416.17349999998</v>
      </c>
      <c r="G145" s="122">
        <v>7186130</v>
      </c>
      <c r="H145" s="119">
        <v>22014709.255000003</v>
      </c>
      <c r="I145" s="122">
        <v>4785286</v>
      </c>
      <c r="J145" s="119">
        <v>14762607.310000001</v>
      </c>
      <c r="K145" s="119">
        <v>-547431</v>
      </c>
      <c r="L145" s="119">
        <v>-1688824.635</v>
      </c>
      <c r="M145" s="119">
        <v>-4800495</v>
      </c>
      <c r="N145" s="119">
        <v>-14809527.074999999</v>
      </c>
      <c r="O145" s="119">
        <v>1305</v>
      </c>
      <c r="P145" s="119">
        <v>4025.9250000000002</v>
      </c>
      <c r="Q145" s="119">
        <v>59056</v>
      </c>
      <c r="R145" s="119">
        <v>182187.76</v>
      </c>
      <c r="S145" s="119">
        <v>384329</v>
      </c>
      <c r="T145" s="119">
        <v>1185654.9650000001</v>
      </c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">
      <c r="A146" t="s">
        <v>140</v>
      </c>
      <c r="B146" t="s">
        <v>141</v>
      </c>
      <c r="C146">
        <v>23</v>
      </c>
      <c r="D146" t="s">
        <v>131</v>
      </c>
      <c r="E146" s="14">
        <v>-661286</v>
      </c>
      <c r="F146" s="14">
        <v>-2025849.6610000001</v>
      </c>
      <c r="G146" s="122">
        <v>-45507</v>
      </c>
      <c r="H146" s="119">
        <v>-139410.69450000001</v>
      </c>
      <c r="I146" s="122">
        <v>0</v>
      </c>
      <c r="J146" s="119">
        <v>0</v>
      </c>
      <c r="K146" s="119">
        <v>0</v>
      </c>
      <c r="L146" s="119">
        <v>0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">
      <c r="A147" t="s">
        <v>140</v>
      </c>
      <c r="B147" t="s">
        <v>141</v>
      </c>
      <c r="C147">
        <v>24</v>
      </c>
      <c r="D147" t="s">
        <v>55</v>
      </c>
      <c r="E147" s="14">
        <v>-31667516</v>
      </c>
      <c r="F147" s="14">
        <v>92134.83</v>
      </c>
      <c r="G147" s="122">
        <v>-2808375</v>
      </c>
      <c r="H147" s="119">
        <v>-245608.23</v>
      </c>
      <c r="I147" s="122">
        <v>0</v>
      </c>
      <c r="J147" s="119">
        <v>621.74</v>
      </c>
      <c r="K147" s="119">
        <v>-46459</v>
      </c>
      <c r="L147" s="119">
        <v>-499.05</v>
      </c>
      <c r="M147" s="119">
        <v>2738</v>
      </c>
      <c r="N147" s="119">
        <v>-960.13</v>
      </c>
      <c r="O147" s="119">
        <v>-19</v>
      </c>
      <c r="P147" s="119">
        <v>-1.93</v>
      </c>
      <c r="Q147" s="119">
        <v>-128032</v>
      </c>
      <c r="R147" s="119">
        <v>-6222.36</v>
      </c>
      <c r="S147" s="119">
        <v>0</v>
      </c>
      <c r="T147" s="119">
        <v>-405962.2</v>
      </c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-2426854.65</v>
      </c>
      <c r="G148" s="122">
        <v>0</v>
      </c>
      <c r="H148" s="119">
        <v>-365523.36</v>
      </c>
      <c r="I148" s="122">
        <v>0</v>
      </c>
      <c r="J148" s="119">
        <v>-1216229.04</v>
      </c>
      <c r="K148" s="119">
        <v>0</v>
      </c>
      <c r="L148" s="119">
        <v>863323.87</v>
      </c>
      <c r="M148" s="119">
        <v>0</v>
      </c>
      <c r="N148" s="119">
        <v>71038.509999999995</v>
      </c>
      <c r="O148" s="119">
        <v>0</v>
      </c>
      <c r="P148" s="119">
        <v>0</v>
      </c>
      <c r="Q148" s="119">
        <v>0</v>
      </c>
      <c r="R148" s="119">
        <v>0</v>
      </c>
      <c r="S148" s="119">
        <v>0</v>
      </c>
      <c r="T148" s="119">
        <v>-75934.12</v>
      </c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8196.6200000000008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>
        <v>0</v>
      </c>
      <c r="T150" s="119">
        <v>0</v>
      </c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>
        <v>0</v>
      </c>
      <c r="T151" s="119">
        <v>0</v>
      </c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T152" s="119">
        <v>0</v>
      </c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>
        <v>0</v>
      </c>
      <c r="T154" s="119">
        <v>0</v>
      </c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-14788.51</v>
      </c>
      <c r="G158" s="122">
        <v>0</v>
      </c>
      <c r="H158" s="119">
        <v>555.25</v>
      </c>
      <c r="I158" s="122">
        <v>0</v>
      </c>
      <c r="J158" s="119">
        <v>0</v>
      </c>
      <c r="K158" s="119">
        <v>0</v>
      </c>
      <c r="L158" s="119">
        <v>0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>
        <v>0</v>
      </c>
      <c r="T158" s="119">
        <v>0</v>
      </c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>
        <v>0</v>
      </c>
      <c r="T159" s="119">
        <v>0</v>
      </c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">
      <c r="A164" t="s">
        <v>140</v>
      </c>
      <c r="B164" t="s">
        <v>142</v>
      </c>
      <c r="C164">
        <v>1</v>
      </c>
      <c r="D164" t="s">
        <v>25</v>
      </c>
      <c r="E164" s="14">
        <v>93360463</v>
      </c>
      <c r="F164" s="14">
        <v>276786783.24000001</v>
      </c>
      <c r="G164" s="122">
        <v>-442153</v>
      </c>
      <c r="H164" s="119">
        <v>-1456520.35</v>
      </c>
      <c r="I164" s="122">
        <v>-61899</v>
      </c>
      <c r="J164" s="119">
        <v>-4565397.76</v>
      </c>
      <c r="K164" s="119">
        <v>0</v>
      </c>
      <c r="L164" s="119">
        <v>0</v>
      </c>
      <c r="M164" s="119">
        <v>46499</v>
      </c>
      <c r="N164" s="119">
        <v>142449.69</v>
      </c>
      <c r="O164" s="119">
        <v>-23499</v>
      </c>
      <c r="P164" s="119">
        <v>-71989.19</v>
      </c>
      <c r="Q164" s="119">
        <v>23520</v>
      </c>
      <c r="R164" s="119">
        <v>72017.740000000005</v>
      </c>
      <c r="S164" s="119">
        <v>0</v>
      </c>
      <c r="T164" s="119">
        <v>0</v>
      </c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>
        <v>0</v>
      </c>
      <c r="T165" s="119">
        <v>0</v>
      </c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">
      <c r="A166" t="s">
        <v>140</v>
      </c>
      <c r="B166" t="s">
        <v>142</v>
      </c>
      <c r="C166">
        <v>3</v>
      </c>
      <c r="D166" t="s">
        <v>27</v>
      </c>
      <c r="E166" s="14">
        <v>34376354</v>
      </c>
      <c r="F166" s="14">
        <v>87323206</v>
      </c>
      <c r="G166" s="122">
        <v>-19576381</v>
      </c>
      <c r="H166" s="119">
        <v>-47106549</v>
      </c>
      <c r="I166" s="122">
        <v>35578140</v>
      </c>
      <c r="J166" s="119">
        <v>93260882</v>
      </c>
      <c r="K166" s="119">
        <v>0</v>
      </c>
      <c r="L166" s="119">
        <v>0</v>
      </c>
      <c r="M166" s="119">
        <v>-35578140</v>
      </c>
      <c r="N166" s="119">
        <v>-93260882</v>
      </c>
      <c r="O166" s="119">
        <v>0</v>
      </c>
      <c r="P166" s="119">
        <v>0</v>
      </c>
      <c r="Q166" s="119">
        <v>0</v>
      </c>
      <c r="R166" s="119">
        <v>0</v>
      </c>
      <c r="S166" s="119">
        <v>26580281</v>
      </c>
      <c r="T166" s="119">
        <v>69111243</v>
      </c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1518046.8</v>
      </c>
      <c r="G168" s="122">
        <v>0</v>
      </c>
      <c r="H168" s="119">
        <v>939836.14</v>
      </c>
      <c r="I168" s="122">
        <v>0</v>
      </c>
      <c r="J168" s="119">
        <v>0</v>
      </c>
      <c r="K168" s="119">
        <v>0</v>
      </c>
      <c r="L168" s="119">
        <v>0</v>
      </c>
      <c r="M168" s="119">
        <v>0</v>
      </c>
      <c r="N168" s="119">
        <v>12415</v>
      </c>
      <c r="O168" s="119">
        <v>0</v>
      </c>
      <c r="P168" s="119">
        <v>0</v>
      </c>
      <c r="Q168" s="119">
        <v>0</v>
      </c>
      <c r="R168" s="119">
        <v>0</v>
      </c>
      <c r="S168" s="119">
        <v>0</v>
      </c>
      <c r="T168" s="119">
        <v>0</v>
      </c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">
      <c r="A169" t="s">
        <v>140</v>
      </c>
      <c r="B169" t="s">
        <v>142</v>
      </c>
      <c r="C169">
        <v>6</v>
      </c>
      <c r="D169" t="s">
        <v>25</v>
      </c>
      <c r="E169" s="14">
        <v>-101039259</v>
      </c>
      <c r="F169" s="14">
        <v>-302986467.86999995</v>
      </c>
      <c r="G169" s="122">
        <v>-1541524</v>
      </c>
      <c r="H169" s="119">
        <v>-4440652.42</v>
      </c>
      <c r="I169" s="122">
        <v>1921</v>
      </c>
      <c r="J169" s="119">
        <v>-218264.29</v>
      </c>
      <c r="K169" s="119">
        <v>-14367</v>
      </c>
      <c r="L169" s="119">
        <v>-34676.120000000003</v>
      </c>
      <c r="M169" s="119">
        <v>1323</v>
      </c>
      <c r="N169" s="119">
        <v>-66534.52</v>
      </c>
      <c r="O169" s="119">
        <v>0</v>
      </c>
      <c r="P169" s="119">
        <v>0</v>
      </c>
      <c r="Q169" s="119">
        <v>0</v>
      </c>
      <c r="R169" s="119">
        <v>50999.67</v>
      </c>
      <c r="S169" s="119">
        <v>0</v>
      </c>
      <c r="T169" s="119">
        <v>0</v>
      </c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>
        <v>0</v>
      </c>
      <c r="T170" s="119">
        <v>0</v>
      </c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">
      <c r="A171" t="s">
        <v>140</v>
      </c>
      <c r="B171" t="s">
        <v>142</v>
      </c>
      <c r="C171">
        <v>8</v>
      </c>
      <c r="D171" t="s">
        <v>27</v>
      </c>
      <c r="E171" s="14">
        <v>-30773458</v>
      </c>
      <c r="F171" s="14">
        <v>-78033680</v>
      </c>
      <c r="G171" s="122">
        <v>19171751</v>
      </c>
      <c r="H171" s="119">
        <v>46313617</v>
      </c>
      <c r="I171" s="122">
        <v>-25656960</v>
      </c>
      <c r="J171" s="119">
        <v>-63820070</v>
      </c>
      <c r="K171" s="119">
        <v>0</v>
      </c>
      <c r="L171" s="119">
        <v>0</v>
      </c>
      <c r="M171" s="119">
        <v>25611997</v>
      </c>
      <c r="N171" s="119">
        <v>63714632</v>
      </c>
      <c r="O171" s="119">
        <v>0</v>
      </c>
      <c r="P171" s="119">
        <v>0</v>
      </c>
      <c r="Q171" s="119">
        <v>0</v>
      </c>
      <c r="R171" s="119">
        <v>0</v>
      </c>
      <c r="S171" s="119">
        <v>-18564555</v>
      </c>
      <c r="T171" s="119">
        <v>-43997112</v>
      </c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>
        <v>0</v>
      </c>
      <c r="T172" s="119">
        <v>0</v>
      </c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">
      <c r="A173" t="s">
        <v>140</v>
      </c>
      <c r="B173" t="s">
        <v>142</v>
      </c>
      <c r="C173">
        <v>10</v>
      </c>
      <c r="D173" t="s">
        <v>32</v>
      </c>
      <c r="E173" s="14">
        <v>897680</v>
      </c>
      <c r="F173" s="14">
        <v>2769342.8</v>
      </c>
      <c r="G173" s="122">
        <v>484</v>
      </c>
      <c r="H173" s="119">
        <v>1493.14</v>
      </c>
      <c r="I173" s="122">
        <v>690</v>
      </c>
      <c r="J173" s="119">
        <v>2113.8150000000001</v>
      </c>
      <c r="K173" s="119">
        <v>-860</v>
      </c>
      <c r="L173" s="119">
        <v>-2634.61</v>
      </c>
      <c r="M173" s="119">
        <v>-234808</v>
      </c>
      <c r="N173" s="119">
        <v>-719334.30550000002</v>
      </c>
      <c r="O173" s="119">
        <v>31</v>
      </c>
      <c r="P173" s="119">
        <v>94.968500000000006</v>
      </c>
      <c r="Q173" s="119">
        <v>0</v>
      </c>
      <c r="R173" s="119">
        <v>0</v>
      </c>
      <c r="S173" s="119">
        <v>-6</v>
      </c>
      <c r="T173" s="119">
        <v>-18.381</v>
      </c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">
      <c r="A174" t="s">
        <v>140</v>
      </c>
      <c r="B174" t="s">
        <v>142</v>
      </c>
      <c r="C174">
        <v>11</v>
      </c>
      <c r="D174" t="s">
        <v>35</v>
      </c>
      <c r="E174" s="14">
        <v>8861094</v>
      </c>
      <c r="F174" s="14">
        <v>20769284.990000002</v>
      </c>
      <c r="G174" s="122">
        <v>143</v>
      </c>
      <c r="H174" s="119">
        <v>278.85000000000002</v>
      </c>
      <c r="I174" s="122">
        <v>0</v>
      </c>
      <c r="J174" s="119">
        <v>0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>
        <v>0</v>
      </c>
      <c r="T174" s="119">
        <v>0</v>
      </c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">
      <c r="A175" t="s">
        <v>140</v>
      </c>
      <c r="B175" t="s">
        <v>142</v>
      </c>
      <c r="C175">
        <v>12</v>
      </c>
      <c r="D175" t="s">
        <v>36</v>
      </c>
      <c r="E175" s="14">
        <v>-3827753</v>
      </c>
      <c r="F175" s="14">
        <v>-9206467.5099999998</v>
      </c>
      <c r="G175" s="122">
        <v>661105</v>
      </c>
      <c r="H175" s="119">
        <v>1476415.66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>
        <v>0</v>
      </c>
      <c r="T175" s="119">
        <v>0</v>
      </c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">
      <c r="A176" t="s">
        <v>140</v>
      </c>
      <c r="B176" t="s">
        <v>142</v>
      </c>
      <c r="C176">
        <v>13</v>
      </c>
      <c r="D176" t="s">
        <v>39</v>
      </c>
      <c r="E176" s="14">
        <v>-462848</v>
      </c>
      <c r="F176" s="14">
        <v>-1427886.0800000001</v>
      </c>
      <c r="G176" s="122">
        <v>-194425</v>
      </c>
      <c r="H176" s="119">
        <v>-599801.125</v>
      </c>
      <c r="I176" s="122">
        <v>125632</v>
      </c>
      <c r="J176" s="119">
        <v>384873.63199999998</v>
      </c>
      <c r="K176" s="119">
        <v>56593</v>
      </c>
      <c r="L176" s="119">
        <v>173372.65549999999</v>
      </c>
      <c r="M176" s="119">
        <v>2407</v>
      </c>
      <c r="N176" s="119">
        <v>7373.8445000000002</v>
      </c>
      <c r="O176" s="119">
        <v>-140068</v>
      </c>
      <c r="P176" s="119">
        <v>-429098.31800000003</v>
      </c>
      <c r="Q176" s="119">
        <v>-21</v>
      </c>
      <c r="R176" s="119">
        <v>-64.333500000000001</v>
      </c>
      <c r="S176" s="119">
        <v>60006</v>
      </c>
      <c r="T176" s="119">
        <v>183828.38099999999</v>
      </c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2">
        <v>-154948</v>
      </c>
      <c r="H177" s="119">
        <v>-523240.24</v>
      </c>
      <c r="I177" s="122">
        <v>-6930</v>
      </c>
      <c r="J177" s="119">
        <v>-16655.759999999998</v>
      </c>
      <c r="K177" s="119">
        <v>0</v>
      </c>
      <c r="L177" s="119">
        <v>0</v>
      </c>
      <c r="M177" s="119">
        <v>-3973</v>
      </c>
      <c r="N177" s="119">
        <v>-8788.4599999999991</v>
      </c>
      <c r="O177" s="119">
        <v>-739</v>
      </c>
      <c r="P177" s="119">
        <v>-1688.76</v>
      </c>
      <c r="Q177" s="119">
        <v>0</v>
      </c>
      <c r="R177" s="119">
        <v>0</v>
      </c>
      <c r="S177" s="119">
        <v>0</v>
      </c>
      <c r="T177" s="119">
        <v>0</v>
      </c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2">
        <v>74745</v>
      </c>
      <c r="H178" s="119">
        <v>182871.79</v>
      </c>
      <c r="I178" s="122">
        <v>12177</v>
      </c>
      <c r="J178" s="119">
        <v>29419.63</v>
      </c>
      <c r="K178" s="119">
        <v>0</v>
      </c>
      <c r="L178" s="119">
        <v>0</v>
      </c>
      <c r="M178" s="119">
        <v>708</v>
      </c>
      <c r="N178" s="119">
        <v>1617.92</v>
      </c>
      <c r="O178" s="119">
        <v>0</v>
      </c>
      <c r="P178" s="119">
        <v>0</v>
      </c>
      <c r="Q178" s="119">
        <v>0</v>
      </c>
      <c r="R178" s="119">
        <v>0</v>
      </c>
      <c r="S178" s="119">
        <v>0</v>
      </c>
      <c r="T178" s="119">
        <v>0</v>
      </c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>
        <v>0</v>
      </c>
      <c r="T179" s="119">
        <v>-738924.79</v>
      </c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">
      <c r="A180" t="s">
        <v>140</v>
      </c>
      <c r="B180" t="s">
        <v>142</v>
      </c>
      <c r="C180">
        <v>17</v>
      </c>
      <c r="D180" t="s">
        <v>126</v>
      </c>
      <c r="E180" s="14">
        <v>0</v>
      </c>
      <c r="F180" s="14">
        <v>0</v>
      </c>
      <c r="G180" s="122">
        <v>507378</v>
      </c>
      <c r="H180" s="119">
        <v>1565261.13</v>
      </c>
      <c r="I180" s="122">
        <v>0</v>
      </c>
      <c r="J180" s="119">
        <v>0</v>
      </c>
      <c r="K180" s="119">
        <v>0</v>
      </c>
      <c r="L180" s="119">
        <v>0</v>
      </c>
      <c r="M180" s="119">
        <v>0</v>
      </c>
      <c r="N180" s="119">
        <v>0</v>
      </c>
      <c r="O180" s="119">
        <v>0</v>
      </c>
      <c r="P180" s="119">
        <v>0</v>
      </c>
      <c r="Q180" s="119">
        <v>0</v>
      </c>
      <c r="R180" s="119">
        <v>0</v>
      </c>
      <c r="S180" s="119">
        <v>0</v>
      </c>
      <c r="T180" s="119">
        <v>0</v>
      </c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2">
        <v>-35314</v>
      </c>
      <c r="H181" s="119">
        <v>-89884.79</v>
      </c>
      <c r="I181" s="122">
        <v>249913</v>
      </c>
      <c r="J181" s="119">
        <v>589433.32999999996</v>
      </c>
      <c r="K181" s="119">
        <v>0</v>
      </c>
      <c r="L181" s="119">
        <v>1836.88</v>
      </c>
      <c r="M181" s="119">
        <v>0</v>
      </c>
      <c r="N181" s="119">
        <v>0</v>
      </c>
      <c r="O181" s="119">
        <v>0</v>
      </c>
      <c r="P181" s="119">
        <v>0</v>
      </c>
      <c r="Q181" s="119">
        <v>0</v>
      </c>
      <c r="R181" s="119">
        <v>0</v>
      </c>
      <c r="S181" s="119">
        <v>0</v>
      </c>
      <c r="T181" s="119">
        <v>0</v>
      </c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>
        <v>0</v>
      </c>
      <c r="T184" s="119">
        <v>0</v>
      </c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">
      <c r="A185" t="s">
        <v>140</v>
      </c>
      <c r="B185" t="s">
        <v>142</v>
      </c>
      <c r="C185">
        <v>22</v>
      </c>
      <c r="D185" t="s">
        <v>130</v>
      </c>
      <c r="E185" s="14">
        <v>-1392273</v>
      </c>
      <c r="F185" s="14">
        <v>-4295162.2050000001</v>
      </c>
      <c r="G185" s="122">
        <v>1529139</v>
      </c>
      <c r="H185" s="119">
        <v>4717393.8150000004</v>
      </c>
      <c r="I185" s="122">
        <v>-10242684</v>
      </c>
      <c r="J185" s="119">
        <v>-31378462.434</v>
      </c>
      <c r="K185" s="119">
        <v>-41366</v>
      </c>
      <c r="L185" s="119">
        <v>-126724.74099999999</v>
      </c>
      <c r="M185" s="119">
        <v>10153987</v>
      </c>
      <c r="N185" s="119">
        <v>31106739.1745</v>
      </c>
      <c r="O185" s="119">
        <v>164275</v>
      </c>
      <c r="P185" s="119">
        <v>503256.46250000002</v>
      </c>
      <c r="Q185" s="119">
        <v>-23499</v>
      </c>
      <c r="R185" s="119">
        <v>-71989.186499999996</v>
      </c>
      <c r="S185" s="119">
        <v>-8075726</v>
      </c>
      <c r="T185" s="119">
        <v>-24739986.601</v>
      </c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">
      <c r="A186" t="s">
        <v>140</v>
      </c>
      <c r="B186" t="s">
        <v>142</v>
      </c>
      <c r="C186">
        <v>23</v>
      </c>
      <c r="D186" t="s">
        <v>131</v>
      </c>
      <c r="E186" s="14">
        <v>-897680</v>
      </c>
      <c r="F186" s="14">
        <v>-2769342.8</v>
      </c>
      <c r="G186" s="122">
        <v>-484</v>
      </c>
      <c r="H186" s="119">
        <v>-1493.14</v>
      </c>
      <c r="I186" s="122">
        <v>-690</v>
      </c>
      <c r="J186" s="119">
        <v>-2113.8150000000001</v>
      </c>
      <c r="K186" s="119">
        <v>860</v>
      </c>
      <c r="L186" s="119">
        <v>2634.61</v>
      </c>
      <c r="M186" s="119">
        <v>234808</v>
      </c>
      <c r="N186" s="119">
        <v>719334.30550000002</v>
      </c>
      <c r="O186" s="119">
        <v>-31</v>
      </c>
      <c r="P186" s="119">
        <v>-94.968500000000006</v>
      </c>
      <c r="Q186" s="119">
        <v>0</v>
      </c>
      <c r="R186" s="119">
        <v>0</v>
      </c>
      <c r="S186" s="119">
        <v>6</v>
      </c>
      <c r="T186" s="119">
        <v>18.381</v>
      </c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">
      <c r="A187" t="s">
        <v>140</v>
      </c>
      <c r="B187" t="s">
        <v>142</v>
      </c>
      <c r="C187">
        <v>24</v>
      </c>
      <c r="D187" t="s">
        <v>55</v>
      </c>
      <c r="E187" s="14">
        <v>-84584928</v>
      </c>
      <c r="F187" s="14">
        <v>-1119532.8400000001</v>
      </c>
      <c r="G187" s="122">
        <v>13954951</v>
      </c>
      <c r="H187" s="119">
        <v>566162.56000000006</v>
      </c>
      <c r="I187" s="122">
        <v>-31476</v>
      </c>
      <c r="J187" s="119">
        <v>12538.45</v>
      </c>
      <c r="K187" s="119">
        <v>17847</v>
      </c>
      <c r="L187" s="119">
        <v>0.62999999999988177</v>
      </c>
      <c r="M187" s="119">
        <v>-64295</v>
      </c>
      <c r="N187" s="119">
        <v>-125.8799999999992</v>
      </c>
      <c r="O187" s="119">
        <v>-43529</v>
      </c>
      <c r="P187" s="119">
        <v>9872.69</v>
      </c>
      <c r="Q187" s="119">
        <v>-752417</v>
      </c>
      <c r="R187" s="119">
        <v>-9878.5</v>
      </c>
      <c r="S187" s="119">
        <v>0</v>
      </c>
      <c r="T187" s="119">
        <v>0</v>
      </c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-2632818.08</v>
      </c>
      <c r="G188" s="122">
        <v>0</v>
      </c>
      <c r="H188" s="119">
        <v>1057204.79</v>
      </c>
      <c r="I188" s="122">
        <v>0</v>
      </c>
      <c r="J188" s="119">
        <v>218706.9</v>
      </c>
      <c r="K188" s="119">
        <v>0</v>
      </c>
      <c r="L188" s="119">
        <v>0</v>
      </c>
      <c r="M188" s="119">
        <v>0</v>
      </c>
      <c r="N188" s="119">
        <v>80.83</v>
      </c>
      <c r="O188" s="119">
        <v>0</v>
      </c>
      <c r="P188" s="119">
        <v>0</v>
      </c>
      <c r="Q188" s="119">
        <v>0</v>
      </c>
      <c r="R188" s="119">
        <v>0</v>
      </c>
      <c r="S188" s="119">
        <v>0</v>
      </c>
      <c r="T188" s="119">
        <v>0</v>
      </c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68160</v>
      </c>
      <c r="G189" s="122">
        <v>0</v>
      </c>
      <c r="H189" s="119">
        <v>-24021.03</v>
      </c>
      <c r="I189" s="122">
        <v>0</v>
      </c>
      <c r="J189" s="119">
        <v>0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0</v>
      </c>
      <c r="T189" s="119">
        <v>0</v>
      </c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0</v>
      </c>
      <c r="T190" s="119">
        <v>0</v>
      </c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>
        <v>0</v>
      </c>
      <c r="T191" s="119">
        <v>0</v>
      </c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>
        <v>0</v>
      </c>
      <c r="T193" s="119">
        <v>0</v>
      </c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>
        <v>0</v>
      </c>
      <c r="T194" s="119">
        <v>0</v>
      </c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-17755.3</v>
      </c>
      <c r="G198" s="122">
        <v>0</v>
      </c>
      <c r="H198" s="119">
        <v>205.75</v>
      </c>
      <c r="I198" s="122">
        <v>0</v>
      </c>
      <c r="J198" s="119">
        <v>394.56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>
        <v>0</v>
      </c>
      <c r="T202" s="119">
        <v>0</v>
      </c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220307.45</v>
      </c>
      <c r="G203" s="122">
        <v>0</v>
      </c>
      <c r="H203" s="119">
        <v>26962.78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0</v>
      </c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>
        <v>0</v>
      </c>
      <c r="T207" s="119">
        <v>0</v>
      </c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>
        <v>0</v>
      </c>
      <c r="T208" s="119">
        <v>0</v>
      </c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>
        <v>0</v>
      </c>
      <c r="T212" s="119">
        <v>0</v>
      </c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>
        <v>0</v>
      </c>
      <c r="T214" s="119">
        <v>0</v>
      </c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>
        <v>0</v>
      </c>
      <c r="T217" s="119">
        <v>0</v>
      </c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>
        <v>0</v>
      </c>
      <c r="T220" s="119">
        <v>0</v>
      </c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>
        <v>0</v>
      </c>
      <c r="T221" s="119">
        <v>0</v>
      </c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0</v>
      </c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>
        <v>0</v>
      </c>
      <c r="T225" s="119">
        <v>0</v>
      </c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>
        <v>0</v>
      </c>
      <c r="T226" s="119">
        <v>0</v>
      </c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>
        <v>0</v>
      </c>
      <c r="T229" s="119">
        <v>0</v>
      </c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>
        <v>0</v>
      </c>
      <c r="T232" s="119">
        <v>0</v>
      </c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>
        <v>0</v>
      </c>
      <c r="T233" s="119">
        <v>0</v>
      </c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>
        <v>0</v>
      </c>
      <c r="T234" s="119">
        <v>0</v>
      </c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>
        <v>0</v>
      </c>
      <c r="T235" s="119">
        <v>0</v>
      </c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>
        <v>0</v>
      </c>
      <c r="T242" s="119">
        <v>0</v>
      </c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>
        <v>0</v>
      </c>
      <c r="T243" s="119">
        <v>0</v>
      </c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">
      <c r="A244" t="s">
        <v>140</v>
      </c>
      <c r="B244" t="s">
        <v>143</v>
      </c>
      <c r="C244">
        <v>1</v>
      </c>
      <c r="D244" t="s">
        <v>25</v>
      </c>
      <c r="E244" s="14">
        <v>8075719</v>
      </c>
      <c r="F244" s="14">
        <v>23996454.079999998</v>
      </c>
      <c r="G244" s="122">
        <v>915493</v>
      </c>
      <c r="H244" s="119">
        <v>4721977.47</v>
      </c>
      <c r="I244" s="122">
        <v>465463</v>
      </c>
      <c r="J244" s="119">
        <v>1367576.43</v>
      </c>
      <c r="K244" s="119">
        <v>-131</v>
      </c>
      <c r="L244" s="119">
        <v>-909961.29</v>
      </c>
      <c r="M244" s="119">
        <v>858000</v>
      </c>
      <c r="N244" s="119">
        <v>3159099.43</v>
      </c>
      <c r="O244" s="119">
        <v>705</v>
      </c>
      <c r="P244" s="119">
        <v>2413.2399999999998</v>
      </c>
      <c r="Q244" s="119">
        <v>-37422</v>
      </c>
      <c r="R244" s="119">
        <v>20232.68</v>
      </c>
      <c r="S244" s="119">
        <v>-182220</v>
      </c>
      <c r="T244" s="119">
        <v>-987685.7</v>
      </c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>
        <v>0</v>
      </c>
      <c r="T245" s="119">
        <v>0</v>
      </c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">
      <c r="A246" t="s">
        <v>140</v>
      </c>
      <c r="B246" t="s">
        <v>143</v>
      </c>
      <c r="C246">
        <v>3</v>
      </c>
      <c r="D246" t="s">
        <v>27</v>
      </c>
      <c r="E246" s="14">
        <v>3725247</v>
      </c>
      <c r="F246" s="14">
        <v>8162482</v>
      </c>
      <c r="G246" s="122">
        <v>-3725247</v>
      </c>
      <c r="H246" s="119">
        <v>-8162482</v>
      </c>
      <c r="I246" s="122">
        <v>34376354</v>
      </c>
      <c r="J246" s="119">
        <v>87323206</v>
      </c>
      <c r="K246" s="119">
        <v>0</v>
      </c>
      <c r="L246" s="119">
        <v>0</v>
      </c>
      <c r="M246" s="119">
        <v>-34376354</v>
      </c>
      <c r="N246" s="119">
        <v>-87323206</v>
      </c>
      <c r="O246" s="119">
        <v>0</v>
      </c>
      <c r="P246" s="119">
        <v>0</v>
      </c>
      <c r="Q246" s="119">
        <v>0</v>
      </c>
      <c r="R246" s="119">
        <v>0</v>
      </c>
      <c r="S246" s="119">
        <v>19576381</v>
      </c>
      <c r="T246" s="119">
        <v>47106549</v>
      </c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171933</v>
      </c>
      <c r="K248" s="119">
        <v>0</v>
      </c>
      <c r="L248" s="119">
        <v>-18.239999999999998</v>
      </c>
      <c r="M248" s="119">
        <v>0</v>
      </c>
      <c r="N248" s="119">
        <v>-28310.54</v>
      </c>
      <c r="O248" s="119">
        <v>0</v>
      </c>
      <c r="P248" s="119">
        <v>-147.01</v>
      </c>
      <c r="Q248" s="119">
        <v>0</v>
      </c>
      <c r="R248" s="119">
        <v>0</v>
      </c>
      <c r="S248" s="119">
        <v>0</v>
      </c>
      <c r="T248" s="119">
        <v>0</v>
      </c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">
      <c r="A249" t="s">
        <v>140</v>
      </c>
      <c r="B249" t="s">
        <v>143</v>
      </c>
      <c r="C249">
        <v>6</v>
      </c>
      <c r="D249" t="s">
        <v>25</v>
      </c>
      <c r="E249" s="14">
        <v>-928373</v>
      </c>
      <c r="F249" s="14">
        <v>-1871450.16</v>
      </c>
      <c r="G249" s="122">
        <v>-1509</v>
      </c>
      <c r="H249" s="119">
        <v>-3067.86</v>
      </c>
      <c r="I249" s="122">
        <v>-206017</v>
      </c>
      <c r="J249" s="119">
        <v>-456333.92</v>
      </c>
      <c r="K249" s="119">
        <v>-26641</v>
      </c>
      <c r="L249" s="119">
        <v>-6258.89</v>
      </c>
      <c r="M249" s="119">
        <v>-86825</v>
      </c>
      <c r="N249" s="119">
        <v>-156103.67999999999</v>
      </c>
      <c r="O249" s="119">
        <v>-280344</v>
      </c>
      <c r="P249" s="119">
        <v>-798423.94</v>
      </c>
      <c r="Q249" s="119">
        <v>317094</v>
      </c>
      <c r="R249" s="119">
        <v>796596.33</v>
      </c>
      <c r="S249" s="119">
        <v>22885</v>
      </c>
      <c r="T249" s="119">
        <v>54158.02</v>
      </c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>
        <v>0</v>
      </c>
      <c r="T250" s="119">
        <v>0</v>
      </c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">
      <c r="A251" t="s">
        <v>140</v>
      </c>
      <c r="B251" t="s">
        <v>143</v>
      </c>
      <c r="C251">
        <v>8</v>
      </c>
      <c r="D251" t="s">
        <v>27</v>
      </c>
      <c r="E251" s="14">
        <v>-3725247</v>
      </c>
      <c r="F251" s="14">
        <v>-8162482</v>
      </c>
      <c r="G251" s="122">
        <v>3725247</v>
      </c>
      <c r="H251" s="119">
        <v>8162482</v>
      </c>
      <c r="I251" s="122">
        <v>-30773458</v>
      </c>
      <c r="J251" s="119">
        <v>-78033680</v>
      </c>
      <c r="K251" s="119">
        <v>0</v>
      </c>
      <c r="L251" s="119">
        <v>0</v>
      </c>
      <c r="M251" s="119">
        <v>30773458</v>
      </c>
      <c r="N251" s="119">
        <v>78033680</v>
      </c>
      <c r="O251" s="119">
        <v>-525</v>
      </c>
      <c r="P251" s="119">
        <v>-1312</v>
      </c>
      <c r="Q251" s="119">
        <v>0</v>
      </c>
      <c r="R251" s="119">
        <v>0</v>
      </c>
      <c r="S251" s="119">
        <v>-19330425</v>
      </c>
      <c r="T251" s="119">
        <v>-46652234</v>
      </c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">
      <c r="A253" t="s">
        <v>140</v>
      </c>
      <c r="B253" t="s">
        <v>143</v>
      </c>
      <c r="C253">
        <v>10</v>
      </c>
      <c r="D253" t="s">
        <v>32</v>
      </c>
      <c r="E253" s="14">
        <v>17906</v>
      </c>
      <c r="F253" s="14">
        <v>52052.741999999998</v>
      </c>
      <c r="G253" s="122">
        <v>235</v>
      </c>
      <c r="H253" s="119">
        <v>683.14499999999998</v>
      </c>
      <c r="I253" s="122">
        <v>6747</v>
      </c>
      <c r="J253" s="119">
        <v>20814.494999999999</v>
      </c>
      <c r="K253" s="119">
        <v>-547433</v>
      </c>
      <c r="L253" s="119">
        <v>-6.17</v>
      </c>
      <c r="M253" s="119">
        <v>2746</v>
      </c>
      <c r="N253" s="119">
        <v>8471.41</v>
      </c>
      <c r="O253" s="119">
        <v>-188208</v>
      </c>
      <c r="P253" s="119">
        <v>-580621.68000000005</v>
      </c>
      <c r="Q253" s="119">
        <v>10298</v>
      </c>
      <c r="R253" s="119">
        <v>31769.33</v>
      </c>
      <c r="S253" s="119">
        <v>0</v>
      </c>
      <c r="T253" s="119">
        <v>0</v>
      </c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">
      <c r="A254" t="s">
        <v>140</v>
      </c>
      <c r="B254" t="s">
        <v>143</v>
      </c>
      <c r="C254">
        <v>11</v>
      </c>
      <c r="D254" t="s">
        <v>35</v>
      </c>
      <c r="E254" s="14">
        <v>3320425</v>
      </c>
      <c r="F254" s="14">
        <v>7467335.5199999996</v>
      </c>
      <c r="G254" s="122">
        <v>2491</v>
      </c>
      <c r="H254" s="119">
        <v>7547.73</v>
      </c>
      <c r="I254" s="122">
        <v>0</v>
      </c>
      <c r="J254" s="119">
        <v>0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>
        <v>0</v>
      </c>
      <c r="T254" s="119">
        <v>0</v>
      </c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">
      <c r="A255" t="s">
        <v>140</v>
      </c>
      <c r="B255" t="s">
        <v>143</v>
      </c>
      <c r="C255">
        <v>12</v>
      </c>
      <c r="D255" t="s">
        <v>36</v>
      </c>
      <c r="E255" s="14">
        <v>-6268640</v>
      </c>
      <c r="F255" s="14">
        <v>-14549831.98</v>
      </c>
      <c r="G255" s="122">
        <v>-5167382</v>
      </c>
      <c r="H255" s="119">
        <v>-11734077.939999999</v>
      </c>
      <c r="I255" s="122">
        <v>-1597</v>
      </c>
      <c r="J255" s="119">
        <v>-4495.5600000000004</v>
      </c>
      <c r="K255" s="119">
        <v>-661187</v>
      </c>
      <c r="L255" s="119">
        <v>-1424576.24</v>
      </c>
      <c r="M255" s="119">
        <v>120369</v>
      </c>
      <c r="N255" s="119">
        <v>279644.07</v>
      </c>
      <c r="O255" s="119">
        <v>0</v>
      </c>
      <c r="P255" s="119">
        <v>0</v>
      </c>
      <c r="Q255" s="119">
        <v>-111539</v>
      </c>
      <c r="R255" s="119">
        <v>-311092.65999999997</v>
      </c>
      <c r="S255" s="119">
        <v>0</v>
      </c>
      <c r="T255" s="119">
        <v>0</v>
      </c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">
      <c r="A256" t="s">
        <v>140</v>
      </c>
      <c r="B256" t="s">
        <v>143</v>
      </c>
      <c r="C256">
        <v>13</v>
      </c>
      <c r="D256" t="s">
        <v>39</v>
      </c>
      <c r="E256" s="14">
        <v>-4282910</v>
      </c>
      <c r="F256" s="14">
        <v>-12450419.369999999</v>
      </c>
      <c r="G256" s="122">
        <v>4272239</v>
      </c>
      <c r="H256" s="119">
        <v>12419398.773</v>
      </c>
      <c r="I256" s="122">
        <v>15140</v>
      </c>
      <c r="J256" s="119">
        <v>46706.9</v>
      </c>
      <c r="K256" s="119">
        <v>21988</v>
      </c>
      <c r="L256" s="119">
        <v>67832.98</v>
      </c>
      <c r="M256" s="119">
        <v>-537</v>
      </c>
      <c r="N256" s="119">
        <v>-1656.645</v>
      </c>
      <c r="O256" s="119">
        <v>188450</v>
      </c>
      <c r="P256" s="119">
        <v>581368.25</v>
      </c>
      <c r="Q256" s="119">
        <v>243537</v>
      </c>
      <c r="R256" s="119">
        <v>751311.64500000002</v>
      </c>
      <c r="S256" s="119">
        <v>159153</v>
      </c>
      <c r="T256" s="119">
        <v>490987.005</v>
      </c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-1180</v>
      </c>
      <c r="J257" s="119">
        <v>-2919.67</v>
      </c>
      <c r="K257" s="119">
        <v>0</v>
      </c>
      <c r="L257" s="119">
        <v>-31247.57</v>
      </c>
      <c r="M257" s="119">
        <v>0</v>
      </c>
      <c r="N257" s="119">
        <v>0</v>
      </c>
      <c r="O257" s="119">
        <v>0</v>
      </c>
      <c r="P257" s="119">
        <v>-32149.71</v>
      </c>
      <c r="Q257" s="119">
        <v>-939</v>
      </c>
      <c r="R257" s="119">
        <v>-2399.14</v>
      </c>
      <c r="S257" s="119">
        <v>0</v>
      </c>
      <c r="T257" s="119">
        <v>0</v>
      </c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3894</v>
      </c>
      <c r="J258" s="119">
        <v>8879.93</v>
      </c>
      <c r="K258" s="119">
        <v>4054</v>
      </c>
      <c r="L258" s="119">
        <v>9814.73</v>
      </c>
      <c r="M258" s="119">
        <v>5089</v>
      </c>
      <c r="N258" s="119">
        <v>12529.13</v>
      </c>
      <c r="O258" s="119">
        <v>20657</v>
      </c>
      <c r="P258" s="119">
        <v>32149.71</v>
      </c>
      <c r="Q258" s="119">
        <v>0</v>
      </c>
      <c r="R258" s="119">
        <v>0</v>
      </c>
      <c r="S258" s="119">
        <v>182</v>
      </c>
      <c r="T258" s="119">
        <v>466.73</v>
      </c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507378</v>
      </c>
      <c r="N259" s="119">
        <v>0</v>
      </c>
      <c r="O259" s="119">
        <v>0</v>
      </c>
      <c r="P259" s="119">
        <v>0</v>
      </c>
      <c r="Q259" s="119">
        <v>0</v>
      </c>
      <c r="R259" s="119">
        <v>0</v>
      </c>
      <c r="S259" s="119">
        <v>0</v>
      </c>
      <c r="T259" s="119">
        <v>0</v>
      </c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">
      <c r="A260" t="s">
        <v>140</v>
      </c>
      <c r="B260" t="s">
        <v>143</v>
      </c>
      <c r="C260">
        <v>17</v>
      </c>
      <c r="D260" t="s">
        <v>126</v>
      </c>
      <c r="E260" s="14">
        <v>45000</v>
      </c>
      <c r="F260" s="14">
        <v>130815</v>
      </c>
      <c r="G260" s="122">
        <v>0</v>
      </c>
      <c r="H260" s="119">
        <v>0</v>
      </c>
      <c r="I260" s="122">
        <v>0</v>
      </c>
      <c r="J260" s="119">
        <v>0</v>
      </c>
      <c r="K260" s="119">
        <v>0</v>
      </c>
      <c r="L260" s="119">
        <v>0</v>
      </c>
      <c r="M260" s="119">
        <v>-507378</v>
      </c>
      <c r="N260" s="119">
        <v>-1565261</v>
      </c>
      <c r="O260" s="119">
        <v>0</v>
      </c>
      <c r="P260" s="119">
        <v>0</v>
      </c>
      <c r="Q260" s="119">
        <v>0</v>
      </c>
      <c r="R260" s="119">
        <v>0</v>
      </c>
      <c r="S260" s="119">
        <v>0</v>
      </c>
      <c r="T260" s="119">
        <v>0</v>
      </c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2">
        <v>0</v>
      </c>
      <c r="H261" s="119">
        <v>0</v>
      </c>
      <c r="I261" s="122">
        <v>0</v>
      </c>
      <c r="J261" s="119">
        <v>0</v>
      </c>
      <c r="K261" s="119">
        <v>0</v>
      </c>
      <c r="L261" s="119">
        <v>0</v>
      </c>
      <c r="M261" s="119">
        <v>9200</v>
      </c>
      <c r="N261" s="119">
        <v>28382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>
        <v>0</v>
      </c>
      <c r="T262" s="119">
        <v>0</v>
      </c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">
      <c r="A265" t="s">
        <v>140</v>
      </c>
      <c r="B265" t="s">
        <v>143</v>
      </c>
      <c r="C265">
        <v>22</v>
      </c>
      <c r="D265" t="s">
        <v>130</v>
      </c>
      <c r="E265" s="14">
        <v>20873</v>
      </c>
      <c r="F265" s="14">
        <v>60677.811000000002</v>
      </c>
      <c r="G265" s="122">
        <v>-21567</v>
      </c>
      <c r="H265" s="119">
        <v>-62695.269</v>
      </c>
      <c r="I265" s="122">
        <v>-3885346</v>
      </c>
      <c r="J265" s="119">
        <v>-11986292.41</v>
      </c>
      <c r="K265" s="119">
        <v>1209350</v>
      </c>
      <c r="L265" s="119">
        <v>3730844.75</v>
      </c>
      <c r="M265" s="119">
        <v>2694854</v>
      </c>
      <c r="N265" s="119">
        <v>8313624.5899999999</v>
      </c>
      <c r="O265" s="119">
        <v>259265</v>
      </c>
      <c r="P265" s="119">
        <v>799832.52500000002</v>
      </c>
      <c r="Q265" s="119">
        <v>-421029</v>
      </c>
      <c r="R265" s="119">
        <v>-1298874.4650000001</v>
      </c>
      <c r="S265" s="119">
        <v>-245956</v>
      </c>
      <c r="T265" s="119">
        <v>-758774.26</v>
      </c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">
      <c r="A266" t="s">
        <v>140</v>
      </c>
      <c r="B266" t="s">
        <v>143</v>
      </c>
      <c r="C266">
        <v>23</v>
      </c>
      <c r="D266" t="s">
        <v>131</v>
      </c>
      <c r="E266" s="14">
        <v>-17906</v>
      </c>
      <c r="F266" s="14">
        <v>-52052.741999999998</v>
      </c>
      <c r="G266" s="122">
        <v>-235</v>
      </c>
      <c r="H266" s="119">
        <v>-683.14499999999998</v>
      </c>
      <c r="I266" s="122">
        <v>-6747</v>
      </c>
      <c r="J266" s="119">
        <v>-20814.494999999999</v>
      </c>
      <c r="K266" s="119">
        <v>2</v>
      </c>
      <c r="L266" s="119">
        <v>6.17</v>
      </c>
      <c r="M266" s="119">
        <v>-2746</v>
      </c>
      <c r="N266" s="119">
        <v>-8471.41</v>
      </c>
      <c r="O266" s="119">
        <v>188208</v>
      </c>
      <c r="P266" s="119">
        <v>580621.68000000005</v>
      </c>
      <c r="Q266" s="119">
        <v>-10298</v>
      </c>
      <c r="R266" s="119">
        <v>-31769.33</v>
      </c>
      <c r="S266" s="119">
        <v>0</v>
      </c>
      <c r="T266" s="119">
        <v>0</v>
      </c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">
      <c r="A267" t="s">
        <v>140</v>
      </c>
      <c r="B267" t="s">
        <v>143</v>
      </c>
      <c r="C267">
        <v>24</v>
      </c>
      <c r="D267" t="s">
        <v>55</v>
      </c>
      <c r="E267" s="14">
        <v>-5251604</v>
      </c>
      <c r="F267" s="14">
        <v>-157868.81</v>
      </c>
      <c r="G267" s="122">
        <v>-6271518</v>
      </c>
      <c r="H267" s="119">
        <v>-188591.73</v>
      </c>
      <c r="I267" s="122">
        <v>-9368</v>
      </c>
      <c r="J267" s="119">
        <v>-13078.85</v>
      </c>
      <c r="K267" s="119">
        <v>802981</v>
      </c>
      <c r="L267" s="119">
        <v>31934.06</v>
      </c>
      <c r="M267" s="119">
        <v>283993</v>
      </c>
      <c r="N267" s="119">
        <v>7310.14</v>
      </c>
      <c r="O267" s="119">
        <v>-189606</v>
      </c>
      <c r="P267" s="119">
        <v>14052.86</v>
      </c>
      <c r="Q267" s="119">
        <v>-7032647</v>
      </c>
      <c r="R267" s="119">
        <v>100779.64</v>
      </c>
      <c r="S267" s="119">
        <v>6314</v>
      </c>
      <c r="T267" s="119">
        <v>158597.32999999999</v>
      </c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-143684</v>
      </c>
      <c r="G268" s="122">
        <v>0</v>
      </c>
      <c r="H268" s="119">
        <v>-93300</v>
      </c>
      <c r="I268" s="122">
        <v>0</v>
      </c>
      <c r="J268" s="119">
        <v>966026.26</v>
      </c>
      <c r="K268" s="119">
        <v>0</v>
      </c>
      <c r="L268" s="119">
        <v>25614.25</v>
      </c>
      <c r="M268" s="119">
        <v>0</v>
      </c>
      <c r="N268" s="119">
        <v>-970875.84</v>
      </c>
      <c r="O268" s="119">
        <v>0</v>
      </c>
      <c r="P268" s="119">
        <v>-75</v>
      </c>
      <c r="Q268" s="119">
        <v>0</v>
      </c>
      <c r="R268" s="119">
        <v>0</v>
      </c>
      <c r="S268" s="119">
        <v>0</v>
      </c>
      <c r="T268" s="119">
        <v>308550</v>
      </c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2334.8200000000002</v>
      </c>
      <c r="K269" s="119">
        <v>0</v>
      </c>
      <c r="L269" s="119">
        <v>0</v>
      </c>
      <c r="M269" s="119">
        <v>0</v>
      </c>
      <c r="N269" s="119">
        <v>0</v>
      </c>
      <c r="O269" s="119">
        <v>0</v>
      </c>
      <c r="P269" s="119">
        <v>0</v>
      </c>
      <c r="Q269" s="119">
        <v>0</v>
      </c>
      <c r="R269" s="119">
        <v>0</v>
      </c>
      <c r="S269" s="119">
        <v>0</v>
      </c>
      <c r="T269" s="119">
        <v>0</v>
      </c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>
        <v>0</v>
      </c>
      <c r="T270" s="119">
        <v>0</v>
      </c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">
      <c r="A271" t="s">
        <v>140</v>
      </c>
      <c r="B271" t="s">
        <v>143</v>
      </c>
      <c r="C271">
        <v>28</v>
      </c>
      <c r="D271" t="s">
        <v>134</v>
      </c>
      <c r="E271" s="14">
        <v>0</v>
      </c>
      <c r="F271" s="14">
        <v>-10000</v>
      </c>
      <c r="G271" s="122">
        <v>0</v>
      </c>
      <c r="H271" s="119">
        <v>-886.91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>
        <v>0</v>
      </c>
      <c r="T272" s="119">
        <v>0</v>
      </c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>
        <v>0</v>
      </c>
      <c r="T276" s="119">
        <v>0</v>
      </c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-6296.3</v>
      </c>
      <c r="G278" s="122">
        <v>0</v>
      </c>
      <c r="H278" s="119">
        <v>0</v>
      </c>
      <c r="I278" s="122">
        <v>0</v>
      </c>
      <c r="J278" s="119">
        <v>6074.51</v>
      </c>
      <c r="K278" s="119">
        <v>0</v>
      </c>
      <c r="L278" s="119">
        <v>5.38</v>
      </c>
      <c r="M278" s="119">
        <v>0</v>
      </c>
      <c r="N278" s="119">
        <v>848.07</v>
      </c>
      <c r="O278" s="119">
        <v>0</v>
      </c>
      <c r="P278" s="119">
        <v>0</v>
      </c>
      <c r="Q278" s="119">
        <v>0</v>
      </c>
      <c r="R278" s="119">
        <v>316.24</v>
      </c>
      <c r="S278" s="119">
        <v>0</v>
      </c>
      <c r="T278" s="119">
        <v>6.78</v>
      </c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>
        <v>0</v>
      </c>
      <c r="T280" s="119">
        <v>0</v>
      </c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>
        <v>0</v>
      </c>
      <c r="T281" s="119">
        <v>0</v>
      </c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>
        <v>0</v>
      </c>
      <c r="T283" s="119">
        <v>0</v>
      </c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">
      <c r="A284" t="s">
        <v>140</v>
      </c>
      <c r="B284" t="s">
        <v>144</v>
      </c>
      <c r="C284">
        <v>1</v>
      </c>
      <c r="D284" t="s">
        <v>25</v>
      </c>
      <c r="E284" s="14">
        <v>29701760</v>
      </c>
      <c r="F284" s="14">
        <v>81563807.310000002</v>
      </c>
      <c r="G284" s="122">
        <v>39919</v>
      </c>
      <c r="H284" s="119">
        <v>-2145531.0299999998</v>
      </c>
      <c r="I284" s="122">
        <v>-10000</v>
      </c>
      <c r="J284" s="119">
        <v>-23400</v>
      </c>
      <c r="K284" s="119">
        <v>0</v>
      </c>
      <c r="L284" s="119">
        <v>0</v>
      </c>
      <c r="M284" s="119">
        <v>0</v>
      </c>
      <c r="N284" s="119">
        <v>0</v>
      </c>
      <c r="O284" s="119">
        <v>607702</v>
      </c>
      <c r="P284" s="119">
        <v>1975032.59</v>
      </c>
      <c r="Q284" s="119">
        <v>0</v>
      </c>
      <c r="R284" s="119">
        <v>0</v>
      </c>
      <c r="S284" s="119">
        <v>0</v>
      </c>
      <c r="T284" s="119">
        <v>0</v>
      </c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>
        <v>0</v>
      </c>
      <c r="T285" s="119">
        <v>0</v>
      </c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">
      <c r="A286" t="s">
        <v>140</v>
      </c>
      <c r="B286" t="s">
        <v>144</v>
      </c>
      <c r="C286">
        <v>3</v>
      </c>
      <c r="D286" t="s">
        <v>27</v>
      </c>
      <c r="E286" s="14">
        <v>14440811</v>
      </c>
      <c r="F286" s="14">
        <v>34228120</v>
      </c>
      <c r="G286" s="122">
        <v>-13996001</v>
      </c>
      <c r="H286" s="119">
        <v>-32888363</v>
      </c>
      <c r="I286" s="122">
        <v>1286735</v>
      </c>
      <c r="J286" s="119">
        <v>3208244</v>
      </c>
      <c r="K286" s="119">
        <v>0</v>
      </c>
      <c r="L286" s="119">
        <v>0</v>
      </c>
      <c r="M286" s="119">
        <v>-1241772</v>
      </c>
      <c r="N286" s="119">
        <v>-3102806</v>
      </c>
      <c r="O286" s="119">
        <v>1559</v>
      </c>
      <c r="P286" s="119">
        <v>4208</v>
      </c>
      <c r="Q286" s="119">
        <v>0</v>
      </c>
      <c r="R286" s="119">
        <v>0</v>
      </c>
      <c r="S286" s="119">
        <v>2295</v>
      </c>
      <c r="T286" s="119">
        <v>6294</v>
      </c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>
        <v>0</v>
      </c>
      <c r="T287" s="119">
        <v>0</v>
      </c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23484.6</v>
      </c>
      <c r="G288" s="122">
        <v>0</v>
      </c>
      <c r="H288" s="119">
        <v>658371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0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">
      <c r="A289" t="s">
        <v>140</v>
      </c>
      <c r="B289" t="s">
        <v>144</v>
      </c>
      <c r="C289">
        <v>6</v>
      </c>
      <c r="D289" t="s">
        <v>25</v>
      </c>
      <c r="E289" s="14">
        <v>-31505980</v>
      </c>
      <c r="F289" s="14">
        <v>-87833022.589999989</v>
      </c>
      <c r="G289" s="122">
        <v>169023</v>
      </c>
      <c r="H289" s="119">
        <v>956158.79</v>
      </c>
      <c r="I289" s="122">
        <v>10044</v>
      </c>
      <c r="J289" s="119">
        <v>-61411.37</v>
      </c>
      <c r="K289" s="119">
        <v>0</v>
      </c>
      <c r="L289" s="119">
        <v>53.23</v>
      </c>
      <c r="M289" s="119">
        <v>0</v>
      </c>
      <c r="N289" s="119">
        <v>-28.7</v>
      </c>
      <c r="O289" s="119">
        <v>-607710</v>
      </c>
      <c r="P289" s="119">
        <v>-1974737.38</v>
      </c>
      <c r="Q289" s="119">
        <v>0</v>
      </c>
      <c r="R289" s="119">
        <v>171.62</v>
      </c>
      <c r="S289" s="119">
        <v>0</v>
      </c>
      <c r="T289" s="119">
        <v>-171.62</v>
      </c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">
      <c r="A291" t="s">
        <v>140</v>
      </c>
      <c r="B291" t="s">
        <v>144</v>
      </c>
      <c r="C291">
        <v>8</v>
      </c>
      <c r="D291" t="s">
        <v>27</v>
      </c>
      <c r="E291" s="14">
        <v>-14139828</v>
      </c>
      <c r="F291" s="14">
        <v>-33221712</v>
      </c>
      <c r="G291" s="122">
        <v>13989738</v>
      </c>
      <c r="H291" s="119">
        <v>32869336</v>
      </c>
      <c r="I291" s="122">
        <v>-2886280</v>
      </c>
      <c r="J291" s="119">
        <v>-9039501</v>
      </c>
      <c r="K291" s="119">
        <v>0</v>
      </c>
      <c r="L291" s="119">
        <v>0</v>
      </c>
      <c r="M291" s="119">
        <v>2886280</v>
      </c>
      <c r="N291" s="119">
        <v>9039501</v>
      </c>
      <c r="O291" s="119">
        <v>0</v>
      </c>
      <c r="P291" s="119">
        <v>0</v>
      </c>
      <c r="Q291" s="119">
        <v>0</v>
      </c>
      <c r="R291" s="119">
        <v>0</v>
      </c>
      <c r="S291" s="119">
        <v>-2688738</v>
      </c>
      <c r="T291" s="119">
        <v>-8535241</v>
      </c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>
        <v>0</v>
      </c>
      <c r="T292" s="119">
        <v>0</v>
      </c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">
      <c r="A293" t="s">
        <v>140</v>
      </c>
      <c r="B293" t="s">
        <v>144</v>
      </c>
      <c r="C293">
        <v>10</v>
      </c>
      <c r="D293" t="s">
        <v>32</v>
      </c>
      <c r="E293" s="14">
        <v>311938</v>
      </c>
      <c r="F293" s="14">
        <v>901188.88199999998</v>
      </c>
      <c r="G293" s="122">
        <v>-11876</v>
      </c>
      <c r="H293" s="119">
        <v>-34309.764000000003</v>
      </c>
      <c r="I293" s="122">
        <v>0</v>
      </c>
      <c r="J293" s="119">
        <v>0</v>
      </c>
      <c r="K293" s="119">
        <v>0</v>
      </c>
      <c r="L293" s="119">
        <v>0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">
      <c r="A294" t="s">
        <v>140</v>
      </c>
      <c r="B294" t="s">
        <v>144</v>
      </c>
      <c r="C294">
        <v>11</v>
      </c>
      <c r="D294" t="s">
        <v>35</v>
      </c>
      <c r="E294" s="14">
        <v>683303</v>
      </c>
      <c r="F294" s="14">
        <v>1398317.28</v>
      </c>
      <c r="G294" s="122">
        <v>0</v>
      </c>
      <c r="H294" s="119">
        <v>0</v>
      </c>
      <c r="I294" s="122">
        <v>0</v>
      </c>
      <c r="J294" s="119">
        <v>0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">
      <c r="A295" t="s">
        <v>140</v>
      </c>
      <c r="B295" t="s">
        <v>144</v>
      </c>
      <c r="C295">
        <v>12</v>
      </c>
      <c r="D295" t="s">
        <v>36</v>
      </c>
      <c r="E295" s="14">
        <v>-143499</v>
      </c>
      <c r="F295" s="14">
        <v>-281037.87</v>
      </c>
      <c r="G295" s="122">
        <v>0</v>
      </c>
      <c r="H295" s="119">
        <v>0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">
      <c r="A296" t="s">
        <v>140</v>
      </c>
      <c r="B296" t="s">
        <v>144</v>
      </c>
      <c r="C296">
        <v>13</v>
      </c>
      <c r="D296" t="s">
        <v>39</v>
      </c>
      <c r="E296" s="14">
        <v>-5376</v>
      </c>
      <c r="F296" s="14">
        <v>-15531.263999999999</v>
      </c>
      <c r="G296" s="122">
        <v>119750</v>
      </c>
      <c r="H296" s="119">
        <v>345957.75</v>
      </c>
      <c r="I296" s="122">
        <v>1467</v>
      </c>
      <c r="J296" s="119">
        <v>3432.78</v>
      </c>
      <c r="K296" s="119">
        <v>0</v>
      </c>
      <c r="L296" s="119">
        <v>0</v>
      </c>
      <c r="M296" s="119">
        <v>0</v>
      </c>
      <c r="N296" s="119">
        <v>0</v>
      </c>
      <c r="O296" s="119">
        <v>3659</v>
      </c>
      <c r="P296" s="119">
        <v>8562.06</v>
      </c>
      <c r="Q296" s="119">
        <v>0</v>
      </c>
      <c r="R296" s="119">
        <v>0</v>
      </c>
      <c r="S296" s="119">
        <v>3381</v>
      </c>
      <c r="T296" s="119">
        <v>7911.54</v>
      </c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2">
        <v>-959</v>
      </c>
      <c r="H297" s="119">
        <v>-2761.92</v>
      </c>
      <c r="I297" s="122">
        <v>0</v>
      </c>
      <c r="J297" s="119">
        <v>0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>
        <v>0</v>
      </c>
      <c r="T297" s="119">
        <v>0</v>
      </c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2">
        <v>6868</v>
      </c>
      <c r="H298" s="119">
        <v>19037.38</v>
      </c>
      <c r="I298" s="122">
        <v>0</v>
      </c>
      <c r="J298" s="119">
        <v>0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>
        <v>0</v>
      </c>
      <c r="T298" s="119">
        <v>0</v>
      </c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">
      <c r="A299" t="s">
        <v>140</v>
      </c>
      <c r="B299" t="s">
        <v>144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0</v>
      </c>
      <c r="P299" s="119">
        <v>0</v>
      </c>
      <c r="Q299" s="119">
        <v>0</v>
      </c>
      <c r="R299" s="119">
        <v>0</v>
      </c>
      <c r="S299" s="119">
        <v>0</v>
      </c>
      <c r="T299" s="119">
        <v>0</v>
      </c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">
      <c r="A300" t="s">
        <v>140</v>
      </c>
      <c r="B300" t="s">
        <v>144</v>
      </c>
      <c r="C300">
        <v>17</v>
      </c>
      <c r="D300" t="s">
        <v>126</v>
      </c>
      <c r="E300" s="14">
        <v>44573</v>
      </c>
      <c r="F300" s="14">
        <v>99843.520000000004</v>
      </c>
      <c r="G300" s="122">
        <v>49964</v>
      </c>
      <c r="H300" s="119">
        <v>145305.22</v>
      </c>
      <c r="I300" s="122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>
        <v>0</v>
      </c>
      <c r="T300" s="119">
        <v>0</v>
      </c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2">
        <v>0</v>
      </c>
      <c r="H301" s="119">
        <v>0</v>
      </c>
      <c r="I301" s="122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>
        <v>0</v>
      </c>
      <c r="T304" s="119">
        <v>0</v>
      </c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">
      <c r="A305" t="s">
        <v>140</v>
      </c>
      <c r="B305" t="s">
        <v>144</v>
      </c>
      <c r="C305">
        <v>22</v>
      </c>
      <c r="D305" t="s">
        <v>130</v>
      </c>
      <c r="E305" s="14">
        <v>612298</v>
      </c>
      <c r="F305" s="14">
        <v>1768928.922</v>
      </c>
      <c r="G305" s="122">
        <v>-366426</v>
      </c>
      <c r="H305" s="119">
        <v>-1058604.7140000002</v>
      </c>
      <c r="I305" s="122">
        <v>1598034</v>
      </c>
      <c r="J305" s="119">
        <v>3739399.56</v>
      </c>
      <c r="K305" s="119">
        <v>0</v>
      </c>
      <c r="L305" s="119">
        <v>0</v>
      </c>
      <c r="M305" s="119">
        <v>-1644508</v>
      </c>
      <c r="N305" s="119">
        <v>-3848148.72</v>
      </c>
      <c r="O305" s="119">
        <v>-5210</v>
      </c>
      <c r="P305" s="119">
        <v>-12191.4</v>
      </c>
      <c r="Q305" s="119">
        <v>0</v>
      </c>
      <c r="R305" s="119">
        <v>0</v>
      </c>
      <c r="S305" s="119">
        <v>2683062</v>
      </c>
      <c r="T305" s="119">
        <v>6278365.0800000001</v>
      </c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">
      <c r="A306" t="s">
        <v>140</v>
      </c>
      <c r="B306" t="s">
        <v>144</v>
      </c>
      <c r="C306">
        <v>23</v>
      </c>
      <c r="D306" t="s">
        <v>131</v>
      </c>
      <c r="E306" s="14">
        <v>-311938</v>
      </c>
      <c r="F306" s="14">
        <v>-901188.88199999998</v>
      </c>
      <c r="G306" s="122">
        <v>11876</v>
      </c>
      <c r="H306" s="119">
        <v>34309.764000000003</v>
      </c>
      <c r="I306" s="122">
        <v>0</v>
      </c>
      <c r="J306" s="119">
        <v>0</v>
      </c>
      <c r="K306" s="119">
        <v>0</v>
      </c>
      <c r="L306" s="119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>
        <v>0</v>
      </c>
      <c r="T306" s="119">
        <v>0</v>
      </c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">
      <c r="A307" t="s">
        <v>140</v>
      </c>
      <c r="B307" t="s">
        <v>144</v>
      </c>
      <c r="C307">
        <v>24</v>
      </c>
      <c r="D307" t="s">
        <v>55</v>
      </c>
      <c r="E307" s="14">
        <v>-20303606</v>
      </c>
      <c r="F307" s="14">
        <v>-58526.68</v>
      </c>
      <c r="G307" s="122">
        <v>2567596</v>
      </c>
      <c r="H307" s="119">
        <v>-99602.38</v>
      </c>
      <c r="I307" s="122">
        <v>0</v>
      </c>
      <c r="J307" s="119">
        <v>-120879.8</v>
      </c>
      <c r="K307" s="119">
        <v>0</v>
      </c>
      <c r="L307" s="119">
        <v>0</v>
      </c>
      <c r="M307" s="119">
        <v>0</v>
      </c>
      <c r="N307" s="119">
        <v>0</v>
      </c>
      <c r="O307" s="119">
        <v>0</v>
      </c>
      <c r="P307" s="119">
        <v>-12316.72</v>
      </c>
      <c r="Q307" s="119">
        <v>0</v>
      </c>
      <c r="R307" s="119">
        <v>0</v>
      </c>
      <c r="S307" s="119">
        <v>0</v>
      </c>
      <c r="T307" s="119">
        <v>0</v>
      </c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-2504319.7999999998</v>
      </c>
      <c r="G308" s="122">
        <v>0</v>
      </c>
      <c r="H308" s="119">
        <v>-501813.16</v>
      </c>
      <c r="I308" s="122">
        <v>0</v>
      </c>
      <c r="J308" s="119">
        <v>0</v>
      </c>
      <c r="K308" s="119">
        <v>0</v>
      </c>
      <c r="L308" s="119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>
        <v>0</v>
      </c>
      <c r="T308" s="119">
        <v>0</v>
      </c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>
        <v>0</v>
      </c>
      <c r="T309" s="119">
        <v>0</v>
      </c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>
        <v>0</v>
      </c>
      <c r="T310" s="119">
        <v>0</v>
      </c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>
        <v>0</v>
      </c>
      <c r="T311" s="119">
        <v>0</v>
      </c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>
        <v>0</v>
      </c>
      <c r="T312" s="119">
        <v>0</v>
      </c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>
        <v>0</v>
      </c>
      <c r="T313" s="119">
        <v>0</v>
      </c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>
        <v>0</v>
      </c>
      <c r="T316" s="119">
        <v>0</v>
      </c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>
        <v>0</v>
      </c>
      <c r="T317" s="119">
        <v>0</v>
      </c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-21509.95</v>
      </c>
      <c r="G318" s="122">
        <v>0</v>
      </c>
      <c r="H318" s="119">
        <v>-373.75</v>
      </c>
      <c r="I318" s="122">
        <v>0</v>
      </c>
      <c r="J318" s="119">
        <v>0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>
        <v>0</v>
      </c>
      <c r="T318" s="119">
        <v>0</v>
      </c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>
        <v>0</v>
      </c>
      <c r="T320" s="119">
        <v>0</v>
      </c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>
        <v>0</v>
      </c>
      <c r="T322" s="119">
        <v>0</v>
      </c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59703.86</v>
      </c>
      <c r="G323" s="122">
        <v>0</v>
      </c>
      <c r="H323" s="119">
        <v>-4447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85141</v>
      </c>
      <c r="L324" s="119">
        <v>268145.18</v>
      </c>
      <c r="M324" s="119">
        <v>0</v>
      </c>
      <c r="N324" s="119">
        <v>0</v>
      </c>
      <c r="O324" s="119">
        <v>-20256</v>
      </c>
      <c r="P324" s="119">
        <v>-63603.839999999997</v>
      </c>
      <c r="Q324" s="119">
        <v>0</v>
      </c>
      <c r="R324" s="119">
        <v>0</v>
      </c>
      <c r="S324" s="119">
        <v>-60000</v>
      </c>
      <c r="T324" s="119">
        <v>-189000</v>
      </c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>
        <v>0</v>
      </c>
      <c r="T325" s="119">
        <v>0</v>
      </c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20326150</v>
      </c>
      <c r="J326" s="119">
        <v>51242714</v>
      </c>
      <c r="K326" s="119">
        <v>0</v>
      </c>
      <c r="L326" s="119">
        <v>0</v>
      </c>
      <c r="M326" s="119">
        <v>-20326150</v>
      </c>
      <c r="N326" s="119">
        <v>-51242714</v>
      </c>
      <c r="O326" s="119">
        <v>0</v>
      </c>
      <c r="P326" s="119">
        <v>0</v>
      </c>
      <c r="Q326" s="119">
        <v>0</v>
      </c>
      <c r="R326" s="119">
        <v>0</v>
      </c>
      <c r="S326" s="119">
        <v>13670556</v>
      </c>
      <c r="T326" s="119">
        <v>32472427</v>
      </c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>
        <v>0</v>
      </c>
      <c r="T327" s="119">
        <v>0</v>
      </c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75000</v>
      </c>
      <c r="K328" s="119">
        <v>0</v>
      </c>
      <c r="L328" s="119">
        <v>0</v>
      </c>
      <c r="M328" s="119">
        <v>0</v>
      </c>
      <c r="N328" s="119">
        <v>0</v>
      </c>
      <c r="O328" s="119">
        <v>0</v>
      </c>
      <c r="P328" s="119">
        <v>0</v>
      </c>
      <c r="Q328" s="119">
        <v>0</v>
      </c>
      <c r="R328" s="119">
        <v>0</v>
      </c>
      <c r="S328" s="119">
        <v>0</v>
      </c>
      <c r="T328" s="119">
        <v>0</v>
      </c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146743</v>
      </c>
      <c r="J329" s="119">
        <v>-202697.2</v>
      </c>
      <c r="K329" s="119">
        <v>-146743</v>
      </c>
      <c r="L329" s="119">
        <v>0.01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0</v>
      </c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-22907710</v>
      </c>
      <c r="J331" s="119">
        <v>-58479925</v>
      </c>
      <c r="K331" s="119">
        <v>0</v>
      </c>
      <c r="L331" s="119">
        <v>0</v>
      </c>
      <c r="M331" s="119">
        <v>22907710</v>
      </c>
      <c r="N331" s="119">
        <v>58479925</v>
      </c>
      <c r="O331" s="119">
        <v>0</v>
      </c>
      <c r="P331" s="119">
        <v>0</v>
      </c>
      <c r="Q331" s="119">
        <v>0</v>
      </c>
      <c r="R331" s="119">
        <v>0</v>
      </c>
      <c r="S331" s="119">
        <v>-17020965</v>
      </c>
      <c r="T331" s="119">
        <v>-42451487</v>
      </c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>
        <v>0</v>
      </c>
      <c r="T332" s="119">
        <v>0</v>
      </c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235175</v>
      </c>
      <c r="N333" s="119">
        <v>707876.75</v>
      </c>
      <c r="O333" s="119">
        <v>0</v>
      </c>
      <c r="P333" s="119">
        <v>0</v>
      </c>
      <c r="Q333" s="119">
        <v>0</v>
      </c>
      <c r="R333" s="119">
        <v>0</v>
      </c>
      <c r="S333" s="119">
        <v>0</v>
      </c>
      <c r="T333" s="119">
        <v>0</v>
      </c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>
        <v>0</v>
      </c>
      <c r="T334" s="119">
        <v>0</v>
      </c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>
        <v>0</v>
      </c>
      <c r="T335" s="119">
        <v>0</v>
      </c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">
      <c r="A341" s="121" t="s">
        <v>145</v>
      </c>
      <c r="B341" s="121" t="s">
        <v>146</v>
      </c>
      <c r="C341" s="121">
        <v>18</v>
      </c>
      <c r="D341" s="121" t="s">
        <v>127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0</v>
      </c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>
        <v>0</v>
      </c>
      <c r="T343" s="119">
        <v>0</v>
      </c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>
        <v>0</v>
      </c>
      <c r="T344" s="119">
        <v>0</v>
      </c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2">
        <v>0</v>
      </c>
      <c r="H345" s="119">
        <v>0</v>
      </c>
      <c r="I345" s="122">
        <v>2434817</v>
      </c>
      <c r="J345" s="119">
        <v>7328799.1699999999</v>
      </c>
      <c r="K345" s="119">
        <v>61602</v>
      </c>
      <c r="L345" s="119">
        <v>185422.02</v>
      </c>
      <c r="M345" s="119">
        <v>-2816735</v>
      </c>
      <c r="N345" s="119">
        <v>-8478372.3499999996</v>
      </c>
      <c r="O345" s="119">
        <v>20256</v>
      </c>
      <c r="P345" s="119">
        <v>60970.559999999998</v>
      </c>
      <c r="Q345" s="119">
        <v>0</v>
      </c>
      <c r="R345" s="119">
        <v>0</v>
      </c>
      <c r="S345" s="119">
        <v>3410409</v>
      </c>
      <c r="T345" s="119">
        <v>10265331.09</v>
      </c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-235175</v>
      </c>
      <c r="N346" s="119">
        <v>-707876.75</v>
      </c>
      <c r="O346" s="119">
        <v>0</v>
      </c>
      <c r="P346" s="119">
        <v>0</v>
      </c>
      <c r="Q346" s="119">
        <v>0</v>
      </c>
      <c r="R346" s="119">
        <v>0</v>
      </c>
      <c r="S346" s="119">
        <v>0</v>
      </c>
      <c r="T346" s="119">
        <v>0</v>
      </c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-1650000</v>
      </c>
      <c r="J347" s="119">
        <v>-14234.02</v>
      </c>
      <c r="K347" s="119">
        <v>0</v>
      </c>
      <c r="L347" s="119">
        <v>-21.33</v>
      </c>
      <c r="M347" s="119">
        <v>0</v>
      </c>
      <c r="N347" s="119">
        <v>0</v>
      </c>
      <c r="O347" s="119">
        <v>0</v>
      </c>
      <c r="P347" s="119">
        <v>0</v>
      </c>
      <c r="Q347" s="119">
        <v>333</v>
      </c>
      <c r="R347" s="119">
        <v>5.77</v>
      </c>
      <c r="S347" s="119">
        <v>0</v>
      </c>
      <c r="T347" s="119">
        <v>0</v>
      </c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-269647.2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T348" s="119">
        <v>0</v>
      </c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T349" s="119">
        <v>0</v>
      </c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">
      <c r="A351" t="s">
        <v>145</v>
      </c>
      <c r="B351" t="s">
        <v>146</v>
      </c>
      <c r="C351">
        <v>28</v>
      </c>
      <c r="D351" t="s">
        <v>134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T351" s="119">
        <v>0</v>
      </c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T352" s="119">
        <v>0</v>
      </c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T353" s="119">
        <v>0</v>
      </c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T354" s="119">
        <v>0</v>
      </c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T358" s="119">
        <v>0</v>
      </c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T360" s="119">
        <v>0</v>
      </c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T362" s="119">
        <v>0</v>
      </c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0</v>
      </c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0</v>
      </c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T368" s="119">
        <v>0</v>
      </c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T369" s="119">
        <v>0</v>
      </c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>
        <v>0</v>
      </c>
      <c r="T373" s="119">
        <v>0</v>
      </c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>
        <v>0</v>
      </c>
      <c r="T374" s="119">
        <v>0</v>
      </c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>
        <v>0</v>
      </c>
      <c r="T375" s="119">
        <v>0</v>
      </c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>
        <v>0</v>
      </c>
      <c r="T381" s="119">
        <v>0</v>
      </c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>
        <v>0</v>
      </c>
      <c r="T382" s="119">
        <v>0</v>
      </c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>
        <v>0</v>
      </c>
      <c r="T383" s="119">
        <v>0</v>
      </c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>
        <v>0</v>
      </c>
      <c r="T384" s="119">
        <v>0</v>
      </c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>
        <v>0</v>
      </c>
      <c r="T385" s="119">
        <v>0</v>
      </c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>
        <v>0</v>
      </c>
      <c r="T388" s="119">
        <v>0</v>
      </c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>
        <v>0</v>
      </c>
      <c r="T389" s="119">
        <v>0</v>
      </c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>
        <v>0</v>
      </c>
      <c r="T391" s="119">
        <v>0</v>
      </c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>
        <v>0</v>
      </c>
      <c r="T392" s="119">
        <v>0</v>
      </c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>
        <v>0</v>
      </c>
      <c r="T393" s="119">
        <v>0</v>
      </c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0</v>
      </c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0</v>
      </c>
      <c r="T395" s="119">
        <v>0</v>
      </c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>
        <v>0</v>
      </c>
      <c r="T396" s="119">
        <v>0</v>
      </c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>
        <v>0</v>
      </c>
      <c r="T397" s="119">
        <v>0</v>
      </c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>
        <v>0</v>
      </c>
      <c r="T398" s="119">
        <v>0</v>
      </c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>
        <v>0</v>
      </c>
      <c r="T400" s="119">
        <v>0</v>
      </c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>
        <v>0</v>
      </c>
      <c r="T401" s="119">
        <v>0</v>
      </c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>
        <v>0</v>
      </c>
      <c r="T403" s="119">
        <v>0</v>
      </c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">
      <c r="I404" s="121">
        <v>0</v>
      </c>
      <c r="J404">
        <v>1107787.6399999999</v>
      </c>
      <c r="K404">
        <v>0</v>
      </c>
      <c r="L404">
        <v>3266683.68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32790</v>
      </c>
      <c r="S404">
        <v>0</v>
      </c>
      <c r="T404">
        <v>0</v>
      </c>
    </row>
    <row r="405" spans="1:118" x14ac:dyDescent="0.2">
      <c r="I405" s="121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118" x14ac:dyDescent="0.2">
      <c r="I406" s="121">
        <v>5758103</v>
      </c>
      <c r="J406">
        <v>13797776</v>
      </c>
      <c r="K406">
        <v>0</v>
      </c>
      <c r="L406">
        <v>0</v>
      </c>
      <c r="M406">
        <v>-5758103</v>
      </c>
      <c r="N406">
        <v>-13797776</v>
      </c>
      <c r="O406">
        <v>0</v>
      </c>
      <c r="P406">
        <v>0</v>
      </c>
      <c r="Q406">
        <v>0</v>
      </c>
      <c r="R406">
        <v>0</v>
      </c>
      <c r="S406">
        <v>5713052</v>
      </c>
      <c r="T406">
        <v>13705946</v>
      </c>
    </row>
    <row r="407" spans="1:118" x14ac:dyDescent="0.2">
      <c r="I407" s="121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118" x14ac:dyDescent="0.2">
      <c r="I408" s="121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118" x14ac:dyDescent="0.2">
      <c r="I409" s="121">
        <v>0</v>
      </c>
      <c r="J409">
        <v>-613122.01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118" x14ac:dyDescent="0.2">
      <c r="I410" s="121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118" x14ac:dyDescent="0.2">
      <c r="I411" s="121">
        <v>-10589624</v>
      </c>
      <c r="J411">
        <v>-28326960</v>
      </c>
      <c r="K411">
        <v>0</v>
      </c>
      <c r="L411">
        <v>0</v>
      </c>
      <c r="M411">
        <v>10589624</v>
      </c>
      <c r="N411">
        <v>28326960</v>
      </c>
      <c r="O411">
        <v>0</v>
      </c>
      <c r="P411">
        <v>0</v>
      </c>
      <c r="Q411">
        <v>0</v>
      </c>
      <c r="R411">
        <v>0</v>
      </c>
      <c r="S411">
        <v>-8006816</v>
      </c>
      <c r="T411">
        <v>-21357879</v>
      </c>
    </row>
    <row r="412" spans="1:118" x14ac:dyDescent="0.2">
      <c r="I412" s="121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118" x14ac:dyDescent="0.2">
      <c r="I413" s="121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118" x14ac:dyDescent="0.2">
      <c r="I414" s="121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118" x14ac:dyDescent="0.2">
      <c r="I415" s="166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118" x14ac:dyDescent="0.2">
      <c r="I416" s="121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9:20" x14ac:dyDescent="0.2">
      <c r="I417" s="121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9:20" x14ac:dyDescent="0.2">
      <c r="I418" s="121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9:20" x14ac:dyDescent="0.2">
      <c r="I419" s="121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9:20" x14ac:dyDescent="0.2">
      <c r="I420" s="121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9:20" x14ac:dyDescent="0.2">
      <c r="I421" s="1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9:20" x14ac:dyDescent="0.2">
      <c r="I422" s="121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9:20" x14ac:dyDescent="0.2">
      <c r="I423" s="121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9:20" x14ac:dyDescent="0.2">
      <c r="I424" s="121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9:20" x14ac:dyDescent="0.2">
      <c r="I425" s="121">
        <v>4831521</v>
      </c>
      <c r="J425">
        <v>14528383.647</v>
      </c>
      <c r="K425">
        <v>0</v>
      </c>
      <c r="L425">
        <v>0</v>
      </c>
      <c r="M425">
        <v>-4831521</v>
      </c>
      <c r="N425">
        <v>-14528383.647</v>
      </c>
      <c r="O425">
        <v>0</v>
      </c>
      <c r="P425">
        <v>0</v>
      </c>
      <c r="Q425">
        <v>0</v>
      </c>
      <c r="R425">
        <v>0</v>
      </c>
      <c r="S425">
        <v>2293764</v>
      </c>
      <c r="T425">
        <v>6897348.3480000002</v>
      </c>
    </row>
    <row r="426" spans="9:20" x14ac:dyDescent="0.2">
      <c r="I426" s="121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9:20" x14ac:dyDescent="0.2">
      <c r="I427" s="121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9:20" x14ac:dyDescent="0.2">
      <c r="I428" s="121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9:20" x14ac:dyDescent="0.2">
      <c r="I429" s="121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9:20" x14ac:dyDescent="0.2">
      <c r="I430" s="121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9:20" x14ac:dyDescent="0.2">
      <c r="I431" s="12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9:20" x14ac:dyDescent="0.2">
      <c r="I432" s="121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9:20" x14ac:dyDescent="0.2">
      <c r="I433" s="121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9:20" x14ac:dyDescent="0.2">
      <c r="I434" s="121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9:20" x14ac:dyDescent="0.2">
      <c r="I435" s="121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9:20" x14ac:dyDescent="0.2">
      <c r="I436" s="121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9:20" x14ac:dyDescent="0.2">
      <c r="I437" s="121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9:20" x14ac:dyDescent="0.2">
      <c r="I438" s="121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9:20" x14ac:dyDescent="0.2">
      <c r="I439" s="121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9:20" x14ac:dyDescent="0.2">
      <c r="I440" s="121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9:20" x14ac:dyDescent="0.2">
      <c r="I441" s="12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9:20" x14ac:dyDescent="0.2">
      <c r="I442" s="121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9:20" x14ac:dyDescent="0.2">
      <c r="I443" s="121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9:20" x14ac:dyDescent="0.2">
      <c r="I444" s="121">
        <v>300020</v>
      </c>
      <c r="J444">
        <v>1549978.98</v>
      </c>
      <c r="K444">
        <v>0</v>
      </c>
      <c r="L444">
        <v>0</v>
      </c>
      <c r="M444">
        <v>67920</v>
      </c>
      <c r="N444">
        <v>239095.55</v>
      </c>
      <c r="O444">
        <v>-16</v>
      </c>
      <c r="P444">
        <v>18872.21</v>
      </c>
      <c r="Q444">
        <v>-551</v>
      </c>
      <c r="R444">
        <v>-1162348.25</v>
      </c>
      <c r="S444">
        <v>132</v>
      </c>
      <c r="T444">
        <v>501.47</v>
      </c>
    </row>
    <row r="445" spans="9:20" x14ac:dyDescent="0.2">
      <c r="I445" s="121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9:20" x14ac:dyDescent="0.2">
      <c r="I446" s="121">
        <v>3725247</v>
      </c>
      <c r="J446">
        <v>8162482</v>
      </c>
      <c r="K446">
        <v>0</v>
      </c>
      <c r="L446">
        <v>0</v>
      </c>
      <c r="M446">
        <v>-3725247</v>
      </c>
      <c r="N446">
        <v>-8162482</v>
      </c>
      <c r="O446">
        <v>0</v>
      </c>
      <c r="P446">
        <v>0</v>
      </c>
      <c r="Q446">
        <v>0</v>
      </c>
      <c r="R446">
        <v>0</v>
      </c>
      <c r="S446">
        <v>3725247</v>
      </c>
      <c r="T446">
        <v>8162482</v>
      </c>
    </row>
    <row r="447" spans="9:20" x14ac:dyDescent="0.2">
      <c r="I447" s="121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9:20" x14ac:dyDescent="0.2">
      <c r="I448" s="121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9:20" x14ac:dyDescent="0.2">
      <c r="I449" s="121">
        <v>331219</v>
      </c>
      <c r="J449">
        <v>517273.4</v>
      </c>
      <c r="K449">
        <v>0</v>
      </c>
      <c r="L449">
        <v>0</v>
      </c>
      <c r="M449">
        <v>-631219</v>
      </c>
      <c r="N449">
        <v>-1192307.18</v>
      </c>
      <c r="O449">
        <v>0</v>
      </c>
      <c r="P449">
        <v>0</v>
      </c>
      <c r="Q449">
        <v>0</v>
      </c>
      <c r="R449">
        <v>0</v>
      </c>
      <c r="S449">
        <v>-787</v>
      </c>
      <c r="T449">
        <v>-1408.14</v>
      </c>
    </row>
    <row r="450" spans="9:20" x14ac:dyDescent="0.2">
      <c r="I450" s="121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9:20" x14ac:dyDescent="0.2">
      <c r="I451" s="121">
        <v>-3725247</v>
      </c>
      <c r="J451">
        <v>-8162482</v>
      </c>
      <c r="K451">
        <v>0</v>
      </c>
      <c r="L451">
        <v>0</v>
      </c>
      <c r="M451">
        <v>3725247</v>
      </c>
      <c r="N451">
        <v>8162482</v>
      </c>
      <c r="O451">
        <v>0</v>
      </c>
      <c r="P451">
        <v>0</v>
      </c>
      <c r="Q451">
        <v>0</v>
      </c>
      <c r="R451">
        <v>0</v>
      </c>
      <c r="S451">
        <v>-3725247</v>
      </c>
      <c r="T451">
        <v>-8162482</v>
      </c>
    </row>
    <row r="452" spans="9:20" x14ac:dyDescent="0.2">
      <c r="I452" s="121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9:20" x14ac:dyDescent="0.2">
      <c r="I453" s="121">
        <v>353</v>
      </c>
      <c r="J453">
        <v>1026.171</v>
      </c>
      <c r="K453">
        <v>-78</v>
      </c>
      <c r="L453">
        <v>-226.74600000000001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9:20" x14ac:dyDescent="0.2">
      <c r="I454" s="121">
        <v>-6</v>
      </c>
      <c r="J454">
        <v>-12.21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9:20" x14ac:dyDescent="0.2">
      <c r="I455" s="121">
        <v>21840</v>
      </c>
      <c r="J455">
        <v>53616.6</v>
      </c>
      <c r="K455">
        <v>-631219</v>
      </c>
      <c r="L455">
        <v>-1446754.06</v>
      </c>
      <c r="M455">
        <v>563299</v>
      </c>
      <c r="N455">
        <v>1291082.75</v>
      </c>
      <c r="O455">
        <v>16</v>
      </c>
      <c r="P455">
        <v>36.770000000000003</v>
      </c>
      <c r="Q455">
        <v>551</v>
      </c>
      <c r="R455">
        <v>1260.5</v>
      </c>
      <c r="S455">
        <v>655</v>
      </c>
      <c r="T455">
        <v>1505.6</v>
      </c>
    </row>
    <row r="456" spans="9:20" x14ac:dyDescent="0.2">
      <c r="I456" s="121">
        <v>-653426</v>
      </c>
      <c r="J456">
        <v>-1899509.382</v>
      </c>
      <c r="K456">
        <v>631297</v>
      </c>
      <c r="L456">
        <v>1835180.379</v>
      </c>
      <c r="M456">
        <v>-1</v>
      </c>
      <c r="N456">
        <v>-2.907</v>
      </c>
      <c r="O456">
        <v>1</v>
      </c>
      <c r="P456">
        <v>2.907</v>
      </c>
      <c r="Q456">
        <v>0</v>
      </c>
      <c r="R456">
        <v>0</v>
      </c>
      <c r="S456">
        <v>0</v>
      </c>
      <c r="T456">
        <v>0</v>
      </c>
    </row>
    <row r="457" spans="9:20" x14ac:dyDescent="0.2">
      <c r="I457" s="121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9:20" x14ac:dyDescent="0.2">
      <c r="I458" s="121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9:20" x14ac:dyDescent="0.2">
      <c r="I459" s="121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9:20" x14ac:dyDescent="0.2">
      <c r="I460" s="121">
        <v>0</v>
      </c>
      <c r="J460">
        <v>0</v>
      </c>
      <c r="K460">
        <v>0</v>
      </c>
      <c r="L460">
        <v>0</v>
      </c>
      <c r="M460">
        <v>-450</v>
      </c>
      <c r="N460">
        <v>-1308.1500000000001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9:20" x14ac:dyDescent="0.2">
      <c r="I461" s="12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9:20" x14ac:dyDescent="0.2">
      <c r="I462" s="121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9:20" x14ac:dyDescent="0.2">
      <c r="I463" s="121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9:20" x14ac:dyDescent="0.2">
      <c r="I464" s="121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9:20" x14ac:dyDescent="0.2">
      <c r="I465" s="121">
        <v>0</v>
      </c>
      <c r="J465">
        <v>0</v>
      </c>
      <c r="K465">
        <v>0</v>
      </c>
      <c r="L465">
        <v>0</v>
      </c>
      <c r="M465">
        <v>451</v>
      </c>
      <c r="N465">
        <v>1311.057</v>
      </c>
      <c r="O465">
        <v>-1</v>
      </c>
      <c r="P465">
        <v>-2.907</v>
      </c>
      <c r="Q465">
        <v>0</v>
      </c>
      <c r="R465">
        <v>0</v>
      </c>
      <c r="S465">
        <v>0</v>
      </c>
      <c r="T465">
        <v>0</v>
      </c>
    </row>
    <row r="466" spans="9:20" x14ac:dyDescent="0.2">
      <c r="I466" s="121">
        <v>-353</v>
      </c>
      <c r="J466">
        <v>-1026.171</v>
      </c>
      <c r="K466">
        <v>78</v>
      </c>
      <c r="L466">
        <v>226.74600000000001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9:20" x14ac:dyDescent="0.2">
      <c r="I467" s="121">
        <v>586669</v>
      </c>
      <c r="J467">
        <v>27959.42</v>
      </c>
      <c r="K467">
        <v>-631219</v>
      </c>
      <c r="L467">
        <v>-13477.3</v>
      </c>
      <c r="M467">
        <v>-67904</v>
      </c>
      <c r="N467">
        <v>-18296.509999999998</v>
      </c>
      <c r="O467">
        <v>16</v>
      </c>
      <c r="P467">
        <v>-3.06</v>
      </c>
      <c r="Q467">
        <v>537</v>
      </c>
      <c r="R467">
        <v>13.42</v>
      </c>
      <c r="S467">
        <v>7</v>
      </c>
      <c r="T467">
        <v>11.98</v>
      </c>
    </row>
    <row r="468" spans="9:20" x14ac:dyDescent="0.2">
      <c r="I468" s="121">
        <v>0</v>
      </c>
      <c r="J468">
        <v>92916</v>
      </c>
      <c r="K468">
        <v>0</v>
      </c>
      <c r="L468">
        <v>0</v>
      </c>
      <c r="M468">
        <v>0</v>
      </c>
      <c r="N468">
        <v>384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9:20" x14ac:dyDescent="0.2">
      <c r="I469" s="121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9:20" x14ac:dyDescent="0.2">
      <c r="I470" s="121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9:20" x14ac:dyDescent="0.2">
      <c r="I471" s="12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7.0000000000000007E-2</v>
      </c>
      <c r="S471">
        <v>0</v>
      </c>
      <c r="T471">
        <v>-11565.97</v>
      </c>
    </row>
    <row r="472" spans="9:20" x14ac:dyDescent="0.2">
      <c r="I472" s="121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9:20" x14ac:dyDescent="0.2">
      <c r="I473" s="121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9:20" x14ac:dyDescent="0.2">
      <c r="I474" s="121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9:20" x14ac:dyDescent="0.2">
      <c r="I475" s="121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9:20" x14ac:dyDescent="0.2">
      <c r="I476" s="121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9:20" x14ac:dyDescent="0.2">
      <c r="I477" s="121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9:20" x14ac:dyDescent="0.2">
      <c r="I478" s="121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9:20" x14ac:dyDescent="0.2">
      <c r="I479" s="121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9:20" x14ac:dyDescent="0.2">
      <c r="I480" s="121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9:20" x14ac:dyDescent="0.2">
      <c r="I481" s="12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9:20" x14ac:dyDescent="0.2">
      <c r="I482" s="121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9:20" x14ac:dyDescent="0.2">
      <c r="I483" s="121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9:20" x14ac:dyDescent="0.2">
      <c r="I484" s="121">
        <v>90673</v>
      </c>
      <c r="J484">
        <v>222897.7</v>
      </c>
      <c r="K484">
        <v>-11749</v>
      </c>
      <c r="L484">
        <v>-32378.39</v>
      </c>
      <c r="M484">
        <v>94</v>
      </c>
      <c r="N484">
        <v>187.06</v>
      </c>
      <c r="O484">
        <v>-7940</v>
      </c>
      <c r="P484">
        <v>-20419.189999999999</v>
      </c>
      <c r="Q484">
        <v>37500</v>
      </c>
      <c r="R484">
        <v>108337.5</v>
      </c>
      <c r="S484">
        <v>0</v>
      </c>
      <c r="T484">
        <v>0</v>
      </c>
    </row>
    <row r="485" spans="9:20" x14ac:dyDescent="0.2">
      <c r="I485" s="121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9:20" x14ac:dyDescent="0.2">
      <c r="I486" s="121">
        <v>14440811</v>
      </c>
      <c r="J486">
        <v>34228120</v>
      </c>
      <c r="K486">
        <v>0</v>
      </c>
      <c r="L486">
        <v>0</v>
      </c>
      <c r="M486">
        <v>-14440811</v>
      </c>
      <c r="N486">
        <v>-34228120</v>
      </c>
      <c r="O486">
        <v>0</v>
      </c>
      <c r="P486">
        <v>0</v>
      </c>
      <c r="Q486">
        <v>0</v>
      </c>
      <c r="R486">
        <v>0</v>
      </c>
      <c r="S486">
        <v>13996001</v>
      </c>
      <c r="T486">
        <v>32888363</v>
      </c>
    </row>
    <row r="487" spans="9:20" x14ac:dyDescent="0.2">
      <c r="I487" s="121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9:20" x14ac:dyDescent="0.2">
      <c r="I488" s="121">
        <v>0</v>
      </c>
      <c r="J488">
        <v>0</v>
      </c>
      <c r="K488">
        <v>0</v>
      </c>
      <c r="L488">
        <v>0</v>
      </c>
      <c r="M488">
        <v>0</v>
      </c>
      <c r="N488">
        <v>449334.83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9:20" x14ac:dyDescent="0.2">
      <c r="I489" s="121">
        <v>-123818</v>
      </c>
      <c r="J489">
        <v>-340878.59</v>
      </c>
      <c r="K489">
        <v>784</v>
      </c>
      <c r="L489">
        <v>-26876.42</v>
      </c>
      <c r="M489">
        <v>4478</v>
      </c>
      <c r="N489">
        <v>12456.57</v>
      </c>
      <c r="O489">
        <v>956</v>
      </c>
      <c r="P489">
        <v>1907.12</v>
      </c>
      <c r="Q489">
        <v>0</v>
      </c>
      <c r="R489">
        <v>0</v>
      </c>
      <c r="S489">
        <v>0</v>
      </c>
      <c r="T489">
        <v>-52955.839999999997</v>
      </c>
    </row>
    <row r="490" spans="9:20" x14ac:dyDescent="0.2">
      <c r="I490" s="121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9:20" x14ac:dyDescent="0.2">
      <c r="I491" s="121">
        <v>-14139828</v>
      </c>
      <c r="J491">
        <v>-33221712</v>
      </c>
      <c r="K491">
        <v>0</v>
      </c>
      <c r="L491">
        <v>0</v>
      </c>
      <c r="M491">
        <v>14139828</v>
      </c>
      <c r="N491">
        <v>33221712</v>
      </c>
      <c r="O491">
        <v>0</v>
      </c>
      <c r="P491">
        <v>0</v>
      </c>
      <c r="Q491">
        <v>0</v>
      </c>
      <c r="R491">
        <v>0</v>
      </c>
      <c r="S491">
        <v>-13542738</v>
      </c>
      <c r="T491">
        <v>-31556274</v>
      </c>
    </row>
    <row r="492" spans="9:20" x14ac:dyDescent="0.2">
      <c r="I492" s="121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9:20" x14ac:dyDescent="0.2">
      <c r="I493" s="121">
        <v>13417</v>
      </c>
      <c r="J493">
        <v>38761.713000000003</v>
      </c>
      <c r="K493">
        <v>0</v>
      </c>
      <c r="L493">
        <v>0</v>
      </c>
      <c r="M493">
        <v>-60</v>
      </c>
      <c r="N493">
        <v>-173.34</v>
      </c>
      <c r="O493">
        <v>-3</v>
      </c>
      <c r="P493">
        <v>-8.6669999999999998</v>
      </c>
      <c r="Q493">
        <v>0</v>
      </c>
      <c r="R493">
        <v>0</v>
      </c>
      <c r="S493">
        <v>0</v>
      </c>
      <c r="T493">
        <v>0</v>
      </c>
    </row>
    <row r="494" spans="9:20" x14ac:dyDescent="0.2">
      <c r="I494" s="121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9:20" x14ac:dyDescent="0.2">
      <c r="I495" s="121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9:20" x14ac:dyDescent="0.2">
      <c r="I496" s="121">
        <v>-144170</v>
      </c>
      <c r="J496">
        <v>-416507.13</v>
      </c>
      <c r="K496">
        <v>0</v>
      </c>
      <c r="L496">
        <v>0</v>
      </c>
      <c r="M496">
        <v>-4295</v>
      </c>
      <c r="N496">
        <v>-12408.254999999999</v>
      </c>
      <c r="O496">
        <v>-30974</v>
      </c>
      <c r="P496">
        <v>-89483.885999999999</v>
      </c>
      <c r="Q496">
        <v>0</v>
      </c>
      <c r="R496">
        <v>0</v>
      </c>
      <c r="S496">
        <v>0</v>
      </c>
      <c r="T496">
        <v>0</v>
      </c>
    </row>
    <row r="497" spans="9:20" x14ac:dyDescent="0.2">
      <c r="I497" s="121">
        <v>-4</v>
      </c>
      <c r="J497">
        <v>-11.32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9:20" x14ac:dyDescent="0.2">
      <c r="I498" s="121">
        <v>0</v>
      </c>
      <c r="J498">
        <v>0</v>
      </c>
      <c r="K498">
        <v>11749</v>
      </c>
      <c r="L498">
        <v>27375.17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9:20" x14ac:dyDescent="0.2">
      <c r="I499" s="121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9:20" x14ac:dyDescent="0.2">
      <c r="I500" s="121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9:20" x14ac:dyDescent="0.2">
      <c r="I501" s="12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9:20" x14ac:dyDescent="0.2">
      <c r="I502" s="121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9:20" x14ac:dyDescent="0.2">
      <c r="I503" s="121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9:20" x14ac:dyDescent="0.2">
      <c r="I504" s="121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9:20" x14ac:dyDescent="0.2">
      <c r="I505" s="121">
        <v>-137081</v>
      </c>
      <c r="J505">
        <v>-396027.00900000002</v>
      </c>
      <c r="K505">
        <v>-784</v>
      </c>
      <c r="L505">
        <v>-2264.9760000000001</v>
      </c>
      <c r="M505">
        <v>300766</v>
      </c>
      <c r="N505">
        <v>868912.97400000005</v>
      </c>
      <c r="O505">
        <v>37961</v>
      </c>
      <c r="P505">
        <v>109669.329</v>
      </c>
      <c r="Q505">
        <v>-37500</v>
      </c>
      <c r="R505">
        <v>-108337.5</v>
      </c>
      <c r="S505">
        <v>-453263</v>
      </c>
      <c r="T505">
        <v>-1309476.807</v>
      </c>
    </row>
    <row r="506" spans="9:20" x14ac:dyDescent="0.2">
      <c r="I506" s="121">
        <v>-13417</v>
      </c>
      <c r="J506">
        <v>-38761.713000000003</v>
      </c>
      <c r="K506">
        <v>0</v>
      </c>
      <c r="L506">
        <v>0</v>
      </c>
      <c r="M506">
        <v>60</v>
      </c>
      <c r="N506">
        <v>173.34</v>
      </c>
      <c r="O506">
        <v>3</v>
      </c>
      <c r="P506">
        <v>8.6669999999999998</v>
      </c>
      <c r="Q506">
        <v>0</v>
      </c>
      <c r="R506">
        <v>0</v>
      </c>
      <c r="S506">
        <v>0</v>
      </c>
      <c r="T506">
        <v>0</v>
      </c>
    </row>
    <row r="507" spans="9:20" x14ac:dyDescent="0.2">
      <c r="I507" s="121">
        <v>-1216019</v>
      </c>
      <c r="J507">
        <v>87413.86</v>
      </c>
      <c r="K507">
        <v>-3088105</v>
      </c>
      <c r="L507">
        <v>-1038.93</v>
      </c>
      <c r="M507">
        <v>118</v>
      </c>
      <c r="N507">
        <v>-69.049999999999272</v>
      </c>
      <c r="O507">
        <v>-354808</v>
      </c>
      <c r="P507">
        <v>-405.43</v>
      </c>
      <c r="Q507">
        <v>0</v>
      </c>
      <c r="R507">
        <v>19817.599999999999</v>
      </c>
      <c r="S507">
        <v>312856</v>
      </c>
      <c r="T507">
        <v>0.5</v>
      </c>
    </row>
    <row r="508" spans="9:20" x14ac:dyDescent="0.2">
      <c r="I508" s="121">
        <v>0</v>
      </c>
      <c r="J508">
        <v>-6115.5</v>
      </c>
      <c r="K508">
        <v>0</v>
      </c>
      <c r="L508">
        <v>1038.93</v>
      </c>
      <c r="M508">
        <v>0</v>
      </c>
      <c r="N508">
        <v>0</v>
      </c>
      <c r="O508">
        <v>0</v>
      </c>
      <c r="P508">
        <v>405.43</v>
      </c>
      <c r="Q508">
        <v>0</v>
      </c>
      <c r="R508">
        <v>0</v>
      </c>
      <c r="S508">
        <v>0</v>
      </c>
      <c r="T508">
        <v>-0.5</v>
      </c>
    </row>
    <row r="509" spans="9:20" x14ac:dyDescent="0.2">
      <c r="I509" s="121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9:20" x14ac:dyDescent="0.2">
      <c r="I510" s="121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9:20" x14ac:dyDescent="0.2">
      <c r="I511" s="12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9:20" x14ac:dyDescent="0.2">
      <c r="I512" s="121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9:20" x14ac:dyDescent="0.2">
      <c r="I513" s="121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9:20" x14ac:dyDescent="0.2">
      <c r="I514" s="121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9:20" x14ac:dyDescent="0.2">
      <c r="I515" s="121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9:20" x14ac:dyDescent="0.2">
      <c r="I516" s="121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9:20" x14ac:dyDescent="0.2">
      <c r="I517" s="121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9:20" x14ac:dyDescent="0.2">
      <c r="I518" s="121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9:20" x14ac:dyDescent="0.2">
      <c r="I519" s="121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9:20" x14ac:dyDescent="0.2">
      <c r="I520" s="121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9:20" x14ac:dyDescent="0.2">
      <c r="I521" s="1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9:20" x14ac:dyDescent="0.2">
      <c r="I522" s="121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9:20" x14ac:dyDescent="0.2">
      <c r="I523" s="121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9:20" x14ac:dyDescent="0.2">
      <c r="I524" s="121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9:20" x14ac:dyDescent="0.2">
      <c r="I525" s="121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9:20" x14ac:dyDescent="0.2">
      <c r="I526" s="121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9:20" x14ac:dyDescent="0.2">
      <c r="I527" s="121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9:20" x14ac:dyDescent="0.2">
      <c r="I528" s="121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9:20" x14ac:dyDescent="0.2">
      <c r="I529" s="121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9:20" x14ac:dyDescent="0.2">
      <c r="I530" s="121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9:20" x14ac:dyDescent="0.2">
      <c r="I531" s="12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9:20" x14ac:dyDescent="0.2">
      <c r="I532" s="121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9:20" x14ac:dyDescent="0.2">
      <c r="I533" s="121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9:20" x14ac:dyDescent="0.2">
      <c r="I534" s="121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9:20" x14ac:dyDescent="0.2">
      <c r="I535" s="121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9:20" x14ac:dyDescent="0.2">
      <c r="I536" s="121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9:20" x14ac:dyDescent="0.2">
      <c r="I537" s="121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9:20" x14ac:dyDescent="0.2">
      <c r="I538" s="121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9:20" x14ac:dyDescent="0.2">
      <c r="I539" s="121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9:20" x14ac:dyDescent="0.2">
      <c r="I540" s="121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9:20" x14ac:dyDescent="0.2">
      <c r="I541" s="12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9:20" x14ac:dyDescent="0.2">
      <c r="I542" s="121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9:20" x14ac:dyDescent="0.2">
      <c r="I543" s="121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9:20" x14ac:dyDescent="0.2">
      <c r="I544" s="121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9:20" x14ac:dyDescent="0.2">
      <c r="I545" s="121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9:20" x14ac:dyDescent="0.2">
      <c r="I546" s="121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9:20" x14ac:dyDescent="0.2">
      <c r="I547" s="121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9:20" x14ac:dyDescent="0.2">
      <c r="I548" s="121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9:20" x14ac:dyDescent="0.2">
      <c r="I549" s="121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9:20" x14ac:dyDescent="0.2">
      <c r="I550" s="121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9:20" x14ac:dyDescent="0.2">
      <c r="I551" s="12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9:20" x14ac:dyDescent="0.2">
      <c r="I552" s="121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9:20" x14ac:dyDescent="0.2">
      <c r="I553" s="121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9:20" x14ac:dyDescent="0.2">
      <c r="I554" s="121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9:20" x14ac:dyDescent="0.2">
      <c r="I555" s="121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9:20" x14ac:dyDescent="0.2">
      <c r="I556" s="121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9:20" x14ac:dyDescent="0.2">
      <c r="I557" s="121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9:20" x14ac:dyDescent="0.2">
      <c r="I558" s="121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9:20" x14ac:dyDescent="0.2">
      <c r="I559" s="121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9:20" x14ac:dyDescent="0.2">
      <c r="I560" s="121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9:20" x14ac:dyDescent="0.2">
      <c r="I561" s="12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9:20" x14ac:dyDescent="0.2">
      <c r="I562" s="121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9:20" x14ac:dyDescent="0.2">
      <c r="I563" s="121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9:20" x14ac:dyDescent="0.2">
      <c r="I564" s="121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9:20" x14ac:dyDescent="0.2">
      <c r="I565" s="121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9:20" x14ac:dyDescent="0.2">
      <c r="I566" s="121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9:20" x14ac:dyDescent="0.2">
      <c r="I567" s="121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9:20" x14ac:dyDescent="0.2">
      <c r="I568" s="121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9:20" x14ac:dyDescent="0.2">
      <c r="I569" s="121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9:20" x14ac:dyDescent="0.2">
      <c r="I570" s="121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9:20" x14ac:dyDescent="0.2">
      <c r="I571" s="12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9:20" x14ac:dyDescent="0.2">
      <c r="I572" s="121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9:20" x14ac:dyDescent="0.2">
      <c r="I573" s="121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9:20" x14ac:dyDescent="0.2">
      <c r="I574" s="121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9:20" x14ac:dyDescent="0.2">
      <c r="I575" s="121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9:20" x14ac:dyDescent="0.2">
      <c r="I576" s="121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9:20" x14ac:dyDescent="0.2">
      <c r="I577" s="121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9:20" x14ac:dyDescent="0.2">
      <c r="I578" s="121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9:20" x14ac:dyDescent="0.2">
      <c r="I579" s="121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9:20" x14ac:dyDescent="0.2">
      <c r="I580" s="121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9:20" x14ac:dyDescent="0.2">
      <c r="I581" s="12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9:20" x14ac:dyDescent="0.2">
      <c r="I582" s="121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9:20" x14ac:dyDescent="0.2">
      <c r="I583" s="121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9:20" x14ac:dyDescent="0.2">
      <c r="I584" s="121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9:20" x14ac:dyDescent="0.2">
      <c r="I585" s="121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9:20" x14ac:dyDescent="0.2">
      <c r="I586" s="121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9:20" x14ac:dyDescent="0.2">
      <c r="I587" s="121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9:20" x14ac:dyDescent="0.2">
      <c r="I588" s="121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9:20" x14ac:dyDescent="0.2">
      <c r="I589" s="121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9:20" x14ac:dyDescent="0.2">
      <c r="I590" s="121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9:20" x14ac:dyDescent="0.2">
      <c r="I591" s="12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9:20" x14ac:dyDescent="0.2">
      <c r="I592" s="121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9:20" x14ac:dyDescent="0.2">
      <c r="I593" s="121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9:20" x14ac:dyDescent="0.2">
      <c r="I594" s="121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9:20" x14ac:dyDescent="0.2">
      <c r="I595" s="121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9:20" x14ac:dyDescent="0.2">
      <c r="I596" s="121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9:20" x14ac:dyDescent="0.2">
      <c r="I597" s="121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9:20" x14ac:dyDescent="0.2">
      <c r="I598" s="121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9:20" x14ac:dyDescent="0.2">
      <c r="I599" s="121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9:20" x14ac:dyDescent="0.2">
      <c r="I600" s="121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9:20" x14ac:dyDescent="0.2">
      <c r="I601" s="12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9:20" x14ac:dyDescent="0.2">
      <c r="I602" s="121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9:20" x14ac:dyDescent="0.2">
      <c r="I603" s="121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36" spans="4:31" x14ac:dyDescent="0.2">
      <c r="F636" s="218">
        <v>36465</v>
      </c>
      <c r="G636" s="219"/>
      <c r="H636" s="220">
        <f>+F636+31</f>
        <v>36496</v>
      </c>
      <c r="I636" s="221"/>
      <c r="J636" s="222">
        <f>+H636+31</f>
        <v>36527</v>
      </c>
      <c r="K636" s="223"/>
      <c r="L636" s="222">
        <f>+J636+31</f>
        <v>36558</v>
      </c>
      <c r="M636" s="223"/>
      <c r="N636" s="222">
        <f>+L636+31</f>
        <v>36589</v>
      </c>
      <c r="O636" s="223"/>
      <c r="P636" s="222">
        <f>+N636+31</f>
        <v>36620</v>
      </c>
      <c r="Q636" s="223"/>
      <c r="R636" s="222">
        <f>+P636+31</f>
        <v>36651</v>
      </c>
      <c r="S636" s="223"/>
      <c r="T636" s="222">
        <f>+R636+31</f>
        <v>36682</v>
      </c>
      <c r="U636" s="223"/>
      <c r="V636" s="222">
        <f>+T636+31</f>
        <v>36713</v>
      </c>
      <c r="W636" s="223"/>
      <c r="X636" s="222">
        <f>+V636+31</f>
        <v>36744</v>
      </c>
      <c r="Y636" s="223"/>
      <c r="Z636" s="222">
        <f>+X636+31</f>
        <v>36775</v>
      </c>
      <c r="AA636" s="223"/>
      <c r="AB636" s="222">
        <f>+Z636+31</f>
        <v>36806</v>
      </c>
      <c r="AC636" s="223"/>
      <c r="AD636" s="224"/>
      <c r="AE636" s="224"/>
    </row>
    <row r="637" spans="4:31" x14ac:dyDescent="0.2">
      <c r="F637" s="132" t="s">
        <v>22</v>
      </c>
      <c r="G637" s="167" t="s">
        <v>149</v>
      </c>
      <c r="H637" s="132" t="s">
        <v>22</v>
      </c>
      <c r="I637" s="167" t="s">
        <v>149</v>
      </c>
      <c r="J637" s="132" t="s">
        <v>22</v>
      </c>
      <c r="K637" s="132" t="s">
        <v>149</v>
      </c>
      <c r="L637" s="132" t="s">
        <v>22</v>
      </c>
      <c r="M637" s="132" t="s">
        <v>149</v>
      </c>
      <c r="N637" s="132" t="s">
        <v>22</v>
      </c>
      <c r="O637" s="132" t="s">
        <v>149</v>
      </c>
      <c r="P637" s="132" t="s">
        <v>22</v>
      </c>
      <c r="Q637" s="132" t="s">
        <v>149</v>
      </c>
      <c r="R637" s="132" t="s">
        <v>22</v>
      </c>
      <c r="S637" s="132" t="s">
        <v>149</v>
      </c>
      <c r="T637" s="132" t="s">
        <v>22</v>
      </c>
      <c r="U637" s="132" t="s">
        <v>149</v>
      </c>
      <c r="V637" s="132" t="s">
        <v>22</v>
      </c>
      <c r="W637" s="132" t="s">
        <v>149</v>
      </c>
      <c r="X637" s="132" t="s">
        <v>22</v>
      </c>
      <c r="Y637" s="132" t="s">
        <v>149</v>
      </c>
      <c r="Z637" s="132" t="s">
        <v>22</v>
      </c>
      <c r="AA637" s="132" t="s">
        <v>149</v>
      </c>
      <c r="AB637" s="132" t="s">
        <v>22</v>
      </c>
      <c r="AC637" s="132" t="s">
        <v>149</v>
      </c>
      <c r="AD637" s="125"/>
      <c r="AE637" s="125"/>
    </row>
    <row r="638" spans="4:31" x14ac:dyDescent="0.2">
      <c r="D638" s="133" t="s">
        <v>113</v>
      </c>
      <c r="E638" s="134"/>
      <c r="F638" s="135">
        <f>BUG_GL!H82</f>
        <v>0</v>
      </c>
      <c r="G638" s="136">
        <f>BUG_GL!I82</f>
        <v>954385</v>
      </c>
      <c r="H638" s="159">
        <f>BUG_GL!J82</f>
        <v>0</v>
      </c>
      <c r="I638" s="136">
        <f>BUG_GL!K82</f>
        <v>813122</v>
      </c>
      <c r="J638" s="135">
        <f>BUG_GL!L82</f>
        <v>0</v>
      </c>
      <c r="K638" s="136">
        <f>BUG_GL!M82</f>
        <v>4718983.5199999996</v>
      </c>
      <c r="L638" s="135">
        <f>BUG_GL!N82</f>
        <v>0</v>
      </c>
      <c r="M638" s="136">
        <f>BUG_GL!O82</f>
        <v>-818047.29500000004</v>
      </c>
      <c r="N638" s="135">
        <f>BUG_GL!P82</f>
        <v>0</v>
      </c>
      <c r="O638" s="136">
        <f>BUG_GL!Q82</f>
        <v>-2632711.7049999991</v>
      </c>
      <c r="P638" s="135">
        <f>BUG_GL!R82</f>
        <v>0</v>
      </c>
      <c r="Q638" s="136">
        <f>BUG_GL!S82</f>
        <v>398.05500000000012</v>
      </c>
      <c r="R638" s="135">
        <f>BUG_GL!T82</f>
        <v>0</v>
      </c>
      <c r="S638" s="136">
        <f>BUG_GL!U82</f>
        <v>69253.060000000012</v>
      </c>
      <c r="T638" s="135">
        <f>BUG_GL!V82</f>
        <v>0</v>
      </c>
      <c r="U638" s="135">
        <f>BUG_GL!W82</f>
        <v>-72847.824999998731</v>
      </c>
      <c r="V638" s="135">
        <f>BUG_GL!X82</f>
        <v>0</v>
      </c>
      <c r="W638" s="135">
        <f>BUG_GL!Y82</f>
        <v>460958</v>
      </c>
      <c r="X638" s="135">
        <f>BUG_GL!Z82</f>
        <v>0</v>
      </c>
      <c r="Y638" s="135">
        <f>BUG_GL!AA82</f>
        <v>0</v>
      </c>
      <c r="Z638" s="135">
        <f>BUG_GL!AB82</f>
        <v>0</v>
      </c>
      <c r="AA638" s="135">
        <f>BUG_GL!AC82</f>
        <v>0</v>
      </c>
      <c r="AB638" s="135">
        <f>BUG_GL!AD82</f>
        <v>0</v>
      </c>
      <c r="AC638" s="137">
        <f>BUG_GL!AE82</f>
        <v>0</v>
      </c>
      <c r="AD638" s="126"/>
      <c r="AE638" s="126"/>
    </row>
    <row r="639" spans="4:31" x14ac:dyDescent="0.2">
      <c r="D639" s="133" t="s">
        <v>141</v>
      </c>
      <c r="E639" s="134"/>
      <c r="F639" s="135">
        <f>CE_GL!H82</f>
        <v>0</v>
      </c>
      <c r="G639" s="190">
        <f>CE_GL!I82</f>
        <v>-6140831.6690000053</v>
      </c>
      <c r="H639" s="159">
        <f>CE_GL!J82</f>
        <v>0</v>
      </c>
      <c r="I639" s="136">
        <f>CE_GL!K82</f>
        <v>-1068200.4719999889</v>
      </c>
      <c r="J639" s="135">
        <f>CE_GL!L82</f>
        <v>0</v>
      </c>
      <c r="K639" s="136">
        <f>CE_GL!M82</f>
        <v>-5502601.7420000071</v>
      </c>
      <c r="L639" s="135">
        <f>CE_GL!N82</f>
        <v>0</v>
      </c>
      <c r="M639" s="136">
        <f>CE_GL!O82</f>
        <v>13809.304499999993</v>
      </c>
      <c r="N639" s="135">
        <f>CE_GL!P82</f>
        <v>0</v>
      </c>
      <c r="O639" s="136">
        <f>CE_GL!Q82</f>
        <v>1648977.598999992</v>
      </c>
      <c r="P639" s="135">
        <f>CE_GL!R82</f>
        <v>0</v>
      </c>
      <c r="Q639" s="136">
        <f>CE_GL!S82</f>
        <v>10352.8845</v>
      </c>
      <c r="R639" s="135">
        <f>CE_GL!T82</f>
        <v>0</v>
      </c>
      <c r="S639" s="136">
        <f>CE_GL!U82</f>
        <v>141085.38999999996</v>
      </c>
      <c r="T639" s="135">
        <f>CE_GL!V82</f>
        <v>0</v>
      </c>
      <c r="U639" s="135">
        <f>CE_GL!W82</f>
        <v>-180952.0099999989</v>
      </c>
      <c r="V639" s="135">
        <f>CE_GL!X82</f>
        <v>0</v>
      </c>
      <c r="W639" s="135">
        <f>CE_GL!Y82</f>
        <v>1808068.9499999997</v>
      </c>
      <c r="X639" s="135">
        <f>CE_GL!Z82</f>
        <v>0</v>
      </c>
      <c r="Y639" s="135">
        <f>CE_GL!AA82</f>
        <v>-1029364.6199999996</v>
      </c>
      <c r="Z639" s="135">
        <f>CE_GL!AB82</f>
        <v>0</v>
      </c>
      <c r="AA639" s="135">
        <f>CE_GL!AC82</f>
        <v>-15.32</v>
      </c>
      <c r="AB639" s="135">
        <f>CE_GL!AD82</f>
        <v>0</v>
      </c>
      <c r="AC639" s="137">
        <f>CE_GL!AE82</f>
        <v>0</v>
      </c>
    </row>
    <row r="640" spans="4:31" x14ac:dyDescent="0.2">
      <c r="D640" s="133" t="s">
        <v>142</v>
      </c>
      <c r="E640" s="134"/>
      <c r="F640" s="135">
        <f>+'EAST-EGM-GL'!H82</f>
        <v>0</v>
      </c>
      <c r="G640" s="136">
        <f>+'EAST-EGM-GL'!I82</f>
        <v>-13033981.404999932</v>
      </c>
      <c r="H640" s="159">
        <f>+'EAST-EGM-GL'!J82</f>
        <v>0</v>
      </c>
      <c r="I640" s="159">
        <f>+'EAST-EGM-GL'!K82</f>
        <v>2605541.3099999991</v>
      </c>
      <c r="J640" s="135">
        <f>+'EAST-EGM-GL'!L82</f>
        <v>0</v>
      </c>
      <c r="K640" s="136">
        <f>+'EAST-EGM-GL'!M82</f>
        <v>-201299.53999998927</v>
      </c>
      <c r="L640" s="135">
        <f>+'EAST-EGM-GL'!N82</f>
        <v>0</v>
      </c>
      <c r="M640" s="136">
        <f>+'EAST-EGM-GL'!O82</f>
        <v>1493983.92</v>
      </c>
      <c r="N640" s="135">
        <f>+'EAST-EGM-GL'!P82</f>
        <v>0</v>
      </c>
      <c r="O640" s="136">
        <f>+'EAST-EGM-GL'!Q82</f>
        <v>-210296.27500001679</v>
      </c>
      <c r="P640" s="135">
        <f>+'EAST-EGM-GL'!R82</f>
        <v>0</v>
      </c>
      <c r="Q640" s="136">
        <f>+'EAST-EGM-GL'!S82</f>
        <v>597708.92499999993</v>
      </c>
      <c r="R640" s="135">
        <f>+'EAST-EGM-GL'!T82</f>
        <v>0</v>
      </c>
      <c r="S640" s="136">
        <f>+'EAST-EGM-GL'!U82</f>
        <v>56870.269999999728</v>
      </c>
      <c r="T640" s="135">
        <f>+'EAST-EGM-GL'!V82</f>
        <v>0</v>
      </c>
      <c r="U640" s="135">
        <f>+'EAST-EGM-GL'!W82</f>
        <v>-279379.09499999858</v>
      </c>
      <c r="V640" s="135">
        <f>+'EAST-EGM-GL'!X82</f>
        <v>0</v>
      </c>
      <c r="W640" s="135">
        <f>+'EAST-EGM-GL'!Y82</f>
        <v>-462990.63</v>
      </c>
      <c r="X640" s="135">
        <f>+'EAST-EGM-GL'!Z82</f>
        <v>0</v>
      </c>
      <c r="Y640" s="135">
        <f>+'EAST-EGM-GL'!AA82</f>
        <v>40914.219999999841</v>
      </c>
      <c r="Z640" s="135">
        <f>+'EAST-EGM-GL'!AB82</f>
        <v>0</v>
      </c>
      <c r="AA640" s="135">
        <f>+'EAST-EGM-GL'!AC82</f>
        <v>-3849</v>
      </c>
      <c r="AB640" s="135">
        <f>+'EAST-EGM-GL'!AD82</f>
        <v>0</v>
      </c>
      <c r="AC640" s="137">
        <f>+'EAST-EGM-GL'!AE82</f>
        <v>0</v>
      </c>
      <c r="AD640" s="14"/>
      <c r="AE640" s="14"/>
    </row>
    <row r="641" spans="4:31" x14ac:dyDescent="0.2">
      <c r="D641" s="133" t="s">
        <v>150</v>
      </c>
      <c r="E641" s="134"/>
      <c r="F641" s="135">
        <f>+'EAST-LRC-GL'!H82</f>
        <v>0</v>
      </c>
      <c r="G641" s="136">
        <f>+'EAST-LRC-GL'!I82</f>
        <v>4121492.3849999974</v>
      </c>
      <c r="H641" s="159">
        <f>+'EAST-LRC-GL'!J82</f>
        <v>0</v>
      </c>
      <c r="I641" s="159">
        <f>+'EAST-LRC-GL'!K82</f>
        <v>1064919.6749999996</v>
      </c>
      <c r="J641" s="135">
        <f>+'EAST-LRC-GL'!L82</f>
        <v>0</v>
      </c>
      <c r="K641" s="136">
        <f>+'EAST-LRC-GL'!M82</f>
        <v>-135475.62500000003</v>
      </c>
      <c r="L641" s="135">
        <f>+'EAST-LRC-GL'!N82</f>
        <v>0</v>
      </c>
      <c r="M641" s="136">
        <f>+'EAST-LRC-GL'!O82</f>
        <v>81060.069999999992</v>
      </c>
      <c r="N641" s="135">
        <f>+'EAST-LRC-GL'!P82</f>
        <v>0</v>
      </c>
      <c r="O641" s="136">
        <f>+'EAST-LRC-GL'!Q82</f>
        <v>-99120.860000000015</v>
      </c>
      <c r="P641" s="135">
        <f>+'EAST-LRC-GL'!R82</f>
        <v>0</v>
      </c>
      <c r="Q641" s="136">
        <f>+'EAST-LRC-GL'!S82</f>
        <v>148102.54500000007</v>
      </c>
      <c r="R641" s="135">
        <f>+'EAST-LRC-GL'!T82</f>
        <v>0</v>
      </c>
      <c r="S641" s="136">
        <f>+'EAST-LRC-GL'!U82</f>
        <v>-91745.14</v>
      </c>
      <c r="T641" s="135">
        <f>+'EAST-LRC-GL'!V82</f>
        <v>0</v>
      </c>
      <c r="U641" s="135">
        <f>+'EAST-LRC-GL'!W82</f>
        <v>0</v>
      </c>
      <c r="V641" s="135">
        <f>+'EAST-LRC-GL'!X82</f>
        <v>0</v>
      </c>
      <c r="W641" s="135">
        <f>+'EAST-LRC-GL'!Y82</f>
        <v>0</v>
      </c>
      <c r="X641" s="135">
        <f>+'EAST-LRC-GL'!Z82</f>
        <v>0</v>
      </c>
      <c r="Y641" s="135">
        <f>+'EAST-LRC-GL'!AA82</f>
        <v>0</v>
      </c>
      <c r="Z641" s="135">
        <f>+'EAST-LRC-GL'!AB82</f>
        <v>0</v>
      </c>
      <c r="AA641" s="135">
        <f>+'EAST-LRC-GL'!AC82</f>
        <v>0</v>
      </c>
      <c r="AB641" s="135">
        <f>+'EAST-LRC-GL'!AD82</f>
        <v>0</v>
      </c>
      <c r="AC641" s="137">
        <f>+'EAST-LRC-GL'!AE82</f>
        <v>0</v>
      </c>
      <c r="AD641" s="14"/>
      <c r="AE641" s="14"/>
    </row>
    <row r="642" spans="4:31" x14ac:dyDescent="0.2">
      <c r="D642" s="133" t="s">
        <v>151</v>
      </c>
      <c r="E642" s="134"/>
      <c r="F642" s="135">
        <f>+'BGC-EGM-GL'!H82</f>
        <v>0</v>
      </c>
      <c r="G642" s="159">
        <f>+'BGC-EGM-GL'!I82</f>
        <v>0</v>
      </c>
      <c r="H642" s="159">
        <f>+'BGC-EGM-GL'!J82</f>
        <v>0</v>
      </c>
      <c r="I642" s="159">
        <f>+'BGC-EGM-GL'!K82</f>
        <v>0</v>
      </c>
      <c r="J642" s="135">
        <f>+'BGC-EGM-GL'!L82</f>
        <v>0</v>
      </c>
      <c r="K642" s="135">
        <f>+'BGC-EGM-GL'!M82</f>
        <v>0</v>
      </c>
      <c r="L642" s="135">
        <f>+'BGC-EGM-GL'!N82</f>
        <v>0</v>
      </c>
      <c r="M642" s="135">
        <f>+'BGC-EGM-GL'!O82</f>
        <v>0</v>
      </c>
      <c r="N642" s="135">
        <f>+'BGC-EGM-GL'!P82</f>
        <v>0</v>
      </c>
      <c r="O642" s="135">
        <f>+'BGC-EGM-GL'!Q82</f>
        <v>0</v>
      </c>
      <c r="P642" s="135">
        <f>+'BGC-EGM-GL'!R82</f>
        <v>0</v>
      </c>
      <c r="Q642" s="135">
        <f>+'BGC-EGM-GL'!S82</f>
        <v>0</v>
      </c>
      <c r="R642" s="135">
        <f>+'BGC-EGM-GL'!T82</f>
        <v>0</v>
      </c>
      <c r="S642" s="135">
        <f>+'BGC-EGM-GL'!U82</f>
        <v>0</v>
      </c>
      <c r="T642" s="135">
        <f>+'BGC-EGM-GL'!V82</f>
        <v>0</v>
      </c>
      <c r="U642" s="135">
        <f>+'BGC-EGM-GL'!W82</f>
        <v>0</v>
      </c>
      <c r="V642" s="135">
        <f>+'BGC-EGM-GL'!X82</f>
        <v>0</v>
      </c>
      <c r="W642" s="135">
        <f>+'BGC-EGM-GL'!Y82</f>
        <v>0</v>
      </c>
      <c r="X642" s="135">
        <f>+'BGC-EGM-GL'!Z82</f>
        <v>0</v>
      </c>
      <c r="Y642" s="135">
        <f>+'BGC-EGM-GL'!AA82</f>
        <v>0</v>
      </c>
      <c r="Z642" s="135">
        <f>+'BGC-EGM-GL'!AB82</f>
        <v>0</v>
      </c>
      <c r="AA642" s="135">
        <f>+'BGC-EGM-GL'!AC82</f>
        <v>0</v>
      </c>
      <c r="AB642" s="135">
        <f>+'BGC-EGM-GL'!AD82</f>
        <v>0</v>
      </c>
      <c r="AC642" s="137">
        <f>+'BGC-EGM-GL'!AE82</f>
        <v>0</v>
      </c>
      <c r="AD642" s="14"/>
      <c r="AE642" s="14"/>
    </row>
    <row r="643" spans="4:31" x14ac:dyDescent="0.2">
      <c r="D643" s="133" t="s">
        <v>152</v>
      </c>
      <c r="E643" s="134"/>
      <c r="F643" s="135">
        <f>+'EAST-CON-GL '!H82</f>
        <v>0</v>
      </c>
      <c r="G643" s="159">
        <f>+'EAST-CON-GL '!I82</f>
        <v>-8912489.0199999437</v>
      </c>
      <c r="H643" s="159">
        <f>+'EAST-CON-GL '!J82</f>
        <v>0</v>
      </c>
      <c r="I643" s="159">
        <f>+'EAST-CON-GL '!K82</f>
        <v>3670460.9850000031</v>
      </c>
      <c r="J643" s="135">
        <f>+'EAST-CON-GL '!L82</f>
        <v>0</v>
      </c>
      <c r="K643" s="136">
        <f>+'EAST-CON-GL '!M82</f>
        <v>-336775.16500000271</v>
      </c>
      <c r="L643" s="135">
        <f>+'EAST-CON-GL '!N82</f>
        <v>0</v>
      </c>
      <c r="M643" s="136">
        <f>+'EAST-CON-GL '!O82</f>
        <v>1575043.98</v>
      </c>
      <c r="N643" s="135">
        <f>+'EAST-CON-GL '!P82</f>
        <v>0</v>
      </c>
      <c r="O643" s="136">
        <f>+'EAST-CON-GL '!Q82</f>
        <v>-309417.13500003074</v>
      </c>
      <c r="P643" s="135">
        <f>+'EAST-CON-GL '!R82</f>
        <v>0</v>
      </c>
      <c r="Q643" s="135">
        <f>+'EAST-CON-GL '!S82</f>
        <v>745811.46999999986</v>
      </c>
      <c r="R643" s="135">
        <f>+'EAST-CON-GL '!T82</f>
        <v>0</v>
      </c>
      <c r="S643" s="135">
        <f>+'EAST-CON-GL '!U82</f>
        <v>-34874.869999999952</v>
      </c>
      <c r="T643" s="135">
        <f>+'EAST-CON-GL '!V82</f>
        <v>0</v>
      </c>
      <c r="U643" s="135">
        <f>+'EAST-CON-GL '!W82</f>
        <v>-279379.09499999858</v>
      </c>
      <c r="V643" s="135">
        <f>+'EAST-CON-GL '!X82</f>
        <v>0</v>
      </c>
      <c r="W643" s="135">
        <f>+'EAST-CON-GL '!Y82</f>
        <v>-462990.63</v>
      </c>
      <c r="X643" s="135">
        <f>+'EAST-CON-GL '!Z82</f>
        <v>0</v>
      </c>
      <c r="Y643" s="135">
        <f>+'EAST-CON-GL '!AA82</f>
        <v>40914.219999999841</v>
      </c>
      <c r="Z643" s="135">
        <f>+'EAST-CON-GL '!AB82</f>
        <v>0</v>
      </c>
      <c r="AA643" s="135">
        <f>+'EAST-CON-GL '!AC82</f>
        <v>-3848.9999999999982</v>
      </c>
      <c r="AB643" s="135">
        <f>+'EAST-CON-GL '!AD82</f>
        <v>0</v>
      </c>
      <c r="AC643" s="137">
        <f>+'EAST-CON-GL '!AE82</f>
        <v>0</v>
      </c>
      <c r="AD643" s="14"/>
      <c r="AE643" s="14"/>
    </row>
    <row r="644" spans="4:31" x14ac:dyDescent="0.2">
      <c r="D644" s="133" t="s">
        <v>153</v>
      </c>
      <c r="E644" s="134"/>
      <c r="F644" s="135">
        <f>+'TX-EGM-GL'!H82</f>
        <v>0</v>
      </c>
      <c r="G644" s="136">
        <f>+'TX-EGM-GL'!I82</f>
        <v>2465731.790999996</v>
      </c>
      <c r="H644" s="159">
        <f>+'TX-EGM-GL'!J82</f>
        <v>0</v>
      </c>
      <c r="I644" s="136">
        <f>+'TX-EGM-GL'!K91</f>
        <v>5066304.2640000004</v>
      </c>
      <c r="J644" s="135">
        <f>+'TX-EGM-GL'!L82</f>
        <v>0</v>
      </c>
      <c r="K644" s="136">
        <f>+'TX-EGM-GL'!M82</f>
        <v>342222.80800000107</v>
      </c>
      <c r="L644" s="135">
        <f>+'TX-EGM-GL'!N82</f>
        <v>0</v>
      </c>
      <c r="M644" s="136">
        <f>+'TX-EGM-GL'!O82</f>
        <v>374949.01899999985</v>
      </c>
      <c r="N644" s="135">
        <f>+'TX-EGM-GL'!P82</f>
        <v>0</v>
      </c>
      <c r="O644" s="136">
        <f>+'TX-EGM-GL'!Q82</f>
        <v>319958.61000000004</v>
      </c>
      <c r="P644" s="135">
        <f>+'TX-EGM-GL'!R82</f>
        <v>0</v>
      </c>
      <c r="Q644" s="136">
        <f>+'TX-EGM-GL'!S82</f>
        <v>18905.919999999998</v>
      </c>
      <c r="R644" s="135">
        <f>+'TX-EGM-GL'!T82</f>
        <v>0</v>
      </c>
      <c r="S644" s="136">
        <f>+'TX-EGM-GL'!U82</f>
        <v>-1161074.26</v>
      </c>
      <c r="T644" s="135">
        <f>+'TX-EGM-GL'!V82</f>
        <v>0</v>
      </c>
      <c r="U644" s="135">
        <f>+'TX-EGM-GL'!W82</f>
        <v>-10955.059999999925</v>
      </c>
      <c r="V644" s="135">
        <f>+'TX-EGM-GL'!X82</f>
        <v>0</v>
      </c>
      <c r="W644" s="135">
        <f>+'TX-EGM-GL'!Y82</f>
        <v>9861.8899999999976</v>
      </c>
      <c r="X644" s="135">
        <f>+'TX-EGM-GL'!Z82</f>
        <v>0</v>
      </c>
      <c r="Y644" s="135">
        <f>+'TX-EGM-GL'!AA82</f>
        <v>-5853.49</v>
      </c>
      <c r="Z644" s="135">
        <f>+'TX-EGM-GL'!AB82</f>
        <v>0</v>
      </c>
      <c r="AA644" s="135">
        <f>+'TX-EGM-GL'!AC82</f>
        <v>6.47</v>
      </c>
      <c r="AB644" s="135">
        <f>+'TX-EGM-GL'!AD82</f>
        <v>0</v>
      </c>
      <c r="AC644" s="137">
        <f>+'TX-EGM-GL'!AE82</f>
        <v>0</v>
      </c>
      <c r="AD644" s="14"/>
      <c r="AE644" s="14"/>
    </row>
    <row r="645" spans="4:31" x14ac:dyDescent="0.2">
      <c r="D645" s="133" t="s">
        <v>181</v>
      </c>
      <c r="E645" s="134"/>
      <c r="F645" s="135">
        <f>+'TX-HPLR-GL '!H82</f>
        <v>0</v>
      </c>
      <c r="G645" s="136">
        <f>+'TX-HPLR-GL '!I82</f>
        <v>-482.72999999998137</v>
      </c>
      <c r="H645" s="159">
        <f>+'TX-HPLR-GL '!J82</f>
        <v>0</v>
      </c>
      <c r="I645" s="136">
        <f>+'TX-HPLR-GL '!K82</f>
        <v>3178.5200000000004</v>
      </c>
      <c r="J645" s="135">
        <f>+'TX-HPLR-GL '!L82</f>
        <v>0</v>
      </c>
      <c r="K645" s="136">
        <f>+'TX-HPLR-GL '!M82</f>
        <v>9717.56</v>
      </c>
      <c r="L645" s="135">
        <f>+'TX-HPLR-GL '!N82</f>
        <v>0</v>
      </c>
      <c r="M645" s="135">
        <f>+'TX-HPLR-GL '!O82</f>
        <v>0</v>
      </c>
      <c r="N645" s="135">
        <f>+'TX-HPLR-GL '!P82</f>
        <v>0</v>
      </c>
      <c r="O645" s="136">
        <f>+'TX-HPLR-GL '!Q82</f>
        <v>-617.94000000000005</v>
      </c>
      <c r="P645" s="135">
        <f>+'TX-HPLR-GL '!R82</f>
        <v>0</v>
      </c>
      <c r="Q645" s="135">
        <f>+'TX-HPLR-GL '!S82</f>
        <v>0</v>
      </c>
      <c r="R645" s="135">
        <f>+'TX-HPLR-GL '!T82</f>
        <v>0</v>
      </c>
      <c r="S645" s="135">
        <f>+'TX-HPLR-GL '!U82</f>
        <v>618</v>
      </c>
      <c r="T645" s="135">
        <f>+'TX-HPLR-GL '!V82</f>
        <v>0</v>
      </c>
      <c r="U645" s="135">
        <f>+'TX-HPLR-GL '!W82</f>
        <v>2600</v>
      </c>
      <c r="V645" s="135">
        <f>+'TX-HPLR-GL '!X82</f>
        <v>0</v>
      </c>
      <c r="W645" s="135">
        <f>+'TX-HPLR-GL '!Y82</f>
        <v>-308.27999999999997</v>
      </c>
      <c r="X645" s="135">
        <f>+'TX-HPLR-GL '!Z82</f>
        <v>0</v>
      </c>
      <c r="Y645" s="135">
        <f>+'TX-HPLR-GL '!AA82</f>
        <v>616.54</v>
      </c>
      <c r="Z645" s="135">
        <f>+'TX-HPLR-GL '!AB82</f>
        <v>0</v>
      </c>
      <c r="AA645" s="135">
        <f>+'TX-HPLR-GL '!AC82</f>
        <v>0</v>
      </c>
      <c r="AB645" s="135">
        <f>+'TX-HPLR-GL '!AD82</f>
        <v>0</v>
      </c>
      <c r="AC645" s="137">
        <f>+'TX-HPLR-GL '!AE82</f>
        <v>0</v>
      </c>
      <c r="AD645" s="14"/>
      <c r="AE645" s="14"/>
    </row>
    <row r="646" spans="4:31" x14ac:dyDescent="0.2">
      <c r="D646" s="133" t="s">
        <v>180</v>
      </c>
      <c r="E646" s="134"/>
      <c r="F646" s="135">
        <f>+'TX-HPLC-GL'!H82</f>
        <v>0</v>
      </c>
      <c r="G646" s="136">
        <f>+'TX-HPLC-GL'!I82</f>
        <v>3127324</v>
      </c>
      <c r="H646" s="159">
        <f>+'TX-HPLC-GL'!J82</f>
        <v>0</v>
      </c>
      <c r="I646" s="159">
        <f>+'TX-HPLC-GL'!K82</f>
        <v>-3064073</v>
      </c>
      <c r="J646" s="135">
        <f>+'TX-HPLC-GL'!L82</f>
        <v>0</v>
      </c>
      <c r="K646" s="136">
        <f>+'TX-HPLC-GL'!M82</f>
        <v>1433167</v>
      </c>
      <c r="L646" s="135">
        <f>+'TX-HPLC-GL'!N82</f>
        <v>0</v>
      </c>
      <c r="M646" s="135">
        <f>+'TX-HPLC-GL'!O82</f>
        <v>-1651722</v>
      </c>
      <c r="N646" s="135">
        <f>+'TX-HPLC-GL'!P82</f>
        <v>0</v>
      </c>
      <c r="O646" s="136">
        <f>+'TX-HPLC-GL'!Q82</f>
        <v>-114622</v>
      </c>
      <c r="P646" s="135">
        <f>+'TX-HPLC-GL'!R82</f>
        <v>0</v>
      </c>
      <c r="Q646" s="135">
        <f>+'TX-HPLC-GL'!S82</f>
        <v>31070</v>
      </c>
      <c r="R646" s="135">
        <f>+'TX-HPLC-GL'!T82</f>
        <v>0</v>
      </c>
      <c r="S646" s="136">
        <f>+'TX-HPLC-GL'!U82</f>
        <v>-255194</v>
      </c>
      <c r="T646" s="135">
        <f>+'TX-HPLC-GL'!V82</f>
        <v>0</v>
      </c>
      <c r="U646" s="135">
        <f>+'TX-HPLC-GL'!W82</f>
        <v>-2037</v>
      </c>
      <c r="V646" s="135">
        <f>+'TX-HPLC-GL'!X82</f>
        <v>0</v>
      </c>
      <c r="W646" s="135">
        <f>+'TX-HPLC-GL'!Y82</f>
        <v>-5412.8800000000156</v>
      </c>
      <c r="X646" s="135">
        <f>+'TX-HPLC-GL'!Z82</f>
        <v>0</v>
      </c>
      <c r="Y646" s="135">
        <f>+'TX-HPLC-GL'!AA82</f>
        <v>2686.3500000000031</v>
      </c>
      <c r="Z646" s="135">
        <f>+'TX-HPLC-GL'!AB82</f>
        <v>0</v>
      </c>
      <c r="AA646" s="135">
        <f>+'TX-HPLC-GL'!AC82</f>
        <v>7426.4999999999982</v>
      </c>
      <c r="AB646" s="135">
        <f>+'TX-HPLC-GL'!AD82</f>
        <v>0</v>
      </c>
      <c r="AC646" s="135">
        <f>+'TX-HPLC-GL'!AE82</f>
        <v>0</v>
      </c>
      <c r="AD646" s="14"/>
      <c r="AE646" s="14"/>
    </row>
    <row r="647" spans="4:31" x14ac:dyDescent="0.2">
      <c r="D647" s="133" t="s">
        <v>154</v>
      </c>
      <c r="E647" s="134"/>
      <c r="F647" s="135">
        <f>+'TX-CON-GL '!H82</f>
        <v>0</v>
      </c>
      <c r="G647" s="159">
        <f>+'TX-CON-GL '!I82</f>
        <v>5592573.0610000044</v>
      </c>
      <c r="H647" s="159">
        <f>+'TX-CON-GL '!J82</f>
        <v>0</v>
      </c>
      <c r="I647" s="136">
        <f>+'TX-CON-GL '!K82</f>
        <v>2005409.7840000002</v>
      </c>
      <c r="J647" s="135">
        <f>+'TX-CON-GL '!L82</f>
        <v>0</v>
      </c>
      <c r="K647" s="135">
        <f>+'TX-CON-GL '!M82</f>
        <v>351940.36800000106</v>
      </c>
      <c r="L647" s="135">
        <f>+'TX-CON-GL '!N82</f>
        <v>0</v>
      </c>
      <c r="M647" s="135">
        <f>+'TX-CON-GL '!O82</f>
        <v>374949.01899999985</v>
      </c>
      <c r="N647" s="135">
        <f>+'TX-CON-GL '!P82</f>
        <v>0</v>
      </c>
      <c r="O647" s="136">
        <f>+'TX-CON-GL '!Q82</f>
        <v>319340.67000000004</v>
      </c>
      <c r="P647" s="135">
        <f>+'TX-CON-GL '!R82</f>
        <v>0</v>
      </c>
      <c r="Q647" s="135">
        <f>+'TX-CON-GL '!S82</f>
        <v>18905.919999999998</v>
      </c>
      <c r="R647" s="135">
        <f>+'TX-CON-GL '!T82</f>
        <v>0</v>
      </c>
      <c r="S647" s="135">
        <f>+'TX-CON-GL '!U82</f>
        <v>-1160456.26</v>
      </c>
      <c r="T647" s="135">
        <f>+'TX-CON-GL '!V82</f>
        <v>0</v>
      </c>
      <c r="U647" s="135">
        <f>+'TX-CON-GL '!W82</f>
        <v>-8355.0599999999267</v>
      </c>
      <c r="V647" s="135">
        <f>+'TX-CON-GL '!X82</f>
        <v>0</v>
      </c>
      <c r="W647" s="135">
        <f>+'TX-CON-GL '!Y82</f>
        <v>9553.6099999999988</v>
      </c>
      <c r="X647" s="135">
        <f>+'TX-CON-GL '!Z82</f>
        <v>0</v>
      </c>
      <c r="Y647" s="135">
        <f>+'TX-CON-GL '!AA82</f>
        <v>-5236.9500000000007</v>
      </c>
      <c r="Z647" s="135">
        <f>+'TX-CON-GL '!AB82</f>
        <v>0</v>
      </c>
      <c r="AA647" s="135">
        <f>+'TX-CON-GL '!AC82</f>
        <v>6.47</v>
      </c>
      <c r="AB647" s="135">
        <f>+'TX-CON-GL '!AD82</f>
        <v>0</v>
      </c>
      <c r="AC647" s="137">
        <f>+'TX-CON-GL '!AE82</f>
        <v>0</v>
      </c>
      <c r="AD647" s="14"/>
      <c r="AE647" s="14"/>
    </row>
    <row r="648" spans="4:31" x14ac:dyDescent="0.2">
      <c r="D648" s="133" t="s">
        <v>144</v>
      </c>
      <c r="E648" s="134"/>
      <c r="F648" s="135">
        <f>+'WE-GL '!H82</f>
        <v>0</v>
      </c>
      <c r="G648" s="136">
        <f>+'WE-GL '!I82</f>
        <v>-4793454.6619999968</v>
      </c>
      <c r="H648" s="159">
        <f>+'WE-GL '!J82</f>
        <v>0</v>
      </c>
      <c r="I648" s="136">
        <f>+'WE-GL '!K82</f>
        <v>-3107952.8140000007</v>
      </c>
      <c r="J648" s="135">
        <f>+'WE-GL '!L82</f>
        <v>0</v>
      </c>
      <c r="K648" s="136">
        <f>+'WE-GL '!M82</f>
        <v>157180.01099999889</v>
      </c>
      <c r="L648" s="135">
        <f>+'WE-GL '!N82</f>
        <v>0</v>
      </c>
      <c r="M648" s="136">
        <f>+'WE-GL '!O82</f>
        <v>-34144.616000000002</v>
      </c>
      <c r="N648" s="135">
        <f>+'WE-GL '!P82</f>
        <v>0</v>
      </c>
      <c r="O648" s="136">
        <f>+'WE-GL '!Q82</f>
        <v>270003.12900000112</v>
      </c>
      <c r="P648" s="135">
        <f>+'WE-GL '!R82</f>
        <v>0</v>
      </c>
      <c r="Q648" s="136">
        <f>+'WE-GL '!S82</f>
        <v>1673.3730000000055</v>
      </c>
      <c r="R648" s="135">
        <f>+'WE-GL '!T82</f>
        <v>0</v>
      </c>
      <c r="S648" s="136">
        <f>+'WE-GL '!U82</f>
        <v>506315.6</v>
      </c>
      <c r="T648" s="135">
        <f>+'WE-GL '!V82</f>
        <v>0</v>
      </c>
      <c r="U648" s="135">
        <f>+'WE-GL '!W82</f>
        <v>-30343.646999999881</v>
      </c>
      <c r="V648" s="135">
        <f>+'WE-GL '!X82</f>
        <v>0</v>
      </c>
      <c r="W648" s="135">
        <f>+'WE-GL '!Y82</f>
        <v>-148615.94</v>
      </c>
      <c r="X648" s="135">
        <f>+'WE-GL '!Z82</f>
        <v>0</v>
      </c>
      <c r="Y648" s="135">
        <f>+'WE-GL '!AA82</f>
        <v>2.89</v>
      </c>
      <c r="Z648" s="135">
        <f>+'WE-GL '!AB82</f>
        <v>0</v>
      </c>
      <c r="AA648" s="135">
        <f>+'WE-GL '!AC82</f>
        <v>-442.94</v>
      </c>
      <c r="AB648" s="135">
        <f>+'WE-GL '!AD82</f>
        <v>0</v>
      </c>
      <c r="AC648" s="137">
        <f>+'WE-GL '!AE82</f>
        <v>0</v>
      </c>
      <c r="AD648" s="14"/>
      <c r="AE648" s="14"/>
    </row>
    <row r="649" spans="4:31" x14ac:dyDescent="0.2">
      <c r="D649" t="s">
        <v>146</v>
      </c>
      <c r="F649" s="138">
        <f>+STG_GL!H82</f>
        <v>0</v>
      </c>
      <c r="G649" s="160">
        <f>+STG_GL!I82</f>
        <v>0</v>
      </c>
      <c r="H649" s="160">
        <f>+STG_GL!J82</f>
        <v>0</v>
      </c>
      <c r="I649" s="160">
        <f>+STG_GL!K82</f>
        <v>-595057</v>
      </c>
      <c r="J649" s="138">
        <f>+STG_GL!L82</f>
        <v>0</v>
      </c>
      <c r="K649" s="138">
        <f>+STG_GL!M82</f>
        <v>-2509306</v>
      </c>
      <c r="L649" s="138">
        <f>+STG_GL!N82</f>
        <v>0</v>
      </c>
      <c r="M649" s="138">
        <f>+STG_GL!O82</f>
        <v>0</v>
      </c>
      <c r="N649" s="138">
        <f>+STG_GL!P82</f>
        <v>0</v>
      </c>
      <c r="O649" s="138">
        <f>+STG_GL!Q82</f>
        <v>1361066</v>
      </c>
      <c r="P649" s="138">
        <f>+STG_GL!R82</f>
        <v>0</v>
      </c>
      <c r="Q649" s="138">
        <f>+STG_GL!S82</f>
        <v>700000</v>
      </c>
      <c r="R649" s="138">
        <f>+STG_GL!T82</f>
        <v>0</v>
      </c>
      <c r="S649" s="138">
        <f>+STG_GL!U82</f>
        <v>0</v>
      </c>
      <c r="T649" s="138">
        <f>+STG_GL!V82</f>
        <v>0</v>
      </c>
      <c r="U649" s="138">
        <f>+STG_GL!W82</f>
        <v>40444</v>
      </c>
      <c r="V649" s="138">
        <f>+STG_GL!X82</f>
        <v>0</v>
      </c>
      <c r="W649" s="138">
        <f>+STG_GL!Y82</f>
        <v>0</v>
      </c>
      <c r="X649" s="138">
        <f>+STG_GL!Z82</f>
        <v>0</v>
      </c>
      <c r="Y649" s="138">
        <f>+STG_GL!AA82</f>
        <v>0</v>
      </c>
      <c r="Z649" s="138">
        <f>+STG_GL!AB82</f>
        <v>0</v>
      </c>
      <c r="AA649" s="138">
        <f>+STG_GL!AC82</f>
        <v>0</v>
      </c>
      <c r="AB649" s="138">
        <f>+STG_GL!AD82</f>
        <v>0</v>
      </c>
      <c r="AC649" s="138">
        <f>+STG_GL!AE82</f>
        <v>0</v>
      </c>
      <c r="AD649" s="14"/>
      <c r="AE649" s="14"/>
    </row>
    <row r="650" spans="4:31" x14ac:dyDescent="0.2">
      <c r="D650" t="s">
        <v>160</v>
      </c>
      <c r="F650" s="138">
        <f>+'ONT_GL '!H82</f>
        <v>0</v>
      </c>
      <c r="G650" s="192">
        <f>+'ONT_GL '!I82</f>
        <v>4789065</v>
      </c>
      <c r="H650" s="160">
        <f>+'ONT_GL '!J82</f>
        <v>0</v>
      </c>
      <c r="I650" s="192">
        <f>+'ONT_GL '!K82</f>
        <v>1302332.21</v>
      </c>
      <c r="J650" s="138">
        <f>+'ONT_GL '!L82</f>
        <v>0</v>
      </c>
      <c r="K650" s="192">
        <f>+'ONT_GL '!M82</f>
        <v>-2294115.8299999987</v>
      </c>
      <c r="L650" s="138">
        <f>+'ONT_GL '!N82</f>
        <v>0</v>
      </c>
      <c r="M650" s="192">
        <f>+'ONT_GL '!O82</f>
        <v>53.23</v>
      </c>
      <c r="N650" s="138">
        <f>+'ONT_GL '!P82</f>
        <v>0</v>
      </c>
      <c r="O650" s="192">
        <f>+'ONT_GL '!Q82</f>
        <v>2088517.5800000005</v>
      </c>
      <c r="P650" s="138">
        <f>+'ONT_GL '!R82</f>
        <v>0</v>
      </c>
      <c r="Q650" s="192">
        <f>+'ONT_GL '!S82</f>
        <v>-11442.849999999804</v>
      </c>
      <c r="R650" s="138">
        <f>+'ONT_GL '!T82</f>
        <v>0</v>
      </c>
      <c r="S650" s="192">
        <f>+'ONT_GL '!U82</f>
        <v>171.62</v>
      </c>
      <c r="T650" s="138">
        <f>+'ONT_GL '!V82</f>
        <v>0</v>
      </c>
      <c r="U650" s="138">
        <f>+'ONT_GL '!W82</f>
        <v>-2242842</v>
      </c>
      <c r="V650" s="138">
        <f>+'ONT_GL '!X82</f>
        <v>0</v>
      </c>
      <c r="W650" s="138">
        <f>+'ONT_GL '!Y82</f>
        <v>68.11</v>
      </c>
      <c r="X650" s="138">
        <f>+'ONT_GL '!Z82</f>
        <v>0</v>
      </c>
      <c r="Y650" s="138">
        <f>+'ONT_GL '!AA82</f>
        <v>-153</v>
      </c>
      <c r="Z650" s="138">
        <f>+'ONT_GL '!AB82</f>
        <v>0</v>
      </c>
      <c r="AA650" s="138">
        <f>+'ONT_GL '!AC82</f>
        <v>321.41000000000003</v>
      </c>
      <c r="AB650" s="138">
        <f>+'ONT_GL '!AD82</f>
        <v>0</v>
      </c>
      <c r="AC650" s="138">
        <f>+'ONT_GL '!AE82</f>
        <v>0</v>
      </c>
      <c r="AD650" s="14"/>
      <c r="AE650" s="14"/>
    </row>
    <row r="651" spans="4:31" x14ac:dyDescent="0.2">
      <c r="D651" t="s">
        <v>194</v>
      </c>
      <c r="F651" s="160">
        <f>+ARUBA_GL!H82</f>
        <v>0</v>
      </c>
      <c r="G651" s="192">
        <f>+ARUBA_GL!I82</f>
        <v>995546</v>
      </c>
      <c r="H651" s="160">
        <f>+ARUBA_GL!J82</f>
        <v>0</v>
      </c>
      <c r="I651" s="160">
        <f>+ARUBA_GL!K82</f>
        <v>880096</v>
      </c>
      <c r="J651" s="160">
        <f>+ARUBA_GL!L82</f>
        <v>0</v>
      </c>
      <c r="K651" s="160">
        <f>+ARUBA_GL!M82</f>
        <v>-319990.25000000309</v>
      </c>
      <c r="L651" s="160">
        <f>+ARUBA_GL!N82</f>
        <v>0</v>
      </c>
      <c r="M651" s="192">
        <f>+ARUBA_GL!O82</f>
        <v>453545.87999999995</v>
      </c>
      <c r="N651" s="160">
        <f>+ARUBA_GL!P82</f>
        <v>0</v>
      </c>
      <c r="O651" s="192">
        <f>+ARUBA_GL!Q82</f>
        <v>-1241161.3499999996</v>
      </c>
      <c r="P651" s="160">
        <f>+ARUBA_GL!R82</f>
        <v>0</v>
      </c>
      <c r="Q651" s="192">
        <f>+ARUBA_GL!S82</f>
        <v>-2633.2799999999988</v>
      </c>
      <c r="R651" s="160">
        <f>+ARUBA_GL!T82</f>
        <v>0</v>
      </c>
      <c r="S651" s="192">
        <f>+ARUBA_GL!U82</f>
        <v>5.77</v>
      </c>
      <c r="T651" s="160">
        <f>+ARUBA_GL!V82</f>
        <v>0</v>
      </c>
      <c r="U651" s="160">
        <f>+ARUBA_GL!W82</f>
        <v>97271.089999999851</v>
      </c>
      <c r="V651" s="160">
        <f>+ARUBA_GL!X82</f>
        <v>0</v>
      </c>
      <c r="W651" s="160">
        <f>+ARUBA_GL!Y82</f>
        <v>-57717.5</v>
      </c>
      <c r="X651" s="160">
        <f>+ARUBA_GL!Z82</f>
        <v>0</v>
      </c>
      <c r="Y651" s="160">
        <f>+ARUBA_GL!AA82</f>
        <v>0</v>
      </c>
      <c r="Z651" s="160">
        <f>+ARUBA_GL!AB82</f>
        <v>0</v>
      </c>
      <c r="AA651" s="160">
        <f>+ARUBA_GL!AC82</f>
        <v>0</v>
      </c>
      <c r="AB651" s="160">
        <f>+ARUBA_GL!AD82</f>
        <v>0</v>
      </c>
      <c r="AC651" s="160">
        <f>+ARUBA_GL!AE82</f>
        <v>0</v>
      </c>
      <c r="AD651" s="14"/>
      <c r="AE651" s="14"/>
    </row>
    <row r="652" spans="4:31" x14ac:dyDescent="0.2">
      <c r="D652" t="s">
        <v>201</v>
      </c>
      <c r="F652" s="160">
        <f>+SITHE_GL!H82</f>
        <v>0</v>
      </c>
      <c r="G652" s="192">
        <f>+SITHE_GL!I82</f>
        <v>906806</v>
      </c>
      <c r="H652" s="160">
        <f>+SITHE_GL!J82</f>
        <v>0</v>
      </c>
      <c r="I652" s="192">
        <f>+SITHE_GL!K82</f>
        <v>-2158202</v>
      </c>
      <c r="J652" s="160">
        <f>+SITHE_GL!L82</f>
        <v>0</v>
      </c>
      <c r="K652" s="192">
        <f>+SITHE_GL!M82</f>
        <v>493865.27699999884</v>
      </c>
      <c r="L652" s="160">
        <f>+SITHE_GL!N82</f>
        <v>0</v>
      </c>
      <c r="M652" s="192">
        <f>+SITHE_GL!O82</f>
        <v>3266683.68</v>
      </c>
      <c r="N652" s="160">
        <f>+SITHE_GL!P82</f>
        <v>0</v>
      </c>
      <c r="O652" s="192">
        <f>+SITHE_GL!Q82</f>
        <v>800.35300000011921</v>
      </c>
      <c r="P652" s="160">
        <f>+SITHE_GL!R82</f>
        <v>0</v>
      </c>
      <c r="Q652" s="160">
        <f>+SITHE_GL!S82</f>
        <v>0</v>
      </c>
      <c r="R652" s="160">
        <f>+SITHE_GL!T82</f>
        <v>0</v>
      </c>
      <c r="S652" s="192">
        <f>+SITHE_GL!U82</f>
        <v>32790</v>
      </c>
      <c r="T652" s="160">
        <f>+SITHE_GL!V82</f>
        <v>0</v>
      </c>
      <c r="U652" s="160">
        <f>+SITHE_GL!W82</f>
        <v>-754584.65199999977</v>
      </c>
      <c r="V652" s="160">
        <f>+SITHE_GL!X82</f>
        <v>0</v>
      </c>
      <c r="W652" s="160">
        <f>+SITHE_GL!Y82</f>
        <v>-23487.96</v>
      </c>
      <c r="X652" s="160">
        <f>+SITHE_GL!Z82</f>
        <v>0</v>
      </c>
      <c r="Y652" s="160">
        <f>+SITHE_GL!AA82</f>
        <v>0</v>
      </c>
      <c r="Z652" s="160">
        <f>+SITHE_GL!AB82</f>
        <v>0</v>
      </c>
      <c r="AA652" s="160">
        <f>+SITHE_GL!AC82</f>
        <v>-16174.24</v>
      </c>
      <c r="AB652" s="160">
        <f>+SITHE_GL!AD82</f>
        <v>0</v>
      </c>
      <c r="AC652" s="160">
        <f>+SITHE_GL!AE82</f>
        <v>0</v>
      </c>
      <c r="AD652" s="14"/>
      <c r="AE652" s="14"/>
    </row>
    <row r="654" spans="4:31" x14ac:dyDescent="0.2">
      <c r="L654" s="14">
        <v>-547431</v>
      </c>
      <c r="M654" s="14">
        <v>-818047.29500000004</v>
      </c>
    </row>
    <row r="655" spans="4:31" x14ac:dyDescent="0.2">
      <c r="L655" s="14">
        <v>0</v>
      </c>
      <c r="M655" s="14">
        <v>13809.304499999993</v>
      </c>
    </row>
    <row r="656" spans="4:31" x14ac:dyDescent="0.2">
      <c r="L656" s="14">
        <v>547431</v>
      </c>
      <c r="M656" s="14">
        <v>1493983.92</v>
      </c>
    </row>
    <row r="657" spans="12:13" x14ac:dyDescent="0.2">
      <c r="L657" s="14">
        <v>0</v>
      </c>
      <c r="M657" s="14">
        <v>81060.070000000007</v>
      </c>
    </row>
    <row r="658" spans="12:13" x14ac:dyDescent="0.2">
      <c r="L658" s="14">
        <v>0</v>
      </c>
      <c r="M658" s="14">
        <v>0</v>
      </c>
    </row>
    <row r="659" spans="12:13" x14ac:dyDescent="0.2">
      <c r="L659" s="14">
        <v>547431</v>
      </c>
      <c r="M659" s="14">
        <v>1575043.98</v>
      </c>
    </row>
    <row r="660" spans="12:13" x14ac:dyDescent="0.2">
      <c r="L660" s="14">
        <v>0</v>
      </c>
      <c r="M660" s="14">
        <v>374949.01899999985</v>
      </c>
    </row>
    <row r="661" spans="12:13" x14ac:dyDescent="0.2">
      <c r="L661" s="14">
        <v>0</v>
      </c>
      <c r="M661" s="14">
        <v>0</v>
      </c>
    </row>
    <row r="662" spans="12:13" x14ac:dyDescent="0.2">
      <c r="L662" s="14">
        <v>0</v>
      </c>
      <c r="M662" s="14">
        <v>-1651722</v>
      </c>
    </row>
    <row r="663" spans="12:13" x14ac:dyDescent="0.2">
      <c r="L663" s="14">
        <v>0</v>
      </c>
      <c r="M663" s="14">
        <v>374949.01899999985</v>
      </c>
    </row>
    <row r="664" spans="12:13" x14ac:dyDescent="0.2">
      <c r="L664" s="14">
        <v>0</v>
      </c>
      <c r="M664" s="14">
        <v>-34144.616000000002</v>
      </c>
    </row>
    <row r="665" spans="12:13" x14ac:dyDescent="0.2">
      <c r="L665" s="14">
        <v>0</v>
      </c>
      <c r="M665" s="14">
        <v>0</v>
      </c>
    </row>
    <row r="666" spans="12:13" x14ac:dyDescent="0.2">
      <c r="L666" s="14">
        <v>0</v>
      </c>
      <c r="M666" s="14">
        <v>53.23</v>
      </c>
    </row>
    <row r="667" spans="12:13" x14ac:dyDescent="0.2">
      <c r="L667" s="14">
        <v>0</v>
      </c>
      <c r="M667" s="14">
        <v>453545.88</v>
      </c>
    </row>
    <row r="668" spans="12:13" x14ac:dyDescent="0.2">
      <c r="L668" s="14">
        <v>0</v>
      </c>
      <c r="M668" s="14">
        <v>3266683.68</v>
      </c>
    </row>
  </sheetData>
  <mergeCells count="28">
    <mergeCell ref="AB636:AC636"/>
    <mergeCell ref="AD636:AE636"/>
    <mergeCell ref="T636:U636"/>
    <mergeCell ref="V636:W636"/>
    <mergeCell ref="X636:Y636"/>
    <mergeCell ref="Z636:AA636"/>
    <mergeCell ref="AC1:AD1"/>
    <mergeCell ref="AE1:AF1"/>
    <mergeCell ref="AG1:AH1"/>
    <mergeCell ref="F636:G636"/>
    <mergeCell ref="H636:I636"/>
    <mergeCell ref="J636:K636"/>
    <mergeCell ref="L636:M636"/>
    <mergeCell ref="N636:O636"/>
    <mergeCell ref="P636:Q636"/>
    <mergeCell ref="R636:S636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48239644</v>
      </c>
      <c r="E11" s="170">
        <v>136009294</v>
      </c>
      <c r="F11" s="60">
        <f>H11-D11</f>
        <v>0</v>
      </c>
      <c r="G11" s="37">
        <f>I11-E11</f>
        <v>0</v>
      </c>
      <c r="H11" s="65">
        <f t="shared" ref="H11:I15" si="0">D11</f>
        <v>48239644</v>
      </c>
      <c r="I11" s="66">
        <f t="shared" si="0"/>
        <v>136009294</v>
      </c>
      <c r="J11" s="37"/>
      <c r="K11" s="38"/>
      <c r="L11" s="60">
        <f t="shared" ref="L11:M15" si="1">H11+J11</f>
        <v>48239644</v>
      </c>
      <c r="M11" s="38">
        <f t="shared" si="1"/>
        <v>136009294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35578140</v>
      </c>
      <c r="E13" s="170">
        <v>93260882</v>
      </c>
      <c r="F13" s="60">
        <f t="shared" si="2"/>
        <v>0</v>
      </c>
      <c r="G13" s="37">
        <f t="shared" si="2"/>
        <v>0</v>
      </c>
      <c r="H13" s="65">
        <f t="shared" si="0"/>
        <v>35578140</v>
      </c>
      <c r="I13" s="66">
        <f t="shared" si="0"/>
        <v>93260882</v>
      </c>
      <c r="J13" s="37"/>
      <c r="K13" s="38"/>
      <c r="L13" s="60">
        <f t="shared" si="1"/>
        <v>35578140</v>
      </c>
      <c r="M13" s="38">
        <f t="shared" si="1"/>
        <v>93260882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83817784</v>
      </c>
      <c r="E16" s="191">
        <v>229270176</v>
      </c>
      <c r="F16" s="61">
        <f t="shared" ref="F16:M16" si="3">SUM(F11:F15)</f>
        <v>0</v>
      </c>
      <c r="G16" s="39">
        <f t="shared" si="3"/>
        <v>0</v>
      </c>
      <c r="H16" s="61">
        <f>SUM(H11:H15)</f>
        <v>83817784</v>
      </c>
      <c r="I16" s="39">
        <f>SUM(I11:I15)</f>
        <v>229270176</v>
      </c>
      <c r="J16" s="151">
        <f t="shared" si="3"/>
        <v>0</v>
      </c>
      <c r="K16" s="39">
        <f t="shared" si="3"/>
        <v>0</v>
      </c>
      <c r="L16" s="61">
        <f t="shared" si="3"/>
        <v>83817784</v>
      </c>
      <c r="M16" s="39">
        <f t="shared" si="3"/>
        <v>229270176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-56862672</v>
      </c>
      <c r="E19" s="170">
        <v>-167902250</v>
      </c>
      <c r="F19" s="60">
        <f>H19-D19</f>
        <v>0</v>
      </c>
      <c r="G19" s="37">
        <f>I19-E19</f>
        <v>0</v>
      </c>
      <c r="H19" s="65">
        <f t="shared" si="4"/>
        <v>-56862672</v>
      </c>
      <c r="I19" s="66">
        <f t="shared" si="4"/>
        <v>-167902250</v>
      </c>
      <c r="J19" s="37">
        <v>0</v>
      </c>
      <c r="K19" s="38">
        <v>0</v>
      </c>
      <c r="L19" s="60">
        <f t="shared" ref="L19:M23" si="5">H19+J19</f>
        <v>-56862672</v>
      </c>
      <c r="M19" s="38">
        <f t="shared" si="5"/>
        <v>-167902250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-26033998</v>
      </c>
      <c r="E21" s="170">
        <v>-65006177</v>
      </c>
      <c r="F21" s="60">
        <f t="shared" si="6"/>
        <v>0</v>
      </c>
      <c r="G21" s="37">
        <f t="shared" si="6"/>
        <v>0</v>
      </c>
      <c r="H21" s="65">
        <f t="shared" si="4"/>
        <v>-26033998</v>
      </c>
      <c r="I21" s="66">
        <f t="shared" si="4"/>
        <v>-65006177</v>
      </c>
      <c r="J21" s="37"/>
      <c r="K21" s="38"/>
      <c r="L21" s="60">
        <f t="shared" si="5"/>
        <v>-26033998</v>
      </c>
      <c r="M21" s="38">
        <f t="shared" si="5"/>
        <v>-65006177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257412</v>
      </c>
      <c r="E23" s="170">
        <v>567184</v>
      </c>
      <c r="F23" s="60">
        <f t="shared" si="6"/>
        <v>0</v>
      </c>
      <c r="G23" s="37">
        <f t="shared" si="6"/>
        <v>0</v>
      </c>
      <c r="H23" s="65">
        <f t="shared" si="4"/>
        <v>257412</v>
      </c>
      <c r="I23" s="66">
        <f t="shared" si="4"/>
        <v>567184</v>
      </c>
      <c r="J23" s="37"/>
      <c r="K23" s="38"/>
      <c r="L23" s="60">
        <f t="shared" si="5"/>
        <v>257412</v>
      </c>
      <c r="M23" s="38">
        <f t="shared" si="5"/>
        <v>567184</v>
      </c>
    </row>
    <row r="24" spans="1:13" x14ac:dyDescent="0.2">
      <c r="A24" s="9"/>
      <c r="B24" s="7" t="s">
        <v>33</v>
      </c>
      <c r="C24" s="6"/>
      <c r="D24" s="191">
        <v>-82639258</v>
      </c>
      <c r="E24" s="191">
        <v>-232341243</v>
      </c>
      <c r="F24" s="61">
        <f t="shared" ref="F24:M24" si="7">SUM(F19:F23)</f>
        <v>0</v>
      </c>
      <c r="G24" s="39">
        <f t="shared" si="7"/>
        <v>0</v>
      </c>
      <c r="H24" s="61">
        <f>SUM(H19:H23)</f>
        <v>-82639258</v>
      </c>
      <c r="I24" s="39">
        <f>SUM(I19:I23)</f>
        <v>-232341243</v>
      </c>
      <c r="J24" s="151">
        <f t="shared" si="7"/>
        <v>0</v>
      </c>
      <c r="K24" s="39">
        <f t="shared" si="7"/>
        <v>0</v>
      </c>
      <c r="L24" s="61">
        <f t="shared" si="7"/>
        <v>-82639258</v>
      </c>
      <c r="M24" s="39">
        <f t="shared" si="7"/>
        <v>-232341243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-3643</v>
      </c>
      <c r="E32" s="170">
        <v>-5648</v>
      </c>
      <c r="F32" s="60">
        <f>H32-D32</f>
        <v>0</v>
      </c>
      <c r="G32" s="37">
        <f>I32-E32</f>
        <v>0</v>
      </c>
      <c r="H32" s="65">
        <f t="shared" ref="H32:I35" si="9">D32</f>
        <v>-3643</v>
      </c>
      <c r="I32" s="66">
        <f t="shared" si="9"/>
        <v>-5648</v>
      </c>
      <c r="J32" s="37"/>
      <c r="K32" s="38"/>
      <c r="L32" s="60">
        <f t="shared" ref="L32:M35" si="10">H32+J32</f>
        <v>-3643</v>
      </c>
      <c r="M32" s="38">
        <f t="shared" si="10"/>
        <v>-5648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-1033427</v>
      </c>
      <c r="E35" s="170">
        <v>-3026086</v>
      </c>
      <c r="F35" s="60">
        <f t="shared" si="11"/>
        <v>0</v>
      </c>
      <c r="G35" s="37">
        <f t="shared" si="11"/>
        <v>0</v>
      </c>
      <c r="H35" s="65">
        <f t="shared" si="9"/>
        <v>-1033427</v>
      </c>
      <c r="I35" s="66">
        <f t="shared" si="9"/>
        <v>-3026086</v>
      </c>
      <c r="J35" s="37">
        <v>0</v>
      </c>
      <c r="K35" s="38">
        <v>0</v>
      </c>
      <c r="L35" s="60">
        <f t="shared" si="10"/>
        <v>-1033427</v>
      </c>
      <c r="M35" s="38">
        <f t="shared" si="10"/>
        <v>-3026086</v>
      </c>
    </row>
    <row r="36" spans="1:13" x14ac:dyDescent="0.2">
      <c r="A36" s="9"/>
      <c r="B36" s="7" t="s">
        <v>43</v>
      </c>
      <c r="C36" s="6"/>
      <c r="D36" s="191">
        <v>-1037070</v>
      </c>
      <c r="E36" s="191">
        <v>-3031734</v>
      </c>
      <c r="F36" s="61">
        <f>SUM(F32:F35)</f>
        <v>0</v>
      </c>
      <c r="G36" s="39">
        <f>SUM(G32:G35)</f>
        <v>0</v>
      </c>
      <c r="H36" s="61">
        <f>SUM(H32:H35)</f>
        <v>-1037070</v>
      </c>
      <c r="I36" s="39">
        <f>SUM(I32:I35)</f>
        <v>-3031734</v>
      </c>
      <c r="J36" s="151">
        <f>SUM(J32:J34)</f>
        <v>0</v>
      </c>
      <c r="K36" s="39">
        <f>SUM(K32:K34)</f>
        <v>0</v>
      </c>
      <c r="L36" s="61">
        <f>SUM(L32:L35)</f>
        <v>-1037070</v>
      </c>
      <c r="M36" s="39">
        <f>SUM(M32:M35)</f>
        <v>-3031734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-141456</v>
      </c>
      <c r="E49" s="170">
        <v>-433350.45600000001</v>
      </c>
      <c r="F49" s="60">
        <f>H49-D49</f>
        <v>0</v>
      </c>
      <c r="G49" s="37">
        <f>I49-E49</f>
        <v>0</v>
      </c>
      <c r="H49" s="65">
        <f>D49</f>
        <v>-141456</v>
      </c>
      <c r="I49" s="66">
        <f>E49</f>
        <v>-433350.45600000001</v>
      </c>
      <c r="J49" s="37"/>
      <c r="K49" s="38"/>
      <c r="L49" s="60">
        <f>H49+J49</f>
        <v>-141456</v>
      </c>
      <c r="M49" s="38">
        <f>I49+K49</f>
        <v>-433350.45600000001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-257412</v>
      </c>
      <c r="E51" s="170">
        <v>-567184</v>
      </c>
      <c r="F51" s="60">
        <f>H51-D51</f>
        <v>0</v>
      </c>
      <c r="G51" s="37">
        <f>I51-E51</f>
        <v>0</v>
      </c>
      <c r="H51" s="65">
        <f>D51</f>
        <v>-257412</v>
      </c>
      <c r="I51" s="66">
        <f>E51</f>
        <v>-567184</v>
      </c>
      <c r="J51" s="37"/>
      <c r="K51" s="38"/>
      <c r="L51" s="60">
        <f>H51+J51</f>
        <v>-257412</v>
      </c>
      <c r="M51" s="38">
        <f>I51+K51</f>
        <v>-567184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-49377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-49377</v>
      </c>
      <c r="J54" s="37"/>
      <c r="K54" s="38"/>
      <c r="L54" s="60">
        <f>H54+J54</f>
        <v>0</v>
      </c>
      <c r="M54" s="38">
        <f>I54+K54</f>
        <v>-49377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-2429479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-2429479</v>
      </c>
      <c r="J55" s="37"/>
      <c r="K55" s="38"/>
      <c r="L55" s="60">
        <f>H55+J55</f>
        <v>0</v>
      </c>
      <c r="M55" s="38">
        <f>I55+K55</f>
        <v>-2429479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-2478856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-2478856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-2478856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-2767229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-2767229</v>
      </c>
      <c r="J70" s="37"/>
      <c r="K70" s="38"/>
      <c r="L70" s="60">
        <f t="shared" si="20"/>
        <v>0</v>
      </c>
      <c r="M70" s="38">
        <f t="shared" si="20"/>
        <v>-2767229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-2723828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-2723828</v>
      </c>
      <c r="J71" s="37"/>
      <c r="K71" s="38"/>
      <c r="L71" s="60">
        <f t="shared" si="20"/>
        <v>0</v>
      </c>
      <c r="M71" s="38">
        <f t="shared" si="20"/>
        <v>-2723828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-5491057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-5491057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-5491057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13707791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13707791</v>
      </c>
      <c r="J74" s="37"/>
      <c r="K74" s="38"/>
      <c r="L74" s="60">
        <f t="shared" si="24"/>
        <v>0</v>
      </c>
      <c r="M74" s="38">
        <f t="shared" si="24"/>
        <v>13707791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20185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20185</v>
      </c>
      <c r="J75" s="37"/>
      <c r="K75" s="38"/>
      <c r="L75" s="60">
        <f t="shared" si="24"/>
        <v>0</v>
      </c>
      <c r="M75" s="38">
        <f t="shared" si="24"/>
        <v>20185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0</v>
      </c>
      <c r="J76" s="37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1500534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1500534</v>
      </c>
      <c r="J79" s="37"/>
      <c r="K79" s="38"/>
      <c r="L79" s="60">
        <f t="shared" si="24"/>
        <v>0</v>
      </c>
      <c r="M79" s="38">
        <f t="shared" si="24"/>
        <v>1500534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290256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290256</v>
      </c>
      <c r="J81" s="37"/>
      <c r="K81" s="38"/>
      <c r="L81" s="60">
        <f t="shared" si="24"/>
        <v>0</v>
      </c>
      <c r="M81" s="38">
        <f t="shared" si="24"/>
        <v>290256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445517.54399999976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445517.54399999976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445517.54399999976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203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5749787</v>
      </c>
      <c r="E11" s="170">
        <v>17288443</v>
      </c>
      <c r="F11" s="60">
        <f>H11-D11</f>
        <v>0</v>
      </c>
      <c r="G11" s="37">
        <f>I11-E11</f>
        <v>0</v>
      </c>
      <c r="H11" s="65">
        <f t="shared" ref="H11:I15" si="0">D11</f>
        <v>5749787</v>
      </c>
      <c r="I11" s="66">
        <f t="shared" si="0"/>
        <v>17288443</v>
      </c>
      <c r="J11" s="37"/>
      <c r="K11" s="38"/>
      <c r="L11" s="60">
        <f t="shared" ref="L11:M15" si="1">H11+J11</f>
        <v>5749787</v>
      </c>
      <c r="M11" s="38">
        <f t="shared" si="1"/>
        <v>17288443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5769103</v>
      </c>
      <c r="E13" s="170">
        <v>13824616</v>
      </c>
      <c r="F13" s="60">
        <f t="shared" si="2"/>
        <v>0</v>
      </c>
      <c r="G13" s="37">
        <f t="shared" si="2"/>
        <v>0</v>
      </c>
      <c r="H13" s="65">
        <f t="shared" si="0"/>
        <v>5769103</v>
      </c>
      <c r="I13" s="66">
        <f t="shared" si="0"/>
        <v>13824616</v>
      </c>
      <c r="J13" s="37"/>
      <c r="K13" s="38"/>
      <c r="L13" s="60">
        <f t="shared" si="1"/>
        <v>5769103</v>
      </c>
      <c r="M13" s="38">
        <f t="shared" si="1"/>
        <v>13824616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11518890</v>
      </c>
      <c r="E16" s="191">
        <v>31113059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11518890</v>
      </c>
      <c r="I16" s="39">
        <f>SUM(I11:I15)</f>
        <v>31113059</v>
      </c>
      <c r="J16" s="151">
        <f t="shared" si="3"/>
        <v>0</v>
      </c>
      <c r="K16" s="39">
        <f t="shared" si="3"/>
        <v>0</v>
      </c>
      <c r="L16" s="61">
        <f t="shared" si="3"/>
        <v>11518890</v>
      </c>
      <c r="M16" s="39">
        <f t="shared" si="3"/>
        <v>31113059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-1750595</v>
      </c>
      <c r="E19" s="170">
        <v>-5039103</v>
      </c>
      <c r="F19" s="60">
        <f>H19-D19</f>
        <v>0</v>
      </c>
      <c r="G19" s="37">
        <f>I19-E19</f>
        <v>0</v>
      </c>
      <c r="H19" s="65">
        <f t="shared" si="4"/>
        <v>-1750595</v>
      </c>
      <c r="I19" s="66">
        <f t="shared" si="4"/>
        <v>-5039103</v>
      </c>
      <c r="J19" s="37">
        <v>0</v>
      </c>
      <c r="K19" s="38">
        <v>0</v>
      </c>
      <c r="L19" s="60">
        <f t="shared" ref="L19:M23" si="5">H19+J19</f>
        <v>-1750595</v>
      </c>
      <c r="M19" s="38">
        <f t="shared" si="5"/>
        <v>-5039103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-9691029</v>
      </c>
      <c r="E21" s="170">
        <v>-26058987</v>
      </c>
      <c r="F21" s="60">
        <f t="shared" si="6"/>
        <v>0</v>
      </c>
      <c r="G21" s="37">
        <f t="shared" si="6"/>
        <v>0</v>
      </c>
      <c r="H21" s="65">
        <f t="shared" si="4"/>
        <v>-9691029</v>
      </c>
      <c r="I21" s="66">
        <f t="shared" si="4"/>
        <v>-26058987</v>
      </c>
      <c r="J21" s="37"/>
      <c r="K21" s="38"/>
      <c r="L21" s="60">
        <f t="shared" si="5"/>
        <v>-9691029</v>
      </c>
      <c r="M21" s="38">
        <f t="shared" si="5"/>
        <v>-26058987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7667</v>
      </c>
      <c r="E23" s="170">
        <v>18618</v>
      </c>
      <c r="F23" s="60">
        <f t="shared" si="6"/>
        <v>0</v>
      </c>
      <c r="G23" s="37">
        <f t="shared" si="6"/>
        <v>0</v>
      </c>
      <c r="H23" s="65">
        <f t="shared" si="4"/>
        <v>7667</v>
      </c>
      <c r="I23" s="66">
        <f t="shared" si="4"/>
        <v>18618</v>
      </c>
      <c r="J23" s="37"/>
      <c r="K23" s="38"/>
      <c r="L23" s="60">
        <f t="shared" si="5"/>
        <v>7667</v>
      </c>
      <c r="M23" s="38">
        <f t="shared" si="5"/>
        <v>18618</v>
      </c>
    </row>
    <row r="24" spans="1:13" x14ac:dyDescent="0.2">
      <c r="A24" s="9"/>
      <c r="B24" s="7" t="s">
        <v>33</v>
      </c>
      <c r="C24" s="6"/>
      <c r="D24" s="191">
        <v>-11433957</v>
      </c>
      <c r="E24" s="191">
        <v>-31079472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-11433957</v>
      </c>
      <c r="I24" s="39">
        <f>SUM(I19:I23)</f>
        <v>-31079472</v>
      </c>
      <c r="J24" s="151">
        <f t="shared" si="7"/>
        <v>0</v>
      </c>
      <c r="K24" s="39">
        <f t="shared" si="7"/>
        <v>0</v>
      </c>
      <c r="L24" s="61">
        <f t="shared" si="7"/>
        <v>-11433957</v>
      </c>
      <c r="M24" s="39">
        <f t="shared" si="7"/>
        <v>-31079472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-87718</v>
      </c>
      <c r="E32" s="170">
        <v>-6428</v>
      </c>
      <c r="F32" s="60">
        <f>H32-D32</f>
        <v>0</v>
      </c>
      <c r="G32" s="37">
        <f>I32-E32</f>
        <v>0</v>
      </c>
      <c r="H32" s="65">
        <f t="shared" ref="H32:I35" si="9">D32</f>
        <v>-87718</v>
      </c>
      <c r="I32" s="66">
        <f t="shared" si="9"/>
        <v>-6428</v>
      </c>
      <c r="J32" s="37"/>
      <c r="K32" s="38"/>
      <c r="L32" s="60">
        <f t="shared" ref="L32:M35" si="10">H32+J32</f>
        <v>-87718</v>
      </c>
      <c r="M32" s="38">
        <f t="shared" si="10"/>
        <v>-6428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3</v>
      </c>
      <c r="E35" s="170">
        <v>-1409</v>
      </c>
      <c r="F35" s="60">
        <f t="shared" si="11"/>
        <v>0</v>
      </c>
      <c r="G35" s="37">
        <f t="shared" si="11"/>
        <v>0</v>
      </c>
      <c r="H35" s="65">
        <f t="shared" si="9"/>
        <v>3</v>
      </c>
      <c r="I35" s="66">
        <f t="shared" si="9"/>
        <v>-1409</v>
      </c>
      <c r="J35" s="37">
        <v>0</v>
      </c>
      <c r="K35" s="38">
        <v>0</v>
      </c>
      <c r="L35" s="60">
        <f t="shared" si="10"/>
        <v>3</v>
      </c>
      <c r="M35" s="38">
        <f t="shared" si="10"/>
        <v>-1409</v>
      </c>
    </row>
    <row r="36" spans="1:13" x14ac:dyDescent="0.2">
      <c r="A36" s="9"/>
      <c r="B36" s="7" t="s">
        <v>43</v>
      </c>
      <c r="C36" s="6"/>
      <c r="D36" s="191">
        <v>-87715</v>
      </c>
      <c r="E36" s="191">
        <v>-7837</v>
      </c>
      <c r="F36" s="61">
        <f>SUM(F32:F35)</f>
        <v>0</v>
      </c>
      <c r="G36" s="39">
        <f>SUM(G32:G35)</f>
        <v>0</v>
      </c>
      <c r="H36" s="61">
        <f>SUM(H32:H35)</f>
        <v>-87715</v>
      </c>
      <c r="I36" s="39">
        <f>SUM(I32:I35)</f>
        <v>-7837</v>
      </c>
      <c r="J36" s="151">
        <f>SUM(J32:J34)</f>
        <v>0</v>
      </c>
      <c r="K36" s="39">
        <f>SUM(K32:K34)</f>
        <v>0</v>
      </c>
      <c r="L36" s="61">
        <f>SUM(L32:L35)</f>
        <v>-87715</v>
      </c>
      <c r="M36" s="39">
        <f>SUM(M32:M35)</f>
        <v>-7837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2782</v>
      </c>
      <c r="E49" s="170">
        <v>8364.9095916074803</v>
      </c>
      <c r="F49" s="60">
        <f>H49-D49</f>
        <v>0</v>
      </c>
      <c r="G49" s="37">
        <f>I49-E49</f>
        <v>0</v>
      </c>
      <c r="H49" s="65">
        <f>D49</f>
        <v>2782</v>
      </c>
      <c r="I49" s="66">
        <f>E49</f>
        <v>8364.9095916074803</v>
      </c>
      <c r="J49" s="37"/>
      <c r="K49" s="38"/>
      <c r="L49" s="60">
        <f>H49+J49</f>
        <v>2782</v>
      </c>
      <c r="M49" s="38">
        <f>I49+K49</f>
        <v>8364.9095916074803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-7667</v>
      </c>
      <c r="E51" s="170">
        <v>-18618</v>
      </c>
      <c r="F51" s="60">
        <f>H51-D51</f>
        <v>0</v>
      </c>
      <c r="G51" s="37">
        <f>I51-E51</f>
        <v>0</v>
      </c>
      <c r="H51" s="65">
        <f>D51</f>
        <v>-7667</v>
      </c>
      <c r="I51" s="66">
        <f>E51</f>
        <v>-18618</v>
      </c>
      <c r="J51" s="37"/>
      <c r="K51" s="38"/>
      <c r="L51" s="60">
        <f>H51+J51</f>
        <v>-7667</v>
      </c>
      <c r="M51" s="38">
        <f>I51+K51</f>
        <v>-18618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16</v>
      </c>
      <c r="E54" s="170">
        <v>-13917</v>
      </c>
      <c r="F54" s="60">
        <f>H54-D54</f>
        <v>0</v>
      </c>
      <c r="G54" s="37">
        <f>I54-E54</f>
        <v>0</v>
      </c>
      <c r="H54" s="65">
        <f>D54</f>
        <v>16</v>
      </c>
      <c r="I54" s="66">
        <f>E54</f>
        <v>-13917</v>
      </c>
      <c r="J54" s="37"/>
      <c r="K54" s="38"/>
      <c r="L54" s="60">
        <f>H54+J54</f>
        <v>16</v>
      </c>
      <c r="M54" s="38">
        <f>I54+K54</f>
        <v>-13917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16</v>
      </c>
      <c r="E56" s="191">
        <v>-13917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16</v>
      </c>
      <c r="I56" s="39">
        <f>SUM(I54:I55)</f>
        <v>-13917</v>
      </c>
      <c r="J56" s="151">
        <f t="shared" si="17"/>
        <v>0</v>
      </c>
      <c r="K56" s="39">
        <f t="shared" si="17"/>
        <v>0</v>
      </c>
      <c r="L56" s="61">
        <f t="shared" si="17"/>
        <v>16</v>
      </c>
      <c r="M56" s="39">
        <f t="shared" si="17"/>
        <v>-13917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17435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17435</v>
      </c>
      <c r="J70" s="37"/>
      <c r="K70" s="38"/>
      <c r="L70" s="60">
        <f t="shared" si="20"/>
        <v>0</v>
      </c>
      <c r="M70" s="38">
        <f t="shared" si="20"/>
        <v>17435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37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17435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17435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17435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37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-10000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-10000</v>
      </c>
      <c r="J81" s="37"/>
      <c r="K81" s="38"/>
      <c r="L81" s="60">
        <f t="shared" si="23"/>
        <v>0</v>
      </c>
      <c r="M81" s="38">
        <f t="shared" si="23"/>
        <v>-10000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9014.9095916074803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9014.9095916074803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9014.9095916074803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zoomScale="75" workbookViewId="0">
      <selection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192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13516932</v>
      </c>
      <c r="E11" s="170">
        <v>43061374</v>
      </c>
      <c r="F11" s="60">
        <f>H11-D11</f>
        <v>0</v>
      </c>
      <c r="G11" s="37">
        <f>I11-E11</f>
        <v>0</v>
      </c>
      <c r="H11" s="65">
        <f t="shared" ref="H11:I15" si="0">D11</f>
        <v>13516932</v>
      </c>
      <c r="I11" s="66">
        <f t="shared" si="0"/>
        <v>43061374</v>
      </c>
      <c r="J11" s="37"/>
      <c r="K11" s="38"/>
      <c r="L11" s="60">
        <f t="shared" ref="L11:M15" si="1">H11+J11</f>
        <v>13516932</v>
      </c>
      <c r="M11" s="38">
        <f t="shared" si="1"/>
        <v>43061374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20326150</v>
      </c>
      <c r="E13" s="170">
        <v>51242714</v>
      </c>
      <c r="F13" s="60">
        <f t="shared" si="2"/>
        <v>0</v>
      </c>
      <c r="G13" s="37">
        <f t="shared" si="2"/>
        <v>0</v>
      </c>
      <c r="H13" s="65">
        <f t="shared" si="0"/>
        <v>20326150</v>
      </c>
      <c r="I13" s="66">
        <f t="shared" si="0"/>
        <v>51242714</v>
      </c>
      <c r="J13" s="37"/>
      <c r="K13" s="38"/>
      <c r="L13" s="60">
        <f t="shared" si="1"/>
        <v>20326150</v>
      </c>
      <c r="M13" s="38">
        <f t="shared" si="1"/>
        <v>51242714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33843082</v>
      </c>
      <c r="E16" s="191">
        <v>94304088</v>
      </c>
      <c r="F16" s="61">
        <f t="shared" ref="F16:M16" si="3">SUM(F11:F15)</f>
        <v>0</v>
      </c>
      <c r="G16" s="39">
        <f t="shared" si="3"/>
        <v>0</v>
      </c>
      <c r="H16" s="61">
        <f>SUM(H11:H15)</f>
        <v>33843082</v>
      </c>
      <c r="I16" s="39">
        <f>SUM(I11:I15)</f>
        <v>94304088</v>
      </c>
      <c r="J16" s="151">
        <f t="shared" si="3"/>
        <v>0</v>
      </c>
      <c r="K16" s="39">
        <f t="shared" si="3"/>
        <v>0</v>
      </c>
      <c r="L16" s="61">
        <f t="shared" si="3"/>
        <v>33843082</v>
      </c>
      <c r="M16" s="39">
        <f t="shared" si="3"/>
        <v>94304088</v>
      </c>
    </row>
    <row r="17" spans="1:13" x14ac:dyDescent="0.2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-11195330</v>
      </c>
      <c r="E19" s="170">
        <v>-33701081</v>
      </c>
      <c r="F19" s="60">
        <f>H19-D19</f>
        <v>0</v>
      </c>
      <c r="G19" s="37">
        <f>I19-E19</f>
        <v>0</v>
      </c>
      <c r="H19" s="65">
        <f t="shared" si="4"/>
        <v>-11195330</v>
      </c>
      <c r="I19" s="66">
        <f t="shared" si="4"/>
        <v>-33701081</v>
      </c>
      <c r="J19" s="37">
        <v>0</v>
      </c>
      <c r="K19" s="38">
        <v>0</v>
      </c>
      <c r="L19" s="60">
        <f t="shared" ref="L19:M23" si="5">H19+J19</f>
        <v>-11195330</v>
      </c>
      <c r="M19" s="38">
        <f t="shared" si="5"/>
        <v>-33701081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-22907710</v>
      </c>
      <c r="E21" s="170">
        <v>-58479925</v>
      </c>
      <c r="F21" s="60">
        <f t="shared" si="6"/>
        <v>0</v>
      </c>
      <c r="G21" s="37">
        <f t="shared" si="6"/>
        <v>0</v>
      </c>
      <c r="H21" s="65">
        <f t="shared" si="4"/>
        <v>-22907710</v>
      </c>
      <c r="I21" s="66">
        <f t="shared" si="4"/>
        <v>-58479925</v>
      </c>
      <c r="J21" s="37"/>
      <c r="K21" s="38"/>
      <c r="L21" s="60">
        <f t="shared" si="5"/>
        <v>-22907710</v>
      </c>
      <c r="M21" s="38">
        <f t="shared" si="5"/>
        <v>-58479925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254831</v>
      </c>
      <c r="E23" s="170">
        <v>582067</v>
      </c>
      <c r="F23" s="60">
        <f t="shared" si="6"/>
        <v>0</v>
      </c>
      <c r="G23" s="37">
        <f t="shared" si="6"/>
        <v>0</v>
      </c>
      <c r="H23" s="65">
        <f t="shared" si="4"/>
        <v>254831</v>
      </c>
      <c r="I23" s="66">
        <f t="shared" si="4"/>
        <v>582067</v>
      </c>
      <c r="J23" s="37"/>
      <c r="K23" s="38"/>
      <c r="L23" s="60">
        <f t="shared" si="5"/>
        <v>254831</v>
      </c>
      <c r="M23" s="38">
        <f t="shared" si="5"/>
        <v>582067</v>
      </c>
    </row>
    <row r="24" spans="1:13" x14ac:dyDescent="0.2">
      <c r="A24" s="9"/>
      <c r="B24" s="7" t="s">
        <v>33</v>
      </c>
      <c r="C24" s="6"/>
      <c r="D24" s="191">
        <v>-33848209</v>
      </c>
      <c r="E24" s="191">
        <v>-91598939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-33848209</v>
      </c>
      <c r="I24" s="39">
        <f>SUM(I19:I23)</f>
        <v>-91598939</v>
      </c>
      <c r="J24" s="151">
        <f t="shared" si="7"/>
        <v>0</v>
      </c>
      <c r="K24" s="39">
        <f t="shared" si="7"/>
        <v>0</v>
      </c>
      <c r="L24" s="61">
        <f t="shared" si="7"/>
        <v>-33848209</v>
      </c>
      <c r="M24" s="39">
        <f t="shared" si="7"/>
        <v>-91598939</v>
      </c>
    </row>
    <row r="25" spans="1:13" x14ac:dyDescent="0.2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5127</v>
      </c>
      <c r="E49" s="170">
        <v>15433.706937356917</v>
      </c>
      <c r="F49" s="60">
        <f>H49-D49</f>
        <v>0</v>
      </c>
      <c r="G49" s="37">
        <f>I49-E49</f>
        <v>0</v>
      </c>
      <c r="H49" s="65">
        <f>D49</f>
        <v>5127</v>
      </c>
      <c r="I49" s="66">
        <f>E49</f>
        <v>15433.706937356917</v>
      </c>
      <c r="J49" s="37"/>
      <c r="K49" s="38"/>
      <c r="L49" s="60">
        <f>H49+J49</f>
        <v>5127</v>
      </c>
      <c r="M49" s="38">
        <f>I49+K49</f>
        <v>15433.706937356917</v>
      </c>
    </row>
    <row r="50" spans="1:15" x14ac:dyDescent="0.2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-254831</v>
      </c>
      <c r="E51" s="170">
        <v>-582067</v>
      </c>
      <c r="F51" s="60">
        <f>H51-D51</f>
        <v>0</v>
      </c>
      <c r="G51" s="37">
        <f>I51-E51</f>
        <v>0</v>
      </c>
      <c r="H51" s="65">
        <f>D51</f>
        <v>-254831</v>
      </c>
      <c r="I51" s="66">
        <f>E51</f>
        <v>-582067</v>
      </c>
      <c r="J51" s="37"/>
      <c r="K51" s="38"/>
      <c r="L51" s="60">
        <f>H51+J51</f>
        <v>-254831</v>
      </c>
      <c r="M51" s="38">
        <f>I51+K51</f>
        <v>-582067</v>
      </c>
    </row>
    <row r="52" spans="1:15" x14ac:dyDescent="0.2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-113421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-113421</v>
      </c>
      <c r="J54" s="37"/>
      <c r="K54" s="38"/>
      <c r="L54" s="60">
        <f>H54+J54</f>
        <v>0</v>
      </c>
      <c r="M54" s="38">
        <f>I54+K54</f>
        <v>-113421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-113421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-113421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-113421</v>
      </c>
    </row>
    <row r="57" spans="1:15" x14ac:dyDescent="0.2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15019906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15019906</v>
      </c>
      <c r="J70" s="37"/>
      <c r="K70" s="38"/>
      <c r="L70" s="60">
        <f t="shared" si="20"/>
        <v>0</v>
      </c>
      <c r="M70" s="38">
        <f t="shared" si="20"/>
        <v>15019906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-16562230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-16562230</v>
      </c>
      <c r="J71" s="37"/>
      <c r="K71" s="38"/>
      <c r="L71" s="60">
        <f t="shared" si="20"/>
        <v>0</v>
      </c>
      <c r="M71" s="38">
        <f t="shared" si="20"/>
        <v>-16562230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-1542324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-1542324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-1542324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422090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422090</v>
      </c>
      <c r="J74" s="37"/>
      <c r="K74" s="38"/>
      <c r="L74" s="60">
        <f t="shared" si="23"/>
        <v>0</v>
      </c>
      <c r="M74" s="38">
        <f t="shared" si="23"/>
        <v>422090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37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904860.70693735685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904860.70693735685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904860.70693735685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10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100793061</v>
      </c>
      <c r="E11" s="38">
        <v>290821152</v>
      </c>
      <c r="F11" s="60">
        <f>H11-D11</f>
        <v>0</v>
      </c>
      <c r="G11" s="37">
        <f>I11-E11</f>
        <v>0</v>
      </c>
      <c r="H11" s="65">
        <f>D11</f>
        <v>100793061</v>
      </c>
      <c r="I11" s="66">
        <f>E11</f>
        <v>290821152</v>
      </c>
      <c r="J11" s="60"/>
      <c r="K11" s="38"/>
      <c r="L11" s="60">
        <f t="shared" ref="L11:M15" si="0">H11+J11</f>
        <v>100793061</v>
      </c>
      <c r="M11" s="38">
        <f t="shared" si="0"/>
        <v>290821152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34376354</v>
      </c>
      <c r="E13" s="38">
        <v>87323206</v>
      </c>
      <c r="F13" s="60">
        <f t="shared" si="1"/>
        <v>0</v>
      </c>
      <c r="G13" s="37">
        <f t="shared" si="1"/>
        <v>0</v>
      </c>
      <c r="H13" s="65">
        <f t="shared" si="2"/>
        <v>34376354</v>
      </c>
      <c r="I13" s="66">
        <f t="shared" si="2"/>
        <v>87323206</v>
      </c>
      <c r="J13" s="60"/>
      <c r="K13" s="38"/>
      <c r="L13" s="60">
        <f t="shared" si="0"/>
        <v>34376354</v>
      </c>
      <c r="M13" s="38">
        <f t="shared" si="0"/>
        <v>87323206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-481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-481</v>
      </c>
      <c r="J14" s="60"/>
      <c r="K14" s="38"/>
      <c r="L14" s="60">
        <f t="shared" si="0"/>
        <v>0</v>
      </c>
      <c r="M14" s="38">
        <f t="shared" si="0"/>
        <v>-481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135169415</v>
      </c>
      <c r="E16" s="39">
        <v>378143877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135169415</v>
      </c>
      <c r="I16" s="39">
        <f>SUM(I11:I15)</f>
        <v>378143877</v>
      </c>
      <c r="J16" s="61">
        <f t="shared" si="3"/>
        <v>0</v>
      </c>
      <c r="K16" s="39">
        <f t="shared" si="3"/>
        <v>0</v>
      </c>
      <c r="L16" s="61">
        <f t="shared" si="3"/>
        <v>135169415</v>
      </c>
      <c r="M16" s="39">
        <f t="shared" si="3"/>
        <v>378143877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-103607089</v>
      </c>
      <c r="E19" s="38">
        <v>-308993742.97662669</v>
      </c>
      <c r="F19" s="60">
        <f>H19-D19</f>
        <v>0</v>
      </c>
      <c r="G19" s="37">
        <f>I19-E19</f>
        <v>0</v>
      </c>
      <c r="H19" s="65">
        <f t="shared" si="4"/>
        <v>-103607089</v>
      </c>
      <c r="I19" s="66">
        <f t="shared" si="4"/>
        <v>-308993742.97662669</v>
      </c>
      <c r="J19" s="60"/>
      <c r="K19" s="38"/>
      <c r="L19" s="60">
        <f t="shared" ref="L19:M23" si="5">H19+J19</f>
        <v>-103607089</v>
      </c>
      <c r="M19" s="38">
        <f t="shared" si="5"/>
        <v>-308993742.97662669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-30814363</v>
      </c>
      <c r="E21" s="38">
        <v>-78054921</v>
      </c>
      <c r="F21" s="60">
        <f t="shared" si="6"/>
        <v>0</v>
      </c>
      <c r="G21" s="37">
        <f t="shared" si="6"/>
        <v>0</v>
      </c>
      <c r="H21" s="65">
        <f t="shared" si="4"/>
        <v>-30814363</v>
      </c>
      <c r="I21" s="66">
        <f t="shared" si="4"/>
        <v>-78054921</v>
      </c>
      <c r="J21" s="60"/>
      <c r="K21" s="38"/>
      <c r="L21" s="60">
        <f t="shared" si="5"/>
        <v>-30814363</v>
      </c>
      <c r="M21" s="38">
        <f t="shared" si="5"/>
        <v>-78054921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152027</v>
      </c>
      <c r="E23" s="38">
        <v>362607</v>
      </c>
      <c r="F23" s="60">
        <f t="shared" si="6"/>
        <v>0</v>
      </c>
      <c r="G23" s="37">
        <f t="shared" si="6"/>
        <v>0</v>
      </c>
      <c r="H23" s="65">
        <f t="shared" si="4"/>
        <v>152027</v>
      </c>
      <c r="I23" s="66">
        <f t="shared" si="4"/>
        <v>362607</v>
      </c>
      <c r="J23" s="60"/>
      <c r="K23" s="38"/>
      <c r="L23" s="60">
        <f t="shared" si="5"/>
        <v>152027</v>
      </c>
      <c r="M23" s="38">
        <f t="shared" si="5"/>
        <v>362607</v>
      </c>
    </row>
    <row r="24" spans="1:13" x14ac:dyDescent="0.2">
      <c r="A24" s="9"/>
      <c r="B24" s="7" t="s">
        <v>33</v>
      </c>
      <c r="C24" s="6"/>
      <c r="D24" s="61">
        <v>-134269425</v>
      </c>
      <c r="E24" s="39">
        <v>-386686056.97662669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-134269425</v>
      </c>
      <c r="I24" s="39">
        <f>SUM(I19:I23)</f>
        <v>-386686056.97662669</v>
      </c>
      <c r="J24" s="61">
        <f t="shared" si="7"/>
        <v>0</v>
      </c>
      <c r="K24" s="39">
        <f t="shared" si="7"/>
        <v>0</v>
      </c>
      <c r="L24" s="61">
        <f t="shared" si="7"/>
        <v>-134269425</v>
      </c>
      <c r="M24" s="39">
        <f t="shared" si="7"/>
        <v>-386686056.97662669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-3098</v>
      </c>
      <c r="E32" s="38">
        <v>-75353</v>
      </c>
      <c r="F32" s="60">
        <f>H32-D32</f>
        <v>0</v>
      </c>
      <c r="G32" s="37">
        <f>I32-E32</f>
        <v>0</v>
      </c>
      <c r="H32" s="65">
        <f t="shared" ref="H32:I35" si="9">D32</f>
        <v>-3098</v>
      </c>
      <c r="I32" s="66">
        <f t="shared" si="9"/>
        <v>-75353</v>
      </c>
      <c r="J32" s="60"/>
      <c r="K32" s="38"/>
      <c r="L32" s="60">
        <f t="shared" ref="L32:M35" si="10">H32+J32</f>
        <v>-3098</v>
      </c>
      <c r="M32" s="38">
        <f t="shared" si="10"/>
        <v>-75353</v>
      </c>
    </row>
    <row r="33" spans="1:13" x14ac:dyDescent="0.2">
      <c r="A33" s="9">
        <v>14</v>
      </c>
      <c r="B33" s="7"/>
      <c r="C33" s="18" t="s">
        <v>40</v>
      </c>
      <c r="D33" s="60">
        <v>830902</v>
      </c>
      <c r="E33" s="38">
        <v>2045437</v>
      </c>
      <c r="F33" s="60">
        <f t="shared" ref="F33:G35" si="11">H33-D33</f>
        <v>0</v>
      </c>
      <c r="G33" s="37">
        <f t="shared" si="11"/>
        <v>0</v>
      </c>
      <c r="H33" s="65">
        <f t="shared" si="9"/>
        <v>830902</v>
      </c>
      <c r="I33" s="66">
        <f t="shared" si="9"/>
        <v>2045437</v>
      </c>
      <c r="J33" s="60"/>
      <c r="K33" s="38"/>
      <c r="L33" s="60">
        <f t="shared" si="10"/>
        <v>830902</v>
      </c>
      <c r="M33" s="38">
        <f t="shared" si="10"/>
        <v>2045437</v>
      </c>
    </row>
    <row r="34" spans="1:13" x14ac:dyDescent="0.2">
      <c r="A34" s="9">
        <v>15</v>
      </c>
      <c r="B34" s="7"/>
      <c r="C34" s="18" t="s">
        <v>41</v>
      </c>
      <c r="D34" s="60">
        <v>-844605</v>
      </c>
      <c r="E34" s="38">
        <v>-2079004</v>
      </c>
      <c r="F34" s="60">
        <f t="shared" si="11"/>
        <v>0</v>
      </c>
      <c r="G34" s="37">
        <f t="shared" si="11"/>
        <v>0</v>
      </c>
      <c r="H34" s="65">
        <f t="shared" si="9"/>
        <v>-844605</v>
      </c>
      <c r="I34" s="66">
        <f t="shared" si="9"/>
        <v>-2079004</v>
      </c>
      <c r="J34" s="60"/>
      <c r="K34" s="38"/>
      <c r="L34" s="60">
        <f t="shared" si="10"/>
        <v>-844605</v>
      </c>
      <c r="M34" s="38">
        <f t="shared" si="10"/>
        <v>-2079004</v>
      </c>
    </row>
    <row r="35" spans="1:13" x14ac:dyDescent="0.2">
      <c r="A35" s="9">
        <v>16</v>
      </c>
      <c r="B35" s="7"/>
      <c r="C35" s="18" t="s">
        <v>42</v>
      </c>
      <c r="D35" s="60">
        <v>501387</v>
      </c>
      <c r="E35" s="38">
        <v>5752</v>
      </c>
      <c r="F35" s="60">
        <f t="shared" si="11"/>
        <v>0</v>
      </c>
      <c r="G35" s="37">
        <f t="shared" si="11"/>
        <v>0</v>
      </c>
      <c r="H35" s="65">
        <f t="shared" si="9"/>
        <v>501387</v>
      </c>
      <c r="I35" s="66">
        <f t="shared" si="9"/>
        <v>5752</v>
      </c>
      <c r="J35" s="60"/>
      <c r="K35" s="38"/>
      <c r="L35" s="60">
        <f t="shared" si="10"/>
        <v>501387</v>
      </c>
      <c r="M35" s="38">
        <f t="shared" si="10"/>
        <v>5752</v>
      </c>
    </row>
    <row r="36" spans="1:13" x14ac:dyDescent="0.2">
      <c r="A36" s="9"/>
      <c r="B36" s="7" t="s">
        <v>43</v>
      </c>
      <c r="C36" s="6"/>
      <c r="D36" s="61">
        <v>484586</v>
      </c>
      <c r="E36" s="39">
        <v>-103168</v>
      </c>
      <c r="F36" s="61">
        <f>SUM(F32:F35)</f>
        <v>0</v>
      </c>
      <c r="G36" s="39">
        <f>SUM(G32:G35)</f>
        <v>0</v>
      </c>
      <c r="H36" s="61">
        <f>SUM(H32:H35)</f>
        <v>484586</v>
      </c>
      <c r="I36" s="39">
        <f>SUM(I32:I35)</f>
        <v>-103168</v>
      </c>
      <c r="J36" s="61">
        <f>SUM(J32:J34)</f>
        <v>0</v>
      </c>
      <c r="K36" s="39">
        <f>SUM(K32:K34)</f>
        <v>0</v>
      </c>
      <c r="L36" s="61">
        <f>SUM(L32:L35)</f>
        <v>484586</v>
      </c>
      <c r="M36" s="39">
        <f>SUM(M32:M35)</f>
        <v>-103168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243284</v>
      </c>
      <c r="E40" s="38">
        <v>744449</v>
      </c>
      <c r="F40" s="60">
        <f t="shared" si="13"/>
        <v>0</v>
      </c>
      <c r="G40" s="37">
        <f t="shared" si="13"/>
        <v>0</v>
      </c>
      <c r="H40" s="65">
        <f t="shared" si="12"/>
        <v>243284</v>
      </c>
      <c r="I40" s="66">
        <f t="shared" si="12"/>
        <v>744449</v>
      </c>
      <c r="J40" s="60"/>
      <c r="K40" s="38"/>
      <c r="L40" s="60">
        <f t="shared" si="14"/>
        <v>243284</v>
      </c>
      <c r="M40" s="38">
        <f t="shared" si="14"/>
        <v>744449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243284</v>
      </c>
      <c r="E42" s="39">
        <v>744449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243284</v>
      </c>
      <c r="I42" s="39">
        <f>SUM(I40:I41)</f>
        <v>744449</v>
      </c>
      <c r="J42" s="61">
        <f t="shared" si="15"/>
        <v>0</v>
      </c>
      <c r="K42" s="39">
        <f t="shared" si="15"/>
        <v>0</v>
      </c>
      <c r="L42" s="61">
        <f t="shared" si="15"/>
        <v>243284</v>
      </c>
      <c r="M42" s="39">
        <f t="shared" si="15"/>
        <v>744449</v>
      </c>
    </row>
    <row r="43" spans="1:13" ht="21" customHeight="1" x14ac:dyDescent="0.2">
      <c r="A43" s="9"/>
      <c r="B43" s="7" t="s">
        <v>49</v>
      </c>
      <c r="C43" s="6"/>
      <c r="D43" s="61">
        <v>243284</v>
      </c>
      <c r="E43" s="39">
        <v>744449</v>
      </c>
      <c r="F43" s="61">
        <f t="shared" ref="F43:M43" si="16">F42+F39</f>
        <v>0</v>
      </c>
      <c r="G43" s="39">
        <f t="shared" si="16"/>
        <v>0</v>
      </c>
      <c r="H43" s="61">
        <f>H42+H39</f>
        <v>243284</v>
      </c>
      <c r="I43" s="39">
        <f>I42+I39</f>
        <v>744449</v>
      </c>
      <c r="J43" s="61">
        <f t="shared" si="16"/>
        <v>0</v>
      </c>
      <c r="K43" s="39">
        <f t="shared" si="16"/>
        <v>0</v>
      </c>
      <c r="L43" s="61">
        <f t="shared" si="16"/>
        <v>243284</v>
      </c>
      <c r="M43" s="39">
        <f t="shared" si="16"/>
        <v>744449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-1567860</v>
      </c>
      <c r="E49" s="38">
        <v>-4684753.5083662346</v>
      </c>
      <c r="F49" s="60">
        <f>H49-D49</f>
        <v>0</v>
      </c>
      <c r="G49" s="37">
        <f>I49-E49</f>
        <v>0</v>
      </c>
      <c r="H49" s="65">
        <f>D49</f>
        <v>-1567860</v>
      </c>
      <c r="I49" s="66">
        <f>E49</f>
        <v>-4684753.5083662346</v>
      </c>
      <c r="J49" s="60"/>
      <c r="K49" s="38"/>
      <c r="L49" s="60">
        <f>H49+J49</f>
        <v>-1567860</v>
      </c>
      <c r="M49" s="38">
        <f>I49+K49</f>
        <v>-4684753.5083662346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-152027</v>
      </c>
      <c r="E51" s="38">
        <v>-362607</v>
      </c>
      <c r="F51" s="60">
        <f>H51-D51</f>
        <v>0</v>
      </c>
      <c r="G51" s="37">
        <f>I51-E51</f>
        <v>0</v>
      </c>
      <c r="H51" s="65">
        <f>D51</f>
        <v>-152027</v>
      </c>
      <c r="I51" s="66">
        <f>E51</f>
        <v>-362607</v>
      </c>
      <c r="J51" s="60"/>
      <c r="K51" s="38"/>
      <c r="L51" s="60">
        <f>H51+J51</f>
        <v>-152027</v>
      </c>
      <c r="M51" s="38">
        <f>I51+K51</f>
        <v>-362607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-402213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-402213</v>
      </c>
      <c r="J54" s="60"/>
      <c r="K54" s="38"/>
      <c r="L54" s="60">
        <f>H54+J54</f>
        <v>0</v>
      </c>
      <c r="M54" s="38">
        <f>I54+K54</f>
        <v>-402213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-490388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-490388</v>
      </c>
      <c r="J55" s="60"/>
      <c r="K55" s="38"/>
      <c r="L55" s="60">
        <f>H55+J55</f>
        <v>0</v>
      </c>
      <c r="M55" s="38">
        <f>I55+K55</f>
        <v>-490388</v>
      </c>
    </row>
    <row r="56" spans="1:15" x14ac:dyDescent="0.2">
      <c r="A56" s="9"/>
      <c r="B56" s="7" t="s">
        <v>57</v>
      </c>
      <c r="C56" s="6"/>
      <c r="D56" s="61">
        <v>0</v>
      </c>
      <c r="E56" s="39">
        <v>-892601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-892601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-892601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-82527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-82527</v>
      </c>
      <c r="J60" s="60"/>
      <c r="K60" s="38"/>
      <c r="L60" s="60">
        <f>H60+J60</f>
        <v>0</v>
      </c>
      <c r="M60" s="38">
        <f>I60+K60</f>
        <v>-82527</v>
      </c>
    </row>
    <row r="61" spans="1:15" x14ac:dyDescent="0.2">
      <c r="A61" s="9"/>
      <c r="B61" s="62" t="s">
        <v>61</v>
      </c>
      <c r="C61" s="6"/>
      <c r="D61" s="61">
        <v>0</v>
      </c>
      <c r="E61" s="39">
        <v>-82527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-82527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-82527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42944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42944</v>
      </c>
      <c r="J64" s="60"/>
      <c r="K64" s="38"/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42944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42944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15355188.296300001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15355188.296300001</v>
      </c>
      <c r="J70" s="60"/>
      <c r="K70" s="38"/>
      <c r="L70" s="60">
        <f>H70+J70</f>
        <v>0</v>
      </c>
      <c r="M70" s="38">
        <f>I70+K70</f>
        <v>15355188.296300001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-6851832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-6851832</v>
      </c>
      <c r="J71" s="60"/>
      <c r="K71" s="38"/>
      <c r="L71" s="60">
        <f>H71+J71</f>
        <v>0</v>
      </c>
      <c r="M71" s="38">
        <f>I71+K71</f>
        <v>-6851832</v>
      </c>
    </row>
    <row r="72" spans="1:13" x14ac:dyDescent="0.2">
      <c r="A72" s="9"/>
      <c r="B72" s="3"/>
      <c r="C72" s="55" t="s">
        <v>69</v>
      </c>
      <c r="D72" s="61">
        <v>0</v>
      </c>
      <c r="E72" s="39">
        <v>8503356.2963000014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8503356.2963000014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8503356.2963000014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5094995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5094995</v>
      </c>
      <c r="J74" s="60"/>
      <c r="K74" s="38"/>
      <c r="L74" s="60">
        <f t="shared" si="22"/>
        <v>0</v>
      </c>
      <c r="M74" s="38">
        <f t="shared" si="22"/>
        <v>5094995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14426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14426</v>
      </c>
      <c r="J75" s="60"/>
      <c r="K75" s="38"/>
      <c r="L75" s="60">
        <f t="shared" si="22"/>
        <v>0</v>
      </c>
      <c r="M75" s="38">
        <f t="shared" si="22"/>
        <v>14426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-15665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-15665</v>
      </c>
      <c r="J76" s="60"/>
      <c r="K76" s="38"/>
      <c r="L76" s="60">
        <f t="shared" si="22"/>
        <v>0</v>
      </c>
      <c r="M76" s="38">
        <f t="shared" si="22"/>
        <v>-15665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23732.85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23732.85</v>
      </c>
      <c r="J78" s="60"/>
      <c r="K78" s="38"/>
      <c r="L78" s="60">
        <f t="shared" si="22"/>
        <v>0</v>
      </c>
      <c r="M78" s="38">
        <f t="shared" si="22"/>
        <v>23732.85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-20325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-20325</v>
      </c>
      <c r="J81" s="60"/>
      <c r="K81" s="38"/>
      <c r="L81" s="60">
        <f t="shared" si="22"/>
        <v>0</v>
      </c>
      <c r="M81" s="38">
        <f t="shared" si="22"/>
        <v>-20325</v>
      </c>
    </row>
    <row r="82" spans="1:67" s="44" customFormat="1" ht="20.25" customHeight="1" thickBot="1" x14ac:dyDescent="0.25">
      <c r="A82" s="40"/>
      <c r="B82" s="41"/>
      <c r="C82" s="42" t="s">
        <v>168</v>
      </c>
      <c r="D82" s="163">
        <f>D16+D24+D29+D36+D43+D45+D47+D49</f>
        <v>60000</v>
      </c>
      <c r="E82" s="162">
        <f>SUM(E72:E81)+E16+E24+E29+E36+E43+E45+E47+E49+E51+E56+E61+E66</f>
        <v>-316732.33869291097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-316732.33869291097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-316732.33869291097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68"/>
      <c r="C86" s="10" t="s">
        <v>166</v>
      </c>
      <c r="D86" s="172">
        <v>0</v>
      </c>
      <c r="E86" s="172">
        <v>580000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580000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580000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v>0</v>
      </c>
      <c r="G88" s="174">
        <v>0</v>
      </c>
      <c r="H88" s="174">
        <f t="shared" si="24"/>
        <v>0</v>
      </c>
      <c r="I88" s="174">
        <f t="shared" si="24"/>
        <v>0</v>
      </c>
      <c r="J88" s="174">
        <v>0</v>
      </c>
      <c r="K88" s="174">
        <v>0</v>
      </c>
      <c r="L88" s="174">
        <f t="shared" si="25"/>
        <v>0</v>
      </c>
      <c r="M88" s="174">
        <f t="shared" si="25"/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80">
        <f>SUM(D86:D88)</f>
        <v>0</v>
      </c>
      <c r="E89" s="180">
        <f t="shared" ref="E89:M89" si="26">SUM(E86:E88)</f>
        <v>580000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580000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580000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80">
        <f>+D82+D89</f>
        <v>60000</v>
      </c>
      <c r="E91" s="180">
        <f t="shared" ref="E91:M91" si="27">+E82+E89</f>
        <v>263267.66130708903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263267.66130708903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263267.66130708903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26</vt:i4>
      </vt:variant>
    </vt:vector>
  </HeadingPairs>
  <TitlesOfParts>
    <vt:vector size="77" baseType="lpstr">
      <vt:lpstr>Printout</vt:lpstr>
      <vt:lpstr>Check</vt:lpstr>
      <vt:lpstr>TOTAL</vt:lpstr>
      <vt:lpstr>RECLASS</vt:lpstr>
      <vt:lpstr>TIE-OUT</vt:lpstr>
      <vt:lpstr>CE-FLSH</vt:lpstr>
      <vt:lpstr>SITHE-FLSH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SITHE_GL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SITHE-VAR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2000-01-26T21:39:10Z</cp:lastPrinted>
  <dcterms:created xsi:type="dcterms:W3CDTF">1997-07-11T21:57:33Z</dcterms:created>
  <dcterms:modified xsi:type="dcterms:W3CDTF">2014-09-05T10:40:21Z</dcterms:modified>
</cp:coreProperties>
</file>