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95" yWindow="-60" windowWidth="14220" windowHeight="8670" activeTab="1"/>
  </bookViews>
  <sheets>
    <sheet name="Production_&amp;_Consumption" sheetId="9" r:id="rId1"/>
    <sheet name="Margin_Analysis" sheetId="10" r:id="rId2"/>
  </sheets>
  <calcPr calcId="152511"/>
</workbook>
</file>

<file path=xl/calcChain.xml><?xml version="1.0" encoding="utf-8"?>
<calcChain xmlns="http://schemas.openxmlformats.org/spreadsheetml/2006/main">
  <c r="B11" i="10" l="1"/>
  <c r="C11" i="10"/>
  <c r="D11" i="10"/>
  <c r="E11" i="10"/>
  <c r="F11" i="10"/>
  <c r="B12" i="10"/>
  <c r="C12" i="10"/>
  <c r="D12" i="10"/>
  <c r="E12" i="10"/>
  <c r="F12" i="10"/>
  <c r="B13" i="10"/>
  <c r="C13" i="10"/>
  <c r="D13" i="10"/>
  <c r="E13" i="10"/>
  <c r="F13" i="10"/>
  <c r="B14" i="10"/>
  <c r="C14" i="10"/>
  <c r="D14" i="10"/>
  <c r="E14" i="10"/>
  <c r="F14" i="10"/>
  <c r="B15" i="10"/>
  <c r="C15" i="10"/>
  <c r="D15" i="10"/>
  <c r="E15" i="10"/>
  <c r="F15" i="10"/>
  <c r="B16" i="10"/>
  <c r="C16" i="10"/>
  <c r="D16" i="10"/>
  <c r="E16" i="10"/>
  <c r="F16" i="10"/>
  <c r="B17" i="10"/>
  <c r="C17" i="10"/>
  <c r="D17" i="10"/>
  <c r="E17" i="10"/>
  <c r="F17" i="10"/>
  <c r="B18" i="10"/>
  <c r="C18" i="10"/>
  <c r="D18" i="10"/>
  <c r="E18" i="10"/>
  <c r="F18" i="10"/>
  <c r="B19" i="10"/>
  <c r="C19" i="10"/>
  <c r="D19" i="10"/>
  <c r="E19" i="10"/>
  <c r="F19" i="10"/>
  <c r="B20" i="10"/>
  <c r="C20" i="10"/>
  <c r="D20" i="10"/>
  <c r="E20" i="10"/>
  <c r="F20" i="10"/>
  <c r="B21" i="10"/>
  <c r="C21" i="10"/>
  <c r="D21" i="10"/>
  <c r="E21" i="10"/>
  <c r="F21" i="10"/>
  <c r="B22" i="10"/>
  <c r="C22" i="10"/>
  <c r="D22" i="10"/>
  <c r="E22" i="10"/>
  <c r="F22" i="10"/>
  <c r="B23" i="10"/>
  <c r="C23" i="10"/>
  <c r="D23" i="10"/>
  <c r="E23" i="10"/>
  <c r="F23" i="10"/>
  <c r="J6" i="9"/>
  <c r="G11" i="10" s="1"/>
  <c r="K6" i="9"/>
  <c r="J7" i="9"/>
  <c r="G12" i="10" s="1"/>
  <c r="I12" i="10" s="1"/>
  <c r="K7" i="9"/>
  <c r="H12" i="10" s="1"/>
  <c r="J8" i="9"/>
  <c r="G13" i="10" s="1"/>
  <c r="J9" i="9"/>
  <c r="G14" i="10" s="1"/>
  <c r="I14" i="10" s="1"/>
  <c r="K9" i="9"/>
  <c r="H14" i="10" s="1"/>
  <c r="J10" i="9"/>
  <c r="G15" i="10" s="1"/>
  <c r="K10" i="9"/>
  <c r="H15" i="10" s="1"/>
  <c r="J11" i="9"/>
  <c r="G16" i="10" s="1"/>
  <c r="K11" i="9"/>
  <c r="H16" i="10" s="1"/>
  <c r="J12" i="9"/>
  <c r="G17" i="10" s="1"/>
  <c r="J13" i="9"/>
  <c r="G18" i="10" s="1"/>
  <c r="K13" i="9"/>
  <c r="H18" i="10" s="1"/>
  <c r="J14" i="9"/>
  <c r="G19" i="10" s="1"/>
  <c r="K14" i="9"/>
  <c r="H19" i="10" s="1"/>
  <c r="J15" i="9"/>
  <c r="G20" i="10" s="1"/>
  <c r="I20" i="10" s="1"/>
  <c r="K15" i="9"/>
  <c r="H20" i="10" s="1"/>
  <c r="J16" i="9"/>
  <c r="G21" i="10" s="1"/>
  <c r="J17" i="9"/>
  <c r="G22" i="10" s="1"/>
  <c r="K17" i="9"/>
  <c r="H22" i="10" s="1"/>
  <c r="B18" i="9"/>
  <c r="J18" i="9"/>
  <c r="I15" i="10" l="1"/>
  <c r="I19" i="10"/>
  <c r="G23" i="10"/>
  <c r="I18" i="10"/>
  <c r="I22" i="10"/>
  <c r="I21" i="10"/>
  <c r="I16" i="10"/>
  <c r="H11" i="10"/>
  <c r="K16" i="9"/>
  <c r="H21" i="10" s="1"/>
  <c r="K12" i="9"/>
  <c r="H17" i="10" s="1"/>
  <c r="I17" i="10" s="1"/>
  <c r="K8" i="9"/>
  <c r="H13" i="10" s="1"/>
  <c r="I13" i="10" s="1"/>
  <c r="H23" i="10" l="1"/>
  <c r="I23" i="10" s="1"/>
  <c r="I11" i="10"/>
  <c r="K18" i="9"/>
</calcChain>
</file>

<file path=xl/comments1.xml><?xml version="1.0" encoding="utf-8"?>
<comments xmlns="http://schemas.openxmlformats.org/spreadsheetml/2006/main">
  <authors>
    <author>rring</author>
  </authors>
  <commentList>
    <comment ref="G4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Residential and Small Commercial Loads Only.
</t>
        </r>
      </text>
    </comment>
    <comment ref="H4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Residential and Small Commercial Load Only.</t>
        </r>
      </text>
    </comment>
    <comment ref="I4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Residential and Small Commercial Load Only.
</t>
        </r>
      </text>
    </comment>
    <comment ref="J4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Residential and Small Commercial Only.</t>
        </r>
      </text>
    </comment>
  </commentList>
</comments>
</file>

<file path=xl/comments2.xml><?xml version="1.0" encoding="utf-8"?>
<comments xmlns="http://schemas.openxmlformats.org/spreadsheetml/2006/main">
  <authors>
    <author>rring</author>
  </authors>
  <commentList>
    <comment ref="A1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Purchase price from Enron Wind Development Company (Green Power Partners).
</t>
        </r>
      </text>
    </comment>
    <comment ref="A2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SP15 forward power price provided by Todd Perry.</t>
        </r>
      </text>
    </comment>
    <comment ref="A3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Lost Arrow Green Power Premium.
</t>
        </r>
      </text>
    </comment>
    <comment ref="A4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LADWP(1) Green Power Premium.
</t>
        </r>
      </text>
    </comment>
    <comment ref="A5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LADWP(2) Green Power Premium.</t>
        </r>
      </text>
    </comment>
    <comment ref="A6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California Energy Commission Customer Sub-Account Credit.-</t>
        </r>
      </text>
    </comment>
    <comment ref="G9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Residential and Small Commercial Only.</t>
        </r>
      </text>
    </comment>
  </commentList>
</comments>
</file>

<file path=xl/sharedStrings.xml><?xml version="1.0" encoding="utf-8"?>
<sst xmlns="http://schemas.openxmlformats.org/spreadsheetml/2006/main" count="42" uniqueCount="22">
  <si>
    <t>MWh's</t>
  </si>
  <si>
    <t>Actual_Capacity</t>
  </si>
  <si>
    <t>Lost Arrow</t>
  </si>
  <si>
    <t>EPMI/EEMC</t>
  </si>
  <si>
    <t>Total</t>
  </si>
  <si>
    <t>EESI_Total_Load</t>
  </si>
  <si>
    <t>EEMC_Total_Load</t>
  </si>
  <si>
    <t>Total_Load</t>
  </si>
  <si>
    <t>Green_e_Load</t>
  </si>
  <si>
    <t>Net_Wind_Position</t>
  </si>
  <si>
    <t>EPMI/LADWP(1)</t>
  </si>
  <si>
    <t>EPMI/LADWP(2)</t>
  </si>
  <si>
    <t>Cost(s)</t>
  </si>
  <si>
    <t>Revenues</t>
  </si>
  <si>
    <t>EWDC(GPP)</t>
  </si>
  <si>
    <t>Margin</t>
  </si>
  <si>
    <t>EWDC Green Price</t>
  </si>
  <si>
    <t>SP15 Forward Price</t>
  </si>
  <si>
    <t>Lost Arrow Premium</t>
  </si>
  <si>
    <t>LADWP(1) Premium</t>
  </si>
  <si>
    <t>LADWP(2) Premium</t>
  </si>
  <si>
    <t>CA CEC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</si>
</sst>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7" fontId="0" fillId="0" borderId="0" xfId="0" applyNumberFormat="1"/>
    <xf numFmtId="40" fontId="0" fillId="0" borderId="0" xfId="0" applyNumberFormat="1"/>
    <xf numFmtId="40" fontId="0" fillId="0" borderId="0" xfId="0" applyNumberFormat="1" applyAlignment="1">
      <alignment horizontal="center"/>
    </xf>
    <xf numFmtId="40" fontId="3" fillId="0" borderId="0" xfId="0" applyNumberFormat="1" applyFont="1"/>
    <xf numFmtId="40" fontId="4" fillId="0" borderId="0" xfId="0" applyNumberFormat="1" applyFont="1"/>
    <xf numFmtId="40" fontId="0" fillId="0" borderId="0" xfId="0" applyNumberFormat="1" applyAlignment="1">
      <alignment horizontal="right"/>
    </xf>
    <xf numFmtId="40" fontId="0" fillId="0" borderId="1" xfId="0" applyNumberFormat="1" applyBorder="1" applyAlignment="1">
      <alignment horizontal="right"/>
    </xf>
    <xf numFmtId="40" fontId="0" fillId="0" borderId="2" xfId="0" applyNumberFormat="1" applyBorder="1" applyAlignment="1">
      <alignment horizontal="center"/>
    </xf>
    <xf numFmtId="40" fontId="0" fillId="0" borderId="2" xfId="0" applyNumberFormat="1" applyBorder="1" applyAlignment="1">
      <alignment horizontal="right"/>
    </xf>
    <xf numFmtId="40" fontId="0" fillId="0" borderId="0" xfId="0" applyNumberFormat="1" applyBorder="1" applyAlignment="1">
      <alignment horizontal="right"/>
    </xf>
    <xf numFmtId="40" fontId="4" fillId="0" borderId="0" xfId="0" applyNumberFormat="1" applyFont="1" applyAlignment="1">
      <alignment horizontal="right"/>
    </xf>
    <xf numFmtId="40" fontId="4" fillId="0" borderId="2" xfId="0" applyNumberFormat="1" applyFont="1" applyBorder="1" applyAlignment="1">
      <alignment horizontal="right"/>
    </xf>
    <xf numFmtId="40" fontId="0" fillId="0" borderId="1" xfId="0" applyNumberFormat="1" applyBorder="1"/>
    <xf numFmtId="40" fontId="0" fillId="2" borderId="3" xfId="0" applyNumberFormat="1" applyFill="1" applyBorder="1"/>
    <xf numFmtId="40" fontId="5" fillId="0" borderId="3" xfId="0" applyNumberFormat="1" applyFont="1" applyFill="1" applyBorder="1" applyAlignment="1">
      <alignment horizontal="right"/>
    </xf>
    <xf numFmtId="40" fontId="4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4:K19"/>
  <sheetViews>
    <sheetView zoomScale="75" workbookViewId="0"/>
  </sheetViews>
  <sheetFormatPr defaultRowHeight="12.75" x14ac:dyDescent="0.2"/>
  <cols>
    <col min="1" max="1" width="7.140625" bestFit="1" customWidth="1"/>
    <col min="2" max="11" width="15.7109375" style="2" customWidth="1"/>
  </cols>
  <sheetData>
    <row r="4" spans="1:11" x14ac:dyDescent="0.2">
      <c r="B4" s="3" t="s">
        <v>1</v>
      </c>
      <c r="C4" s="3" t="s">
        <v>2</v>
      </c>
      <c r="D4" s="3" t="s">
        <v>3</v>
      </c>
      <c r="E4" s="3" t="s">
        <v>10</v>
      </c>
      <c r="F4" s="3" t="s">
        <v>11</v>
      </c>
      <c r="G4" s="2" t="s">
        <v>5</v>
      </c>
      <c r="H4" s="2" t="s">
        <v>6</v>
      </c>
      <c r="I4" s="3" t="s">
        <v>7</v>
      </c>
      <c r="J4" s="3" t="s">
        <v>8</v>
      </c>
      <c r="K4" s="3" t="s">
        <v>9</v>
      </c>
    </row>
    <row r="5" spans="1:11" x14ac:dyDescent="0.2">
      <c r="B5" s="8" t="s">
        <v>0</v>
      </c>
      <c r="C5" s="8" t="s">
        <v>0</v>
      </c>
      <c r="D5" s="8" t="s">
        <v>0</v>
      </c>
      <c r="E5" s="8" t="s">
        <v>0</v>
      </c>
      <c r="F5" s="8" t="s">
        <v>0</v>
      </c>
      <c r="G5" s="8" t="s">
        <v>0</v>
      </c>
      <c r="H5" s="8" t="s">
        <v>0</v>
      </c>
      <c r="I5" s="8" t="s">
        <v>0</v>
      </c>
      <c r="J5" s="8" t="s">
        <v>0</v>
      </c>
      <c r="K5" s="8" t="s">
        <v>0</v>
      </c>
    </row>
    <row r="6" spans="1:11" x14ac:dyDescent="0.2">
      <c r="A6" s="1">
        <v>37257</v>
      </c>
      <c r="B6" s="2">
        <v>4296.6000000000004</v>
      </c>
      <c r="C6" s="2">
        <v>107.01369863013699</v>
      </c>
      <c r="D6" s="2">
        <v>744</v>
      </c>
      <c r="E6" s="2">
        <v>672</v>
      </c>
      <c r="F6" s="2">
        <v>1344</v>
      </c>
      <c r="G6" s="5">
        <v>6000</v>
      </c>
      <c r="H6" s="5">
        <v>10</v>
      </c>
      <c r="I6" s="5">
        <v>6010</v>
      </c>
      <c r="J6" s="5">
        <f>I6*0.1</f>
        <v>601</v>
      </c>
      <c r="K6" s="2">
        <f>B6-SUM(C6:F6,J6)</f>
        <v>828.58630136986358</v>
      </c>
    </row>
    <row r="7" spans="1:11" x14ac:dyDescent="0.2">
      <c r="A7" s="1">
        <v>37288</v>
      </c>
      <c r="B7" s="2">
        <v>3880.8</v>
      </c>
      <c r="C7" s="2">
        <v>96.657534246575338</v>
      </c>
      <c r="D7" s="2">
        <v>672</v>
      </c>
      <c r="E7" s="2">
        <v>672</v>
      </c>
      <c r="F7" s="2">
        <v>1344</v>
      </c>
      <c r="G7" s="5">
        <v>6000</v>
      </c>
      <c r="H7" s="5">
        <v>10</v>
      </c>
      <c r="I7" s="5">
        <v>6010</v>
      </c>
      <c r="J7" s="5">
        <f t="shared" ref="J7:J17" si="0">I7*0.1</f>
        <v>601</v>
      </c>
      <c r="K7" s="2">
        <f t="shared" ref="K7:K17" si="1">B7-SUM(C7:F7,J7)</f>
        <v>495.14246575342486</v>
      </c>
    </row>
    <row r="8" spans="1:11" x14ac:dyDescent="0.2">
      <c r="A8" s="1">
        <v>37316</v>
      </c>
      <c r="B8" s="2">
        <v>4296.6000000000004</v>
      </c>
      <c r="C8" s="2">
        <v>107.01369863013699</v>
      </c>
      <c r="D8" s="2">
        <v>744</v>
      </c>
      <c r="E8" s="2">
        <v>840</v>
      </c>
      <c r="F8" s="2">
        <v>1680</v>
      </c>
      <c r="G8" s="5">
        <v>6000</v>
      </c>
      <c r="H8" s="5">
        <v>10</v>
      </c>
      <c r="I8" s="5">
        <v>6010</v>
      </c>
      <c r="J8" s="5">
        <f t="shared" si="0"/>
        <v>601</v>
      </c>
      <c r="K8" s="2">
        <f t="shared" si="1"/>
        <v>324.58630136986358</v>
      </c>
    </row>
    <row r="9" spans="1:11" x14ac:dyDescent="0.2">
      <c r="A9" s="1">
        <v>37347</v>
      </c>
      <c r="B9" s="2">
        <v>4158</v>
      </c>
      <c r="C9" s="2">
        <v>103.56164383561644</v>
      </c>
      <c r="D9" s="2">
        <v>720</v>
      </c>
      <c r="E9" s="2">
        <v>672</v>
      </c>
      <c r="F9" s="2">
        <v>1344</v>
      </c>
      <c r="G9" s="5">
        <v>6000</v>
      </c>
      <c r="H9" s="5">
        <v>10</v>
      </c>
      <c r="I9" s="5">
        <v>6010</v>
      </c>
      <c r="J9" s="5">
        <f t="shared" si="0"/>
        <v>601</v>
      </c>
      <c r="K9" s="2">
        <f t="shared" si="1"/>
        <v>717.43835616438355</v>
      </c>
    </row>
    <row r="10" spans="1:11" x14ac:dyDescent="0.2">
      <c r="A10" s="1">
        <v>37377</v>
      </c>
      <c r="B10" s="2">
        <v>4296.6000000000004</v>
      </c>
      <c r="C10" s="2">
        <v>107.01369863013699</v>
      </c>
      <c r="D10" s="2">
        <v>744</v>
      </c>
      <c r="E10" s="2">
        <v>672</v>
      </c>
      <c r="F10" s="2">
        <v>1344</v>
      </c>
      <c r="G10" s="5">
        <v>6000</v>
      </c>
      <c r="H10" s="5">
        <v>10</v>
      </c>
      <c r="I10" s="5">
        <v>6010</v>
      </c>
      <c r="J10" s="5">
        <f t="shared" si="0"/>
        <v>601</v>
      </c>
      <c r="K10" s="2">
        <f t="shared" si="1"/>
        <v>828.58630136986358</v>
      </c>
    </row>
    <row r="11" spans="1:11" x14ac:dyDescent="0.2">
      <c r="A11" s="1">
        <v>37408</v>
      </c>
      <c r="B11" s="2">
        <v>4158</v>
      </c>
      <c r="C11" s="2">
        <v>103.56164383561644</v>
      </c>
      <c r="D11" s="2">
        <v>720</v>
      </c>
      <c r="E11" s="2">
        <v>840</v>
      </c>
      <c r="F11" s="2">
        <v>1680</v>
      </c>
      <c r="G11" s="5">
        <v>6000</v>
      </c>
      <c r="H11" s="5">
        <v>10</v>
      </c>
      <c r="I11" s="5">
        <v>6010</v>
      </c>
      <c r="J11" s="5">
        <f t="shared" si="0"/>
        <v>601</v>
      </c>
      <c r="K11" s="2">
        <f t="shared" si="1"/>
        <v>213.43835616438355</v>
      </c>
    </row>
    <row r="12" spans="1:11" x14ac:dyDescent="0.2">
      <c r="A12" s="1">
        <v>37438</v>
      </c>
      <c r="B12" s="2">
        <v>4296.6000000000004</v>
      </c>
      <c r="C12" s="2">
        <v>107.01369863013699</v>
      </c>
      <c r="D12" s="2">
        <v>744</v>
      </c>
      <c r="E12" s="2">
        <v>672</v>
      </c>
      <c r="F12" s="2">
        <v>1344</v>
      </c>
      <c r="G12" s="5">
        <v>6000</v>
      </c>
      <c r="H12" s="5">
        <v>10</v>
      </c>
      <c r="I12" s="5">
        <v>6010</v>
      </c>
      <c r="J12" s="5">
        <f t="shared" si="0"/>
        <v>601</v>
      </c>
      <c r="K12" s="2">
        <f t="shared" si="1"/>
        <v>828.58630136986358</v>
      </c>
    </row>
    <row r="13" spans="1:11" x14ac:dyDescent="0.2">
      <c r="A13" s="1">
        <v>37469</v>
      </c>
      <c r="B13" s="2">
        <v>4296.6000000000004</v>
      </c>
      <c r="C13" s="2">
        <v>107.01369863013699</v>
      </c>
      <c r="D13" s="2">
        <v>744</v>
      </c>
      <c r="E13" s="2">
        <v>672</v>
      </c>
      <c r="F13" s="2">
        <v>1344</v>
      </c>
      <c r="G13" s="5">
        <v>6000</v>
      </c>
      <c r="H13" s="5">
        <v>10</v>
      </c>
      <c r="I13" s="5">
        <v>6010</v>
      </c>
      <c r="J13" s="5">
        <f t="shared" si="0"/>
        <v>601</v>
      </c>
      <c r="K13" s="2">
        <f t="shared" si="1"/>
        <v>828.58630136986358</v>
      </c>
    </row>
    <row r="14" spans="1:11" x14ac:dyDescent="0.2">
      <c r="A14" s="1">
        <v>37500</v>
      </c>
      <c r="B14" s="2">
        <v>4158</v>
      </c>
      <c r="C14" s="2">
        <v>103.56164383561644</v>
      </c>
      <c r="D14" s="2">
        <v>720</v>
      </c>
      <c r="E14" s="2">
        <v>840</v>
      </c>
      <c r="F14" s="2">
        <v>1680</v>
      </c>
      <c r="G14" s="5">
        <v>6000</v>
      </c>
      <c r="H14" s="5">
        <v>10</v>
      </c>
      <c r="I14" s="5">
        <v>6010</v>
      </c>
      <c r="J14" s="5">
        <f t="shared" si="0"/>
        <v>601</v>
      </c>
      <c r="K14" s="2">
        <f t="shared" si="1"/>
        <v>213.43835616438355</v>
      </c>
    </row>
    <row r="15" spans="1:11" x14ac:dyDescent="0.2">
      <c r="A15" s="1">
        <v>37530</v>
      </c>
      <c r="B15" s="2">
        <v>4296.6000000000004</v>
      </c>
      <c r="C15" s="2">
        <v>107.01369863013699</v>
      </c>
      <c r="D15" s="2">
        <v>744</v>
      </c>
      <c r="E15" s="2">
        <v>672</v>
      </c>
      <c r="F15" s="2">
        <v>1344</v>
      </c>
      <c r="G15" s="5">
        <v>6000</v>
      </c>
      <c r="H15" s="5">
        <v>10</v>
      </c>
      <c r="I15" s="5">
        <v>6010</v>
      </c>
      <c r="J15" s="5">
        <f t="shared" si="0"/>
        <v>601</v>
      </c>
      <c r="K15" s="2">
        <f t="shared" si="1"/>
        <v>828.58630136986358</v>
      </c>
    </row>
    <row r="16" spans="1:11" x14ac:dyDescent="0.2">
      <c r="A16" s="1">
        <v>37561</v>
      </c>
      <c r="B16" s="2">
        <v>4158</v>
      </c>
      <c r="C16" s="2">
        <v>103.56164383561644</v>
      </c>
      <c r="D16" s="2">
        <v>720</v>
      </c>
      <c r="E16" s="2">
        <v>672</v>
      </c>
      <c r="F16" s="2">
        <v>1344</v>
      </c>
      <c r="G16" s="5">
        <v>6000</v>
      </c>
      <c r="H16" s="5">
        <v>10</v>
      </c>
      <c r="I16" s="5">
        <v>6010</v>
      </c>
      <c r="J16" s="5">
        <f t="shared" si="0"/>
        <v>601</v>
      </c>
      <c r="K16" s="2">
        <f t="shared" si="1"/>
        <v>717.43835616438355</v>
      </c>
    </row>
    <row r="17" spans="1:11" x14ac:dyDescent="0.2">
      <c r="A17" s="1">
        <v>37591</v>
      </c>
      <c r="B17" s="2">
        <v>4296.6000000000004</v>
      </c>
      <c r="C17" s="2">
        <v>107.01369863013699</v>
      </c>
      <c r="D17" s="2">
        <v>744</v>
      </c>
      <c r="E17" s="2">
        <v>840</v>
      </c>
      <c r="F17" s="2">
        <v>1680</v>
      </c>
      <c r="G17" s="5">
        <v>6000</v>
      </c>
      <c r="H17" s="5">
        <v>10</v>
      </c>
      <c r="I17" s="5">
        <v>6010</v>
      </c>
      <c r="J17" s="5">
        <f t="shared" si="0"/>
        <v>601</v>
      </c>
      <c r="K17" s="2">
        <f t="shared" si="1"/>
        <v>324.58630136986358</v>
      </c>
    </row>
    <row r="18" spans="1:11" ht="13.5" thickBot="1" x14ac:dyDescent="0.25">
      <c r="B18" s="13">
        <f>SUM(B6:B17)</f>
        <v>50588.999999999993</v>
      </c>
      <c r="C18" s="13">
        <v>1260</v>
      </c>
      <c r="D18" s="13">
        <v>8760</v>
      </c>
      <c r="E18" s="13">
        <v>8736</v>
      </c>
      <c r="F18" s="13">
        <v>17472</v>
      </c>
      <c r="G18" s="13">
        <v>72000</v>
      </c>
      <c r="H18" s="13">
        <v>120</v>
      </c>
      <c r="I18" s="13">
        <v>72120</v>
      </c>
      <c r="J18" s="13">
        <f>SUM(J6:J17)</f>
        <v>7212</v>
      </c>
      <c r="K18" s="13">
        <f>SUM(K6:K17)</f>
        <v>7149.0000000000036</v>
      </c>
    </row>
    <row r="19" spans="1:11" ht="13.5" thickTop="1" x14ac:dyDescent="0.2"/>
  </sheetData>
  <phoneticPr fontId="0" type="noConversion"/>
  <pageMargins left="0.75" right="0.75" top="1" bottom="1" header="0.5" footer="0.5"/>
  <pageSetup paperSize="5" scale="6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tabSelected="1" zoomScale="75" workbookViewId="0"/>
  </sheetViews>
  <sheetFormatPr defaultRowHeight="12.75" x14ac:dyDescent="0.2"/>
  <cols>
    <col min="1" max="1" width="7.140625" bestFit="1" customWidth="1"/>
    <col min="2" max="3" width="15.7109375" style="6" customWidth="1"/>
    <col min="4" max="7" width="15.7109375" style="2" customWidth="1"/>
    <col min="8" max="8" width="15.7109375" style="6" customWidth="1"/>
    <col min="9" max="9" width="15.7109375" style="11" customWidth="1"/>
    <col min="10" max="11" width="15.7109375" style="2" customWidth="1"/>
  </cols>
  <sheetData>
    <row r="1" spans="1:11" ht="13.5" thickBot="1" x14ac:dyDescent="0.25">
      <c r="A1" s="14">
        <v>39</v>
      </c>
      <c r="B1" s="15" t="s">
        <v>16</v>
      </c>
    </row>
    <row r="2" spans="1:11" ht="13.5" thickBot="1" x14ac:dyDescent="0.25">
      <c r="A2" s="14">
        <v>26.57</v>
      </c>
      <c r="B2" s="15" t="s">
        <v>17</v>
      </c>
    </row>
    <row r="3" spans="1:11" ht="13.5" thickBot="1" x14ac:dyDescent="0.25">
      <c r="A3" s="14">
        <v>23.9</v>
      </c>
      <c r="B3" s="15" t="s">
        <v>18</v>
      </c>
    </row>
    <row r="4" spans="1:11" ht="13.5" thickBot="1" x14ac:dyDescent="0.25">
      <c r="A4" s="14">
        <v>26</v>
      </c>
      <c r="B4" s="15" t="s">
        <v>19</v>
      </c>
    </row>
    <row r="5" spans="1:11" ht="13.5" thickBot="1" x14ac:dyDescent="0.25">
      <c r="A5" s="14">
        <v>8.5</v>
      </c>
      <c r="B5" s="15" t="s">
        <v>20</v>
      </c>
    </row>
    <row r="6" spans="1:11" ht="13.5" thickBot="1" x14ac:dyDescent="0.25">
      <c r="A6" s="14">
        <v>10</v>
      </c>
      <c r="B6" s="15" t="s">
        <v>21</v>
      </c>
    </row>
    <row r="7" spans="1:11" x14ac:dyDescent="0.2">
      <c r="A7" s="2"/>
    </row>
    <row r="8" spans="1:11" x14ac:dyDescent="0.2">
      <c r="A8" s="2"/>
    </row>
    <row r="9" spans="1:11" x14ac:dyDescent="0.2">
      <c r="A9" s="2"/>
      <c r="B9" s="3" t="s">
        <v>14</v>
      </c>
      <c r="C9" s="3" t="s">
        <v>2</v>
      </c>
      <c r="D9" s="3" t="s">
        <v>3</v>
      </c>
      <c r="E9" s="3" t="s">
        <v>10</v>
      </c>
      <c r="F9" s="3" t="s">
        <v>11</v>
      </c>
      <c r="G9" s="3" t="s">
        <v>8</v>
      </c>
      <c r="H9" s="6" t="s">
        <v>9</v>
      </c>
      <c r="I9" s="11" t="s">
        <v>4</v>
      </c>
    </row>
    <row r="10" spans="1:11" x14ac:dyDescent="0.2">
      <c r="B10" s="8" t="s">
        <v>12</v>
      </c>
      <c r="C10" s="8" t="s">
        <v>13</v>
      </c>
      <c r="D10" s="8" t="s">
        <v>13</v>
      </c>
      <c r="E10" s="8" t="s">
        <v>13</v>
      </c>
      <c r="F10" s="8" t="s">
        <v>13</v>
      </c>
      <c r="G10" s="8" t="s">
        <v>13</v>
      </c>
      <c r="H10" s="9" t="s">
        <v>13</v>
      </c>
      <c r="I10" s="12" t="s">
        <v>15</v>
      </c>
      <c r="J10" s="3"/>
      <c r="K10" s="3"/>
    </row>
    <row r="11" spans="1:11" x14ac:dyDescent="0.2">
      <c r="A11" s="1">
        <v>37257</v>
      </c>
      <c r="B11" s="6">
        <f>'Production_&amp;_Consumption'!B6*Margin_Analysis!$A$1</f>
        <v>167567.40000000002</v>
      </c>
      <c r="C11" s="6">
        <f>'Production_&amp;_Consumption'!C6*SUM(Margin_Analysis!$A$2:$A$3)</f>
        <v>5400.9813698630132</v>
      </c>
      <c r="D11" s="6">
        <f>'Production_&amp;_Consumption'!D6*Margin_Analysis!$A$1</f>
        <v>29016</v>
      </c>
      <c r="E11" s="6">
        <f>'Production_&amp;_Consumption'!E6*SUM(Margin_Analysis!$A$2,Margin_Analysis!$A$4)</f>
        <v>35327.040000000001</v>
      </c>
      <c r="F11" s="6">
        <f>'Production_&amp;_Consumption'!F6*SUM(Margin_Analysis!$A$2,Margin_Analysis!$A$5)</f>
        <v>47134.080000000002</v>
      </c>
      <c r="G11" s="6">
        <f>'Production_&amp;_Consumption'!J6*SUM(Margin_Analysis!$A$2,Margin_Analysis!$A$6)</f>
        <v>21978.57</v>
      </c>
      <c r="H11" s="6">
        <f>'Production_&amp;_Consumption'!K6*SUM(Margin_Analysis!$A$2,Margin_Analysis!$A$6)</f>
        <v>30301.401041095913</v>
      </c>
      <c r="I11" s="11">
        <f>SUM(C11:H11)-B11</f>
        <v>1590.6724109588831</v>
      </c>
      <c r="J11" s="3"/>
      <c r="K11" s="3"/>
    </row>
    <row r="12" spans="1:11" x14ac:dyDescent="0.2">
      <c r="A12" s="1">
        <v>37288</v>
      </c>
      <c r="B12" s="6">
        <f>'Production_&amp;_Consumption'!B7*Margin_Analysis!$A$1</f>
        <v>151351.20000000001</v>
      </c>
      <c r="C12" s="6">
        <f>'Production_&amp;_Consumption'!C7*SUM(Margin_Analysis!$A$2:$A$3)</f>
        <v>4878.3057534246573</v>
      </c>
      <c r="D12" s="6">
        <f>'Production_&amp;_Consumption'!D7*Margin_Analysis!$A$1</f>
        <v>26208</v>
      </c>
      <c r="E12" s="6">
        <f>'Production_&amp;_Consumption'!E7*SUM(Margin_Analysis!$A$2,Margin_Analysis!$A$4)</f>
        <v>35327.040000000001</v>
      </c>
      <c r="F12" s="6">
        <f>'Production_&amp;_Consumption'!F7*SUM(Margin_Analysis!$A$2,Margin_Analysis!$A$5)</f>
        <v>47134.080000000002</v>
      </c>
      <c r="G12" s="6">
        <f>'Production_&amp;_Consumption'!J7*SUM(Margin_Analysis!$A$2,Margin_Analysis!$A$6)</f>
        <v>21978.57</v>
      </c>
      <c r="H12" s="6">
        <f>'Production_&amp;_Consumption'!K7*SUM(Margin_Analysis!$A$2,Margin_Analysis!$A$6)</f>
        <v>18107.359972602746</v>
      </c>
      <c r="I12" s="11">
        <f t="shared" ref="I12:I23" si="0">SUM(C12:H12)-B12</f>
        <v>2282.1557260273839</v>
      </c>
      <c r="J12" s="4"/>
    </row>
    <row r="13" spans="1:11" x14ac:dyDescent="0.2">
      <c r="A13" s="1">
        <v>37316</v>
      </c>
      <c r="B13" s="6">
        <f>'Production_&amp;_Consumption'!B8*Margin_Analysis!$A$1</f>
        <v>167567.40000000002</v>
      </c>
      <c r="C13" s="6">
        <f>'Production_&amp;_Consumption'!C8*SUM(Margin_Analysis!$A$2:$A$3)</f>
        <v>5400.9813698630132</v>
      </c>
      <c r="D13" s="6">
        <f>'Production_&amp;_Consumption'!D8*Margin_Analysis!$A$1</f>
        <v>29016</v>
      </c>
      <c r="E13" s="6">
        <f>'Production_&amp;_Consumption'!E8*SUM(Margin_Analysis!$A$2,Margin_Analysis!$A$4)</f>
        <v>44158.8</v>
      </c>
      <c r="F13" s="6">
        <f>'Production_&amp;_Consumption'!F8*SUM(Margin_Analysis!$A$2,Margin_Analysis!$A$5)</f>
        <v>58917.599999999999</v>
      </c>
      <c r="G13" s="6">
        <f>'Production_&amp;_Consumption'!J8*SUM(Margin_Analysis!$A$2,Margin_Analysis!$A$6)</f>
        <v>21978.57</v>
      </c>
      <c r="H13" s="6">
        <f>'Production_&amp;_Consumption'!K8*SUM(Margin_Analysis!$A$2,Margin_Analysis!$A$6)</f>
        <v>11870.121041095912</v>
      </c>
      <c r="I13" s="11">
        <f t="shared" si="0"/>
        <v>3774.6724109589122</v>
      </c>
      <c r="J13" s="4"/>
    </row>
    <row r="14" spans="1:11" x14ac:dyDescent="0.2">
      <c r="A14" s="1">
        <v>37347</v>
      </c>
      <c r="B14" s="6">
        <f>'Production_&amp;_Consumption'!B9*Margin_Analysis!$A$1</f>
        <v>162162</v>
      </c>
      <c r="C14" s="6">
        <f>'Production_&amp;_Consumption'!C9*SUM(Margin_Analysis!$A$2:$A$3)</f>
        <v>5226.7561643835616</v>
      </c>
      <c r="D14" s="6">
        <f>'Production_&amp;_Consumption'!D9*Margin_Analysis!$A$1</f>
        <v>28080</v>
      </c>
      <c r="E14" s="6">
        <f>'Production_&amp;_Consumption'!E9*SUM(Margin_Analysis!$A$2,Margin_Analysis!$A$4)</f>
        <v>35327.040000000001</v>
      </c>
      <c r="F14" s="6">
        <f>'Production_&amp;_Consumption'!F9*SUM(Margin_Analysis!$A$2,Margin_Analysis!$A$5)</f>
        <v>47134.080000000002</v>
      </c>
      <c r="G14" s="6">
        <f>'Production_&amp;_Consumption'!J9*SUM(Margin_Analysis!$A$2,Margin_Analysis!$A$6)</f>
        <v>21978.57</v>
      </c>
      <c r="H14" s="6">
        <f>'Production_&amp;_Consumption'!K9*SUM(Margin_Analysis!$A$2,Margin_Analysis!$A$6)</f>
        <v>26236.720684931508</v>
      </c>
      <c r="I14" s="11">
        <f t="shared" si="0"/>
        <v>1821.1668493150501</v>
      </c>
      <c r="J14" s="4"/>
    </row>
    <row r="15" spans="1:11" x14ac:dyDescent="0.2">
      <c r="A15" s="1">
        <v>37377</v>
      </c>
      <c r="B15" s="6">
        <f>'Production_&amp;_Consumption'!B10*Margin_Analysis!$A$1</f>
        <v>167567.40000000002</v>
      </c>
      <c r="C15" s="6">
        <f>'Production_&amp;_Consumption'!C10*SUM(Margin_Analysis!$A$2:$A$3)</f>
        <v>5400.9813698630132</v>
      </c>
      <c r="D15" s="6">
        <f>'Production_&amp;_Consumption'!D10*Margin_Analysis!$A$1</f>
        <v>29016</v>
      </c>
      <c r="E15" s="6">
        <f>'Production_&amp;_Consumption'!E10*SUM(Margin_Analysis!$A$2,Margin_Analysis!$A$4)</f>
        <v>35327.040000000001</v>
      </c>
      <c r="F15" s="6">
        <f>'Production_&amp;_Consumption'!F10*SUM(Margin_Analysis!$A$2,Margin_Analysis!$A$5)</f>
        <v>47134.080000000002</v>
      </c>
      <c r="G15" s="6">
        <f>'Production_&amp;_Consumption'!J10*SUM(Margin_Analysis!$A$2,Margin_Analysis!$A$6)</f>
        <v>21978.57</v>
      </c>
      <c r="H15" s="6">
        <f>'Production_&amp;_Consumption'!K10*SUM(Margin_Analysis!$A$2,Margin_Analysis!$A$6)</f>
        <v>30301.401041095913</v>
      </c>
      <c r="I15" s="11">
        <f t="shared" si="0"/>
        <v>1590.6724109588831</v>
      </c>
      <c r="J15" s="4"/>
    </row>
    <row r="16" spans="1:11" x14ac:dyDescent="0.2">
      <c r="A16" s="1">
        <v>37408</v>
      </c>
      <c r="B16" s="6">
        <f>'Production_&amp;_Consumption'!B11*Margin_Analysis!$A$1</f>
        <v>162162</v>
      </c>
      <c r="C16" s="6">
        <f>'Production_&amp;_Consumption'!C11*SUM(Margin_Analysis!$A$2:$A$3)</f>
        <v>5226.7561643835616</v>
      </c>
      <c r="D16" s="6">
        <f>'Production_&amp;_Consumption'!D11*Margin_Analysis!$A$1</f>
        <v>28080</v>
      </c>
      <c r="E16" s="6">
        <f>'Production_&amp;_Consumption'!E11*SUM(Margin_Analysis!$A$2,Margin_Analysis!$A$4)</f>
        <v>44158.8</v>
      </c>
      <c r="F16" s="6">
        <f>'Production_&amp;_Consumption'!F11*SUM(Margin_Analysis!$A$2,Margin_Analysis!$A$5)</f>
        <v>58917.599999999999</v>
      </c>
      <c r="G16" s="6">
        <f>'Production_&amp;_Consumption'!J11*SUM(Margin_Analysis!$A$2,Margin_Analysis!$A$6)</f>
        <v>21978.57</v>
      </c>
      <c r="H16" s="6">
        <f>'Production_&amp;_Consumption'!K11*SUM(Margin_Analysis!$A$2,Margin_Analysis!$A$6)</f>
        <v>7805.4406849315064</v>
      </c>
      <c r="I16" s="11">
        <f t="shared" si="0"/>
        <v>4005.1668493150792</v>
      </c>
      <c r="J16" s="4"/>
    </row>
    <row r="17" spans="1:10" x14ac:dyDescent="0.2">
      <c r="A17" s="1">
        <v>37438</v>
      </c>
      <c r="B17" s="6">
        <f>'Production_&amp;_Consumption'!B12*Margin_Analysis!$A$1</f>
        <v>167567.40000000002</v>
      </c>
      <c r="C17" s="6">
        <f>'Production_&amp;_Consumption'!C12*SUM(Margin_Analysis!$A$2:$A$3)</f>
        <v>5400.9813698630132</v>
      </c>
      <c r="D17" s="6">
        <f>'Production_&amp;_Consumption'!D12*Margin_Analysis!$A$1</f>
        <v>29016</v>
      </c>
      <c r="E17" s="6">
        <f>'Production_&amp;_Consumption'!E12*SUM(Margin_Analysis!$A$2,Margin_Analysis!$A$4)</f>
        <v>35327.040000000001</v>
      </c>
      <c r="F17" s="6">
        <f>'Production_&amp;_Consumption'!F12*SUM(Margin_Analysis!$A$2,Margin_Analysis!$A$5)</f>
        <v>47134.080000000002</v>
      </c>
      <c r="G17" s="6">
        <f>'Production_&amp;_Consumption'!J12*SUM(Margin_Analysis!$A$2,Margin_Analysis!$A$6)</f>
        <v>21978.57</v>
      </c>
      <c r="H17" s="6">
        <f>'Production_&amp;_Consumption'!K12*SUM(Margin_Analysis!$A$2,Margin_Analysis!$A$6)</f>
        <v>30301.401041095913</v>
      </c>
      <c r="I17" s="11">
        <f t="shared" si="0"/>
        <v>1590.6724109588831</v>
      </c>
      <c r="J17" s="4"/>
    </row>
    <row r="18" spans="1:10" x14ac:dyDescent="0.2">
      <c r="A18" s="1">
        <v>37469</v>
      </c>
      <c r="B18" s="6">
        <f>'Production_&amp;_Consumption'!B13*Margin_Analysis!$A$1</f>
        <v>167567.40000000002</v>
      </c>
      <c r="C18" s="6">
        <f>'Production_&amp;_Consumption'!C13*SUM(Margin_Analysis!$A$2:$A$3)</f>
        <v>5400.9813698630132</v>
      </c>
      <c r="D18" s="6">
        <f>'Production_&amp;_Consumption'!D13*Margin_Analysis!$A$1</f>
        <v>29016</v>
      </c>
      <c r="E18" s="6">
        <f>'Production_&amp;_Consumption'!E13*SUM(Margin_Analysis!$A$2,Margin_Analysis!$A$4)</f>
        <v>35327.040000000001</v>
      </c>
      <c r="F18" s="6">
        <f>'Production_&amp;_Consumption'!F13*SUM(Margin_Analysis!$A$2,Margin_Analysis!$A$5)</f>
        <v>47134.080000000002</v>
      </c>
      <c r="G18" s="6">
        <f>'Production_&amp;_Consumption'!J13*SUM(Margin_Analysis!$A$2,Margin_Analysis!$A$6)</f>
        <v>21978.57</v>
      </c>
      <c r="H18" s="6">
        <f>'Production_&amp;_Consumption'!K13*SUM(Margin_Analysis!$A$2,Margin_Analysis!$A$6)</f>
        <v>30301.401041095913</v>
      </c>
      <c r="I18" s="11">
        <f t="shared" si="0"/>
        <v>1590.6724109588831</v>
      </c>
      <c r="J18" s="4"/>
    </row>
    <row r="19" spans="1:10" x14ac:dyDescent="0.2">
      <c r="A19" s="1">
        <v>37500</v>
      </c>
      <c r="B19" s="6">
        <f>'Production_&amp;_Consumption'!B14*Margin_Analysis!$A$1</f>
        <v>162162</v>
      </c>
      <c r="C19" s="6">
        <f>'Production_&amp;_Consumption'!C14*SUM(Margin_Analysis!$A$2:$A$3)</f>
        <v>5226.7561643835616</v>
      </c>
      <c r="D19" s="6">
        <f>'Production_&amp;_Consumption'!D14*Margin_Analysis!$A$1</f>
        <v>28080</v>
      </c>
      <c r="E19" s="6">
        <f>'Production_&amp;_Consumption'!E14*SUM(Margin_Analysis!$A$2,Margin_Analysis!$A$4)</f>
        <v>44158.8</v>
      </c>
      <c r="F19" s="6">
        <f>'Production_&amp;_Consumption'!F14*SUM(Margin_Analysis!$A$2,Margin_Analysis!$A$5)</f>
        <v>58917.599999999999</v>
      </c>
      <c r="G19" s="6">
        <f>'Production_&amp;_Consumption'!J14*SUM(Margin_Analysis!$A$2,Margin_Analysis!$A$6)</f>
        <v>21978.57</v>
      </c>
      <c r="H19" s="6">
        <f>'Production_&amp;_Consumption'!K14*SUM(Margin_Analysis!$A$2,Margin_Analysis!$A$6)</f>
        <v>7805.4406849315064</v>
      </c>
      <c r="I19" s="11">
        <f t="shared" si="0"/>
        <v>4005.1668493150792</v>
      </c>
      <c r="J19" s="4"/>
    </row>
    <row r="20" spans="1:10" x14ac:dyDescent="0.2">
      <c r="A20" s="1">
        <v>37530</v>
      </c>
      <c r="B20" s="6">
        <f>'Production_&amp;_Consumption'!B15*Margin_Analysis!$A$1</f>
        <v>167567.40000000002</v>
      </c>
      <c r="C20" s="6">
        <f>'Production_&amp;_Consumption'!C15*SUM(Margin_Analysis!$A$2:$A$3)</f>
        <v>5400.9813698630132</v>
      </c>
      <c r="D20" s="6">
        <f>'Production_&amp;_Consumption'!D15*Margin_Analysis!$A$1</f>
        <v>29016</v>
      </c>
      <c r="E20" s="6">
        <f>'Production_&amp;_Consumption'!E15*SUM(Margin_Analysis!$A$2,Margin_Analysis!$A$4)</f>
        <v>35327.040000000001</v>
      </c>
      <c r="F20" s="6">
        <f>'Production_&amp;_Consumption'!F15*SUM(Margin_Analysis!$A$2,Margin_Analysis!$A$5)</f>
        <v>47134.080000000002</v>
      </c>
      <c r="G20" s="6">
        <f>'Production_&amp;_Consumption'!J15*SUM(Margin_Analysis!$A$2,Margin_Analysis!$A$6)</f>
        <v>21978.57</v>
      </c>
      <c r="H20" s="6">
        <f>'Production_&amp;_Consumption'!K15*SUM(Margin_Analysis!$A$2,Margin_Analysis!$A$6)</f>
        <v>30301.401041095913</v>
      </c>
      <c r="I20" s="11">
        <f t="shared" si="0"/>
        <v>1590.6724109588831</v>
      </c>
      <c r="J20" s="4"/>
    </row>
    <row r="21" spans="1:10" x14ac:dyDescent="0.2">
      <c r="A21" s="1">
        <v>37561</v>
      </c>
      <c r="B21" s="6">
        <f>'Production_&amp;_Consumption'!B16*Margin_Analysis!$A$1</f>
        <v>162162</v>
      </c>
      <c r="C21" s="6">
        <f>'Production_&amp;_Consumption'!C16*SUM(Margin_Analysis!$A$2:$A$3)</f>
        <v>5226.7561643835616</v>
      </c>
      <c r="D21" s="6">
        <f>'Production_&amp;_Consumption'!D16*Margin_Analysis!$A$1</f>
        <v>28080</v>
      </c>
      <c r="E21" s="6">
        <f>'Production_&amp;_Consumption'!E16*SUM(Margin_Analysis!$A$2,Margin_Analysis!$A$4)</f>
        <v>35327.040000000001</v>
      </c>
      <c r="F21" s="6">
        <f>'Production_&amp;_Consumption'!F16*SUM(Margin_Analysis!$A$2,Margin_Analysis!$A$5)</f>
        <v>47134.080000000002</v>
      </c>
      <c r="G21" s="6">
        <f>'Production_&amp;_Consumption'!J16*SUM(Margin_Analysis!$A$2,Margin_Analysis!$A$6)</f>
        <v>21978.57</v>
      </c>
      <c r="H21" s="6">
        <f>'Production_&amp;_Consumption'!K16*SUM(Margin_Analysis!$A$2,Margin_Analysis!$A$6)</f>
        <v>26236.720684931508</v>
      </c>
      <c r="I21" s="11">
        <f t="shared" si="0"/>
        <v>1821.1668493150501</v>
      </c>
      <c r="J21" s="4"/>
    </row>
    <row r="22" spans="1:10" x14ac:dyDescent="0.2">
      <c r="A22" s="1">
        <v>37591</v>
      </c>
      <c r="B22" s="6">
        <f>'Production_&amp;_Consumption'!B17*Margin_Analysis!$A$1</f>
        <v>167567.40000000002</v>
      </c>
      <c r="C22" s="6">
        <f>'Production_&amp;_Consumption'!C17*SUM(Margin_Analysis!$A$2:$A$3)</f>
        <v>5400.9813698630132</v>
      </c>
      <c r="D22" s="6">
        <f>'Production_&amp;_Consumption'!D17*Margin_Analysis!$A$1</f>
        <v>29016</v>
      </c>
      <c r="E22" s="6">
        <f>'Production_&amp;_Consumption'!E17*SUM(Margin_Analysis!$A$2,Margin_Analysis!$A$4)</f>
        <v>44158.8</v>
      </c>
      <c r="F22" s="6">
        <f>'Production_&amp;_Consumption'!F17*SUM(Margin_Analysis!$A$2,Margin_Analysis!$A$5)</f>
        <v>58917.599999999999</v>
      </c>
      <c r="G22" s="6">
        <f>'Production_&amp;_Consumption'!J17*SUM(Margin_Analysis!$A$2,Margin_Analysis!$A$6)</f>
        <v>21978.57</v>
      </c>
      <c r="H22" s="6">
        <f>'Production_&amp;_Consumption'!K17*SUM(Margin_Analysis!$A$2,Margin_Analysis!$A$6)</f>
        <v>11870.121041095912</v>
      </c>
      <c r="I22" s="11">
        <f t="shared" si="0"/>
        <v>3774.6724109589122</v>
      </c>
      <c r="J22" s="4"/>
    </row>
    <row r="23" spans="1:10" ht="13.5" thickBot="1" x14ac:dyDescent="0.25">
      <c r="A23" s="1"/>
      <c r="B23" s="7">
        <f>SUM(B11:B22)</f>
        <v>1972971</v>
      </c>
      <c r="C23" s="7">
        <f t="shared" ref="C23:H23" si="1">SUM(C11:C22)</f>
        <v>63592.200000000012</v>
      </c>
      <c r="D23" s="7">
        <f t="shared" si="1"/>
        <v>341640</v>
      </c>
      <c r="E23" s="7">
        <f t="shared" si="1"/>
        <v>459251.5199999999</v>
      </c>
      <c r="F23" s="7">
        <f t="shared" si="1"/>
        <v>612743.04</v>
      </c>
      <c r="G23" s="7">
        <f t="shared" si="1"/>
        <v>263742.84000000003</v>
      </c>
      <c r="H23" s="7">
        <f t="shared" si="1"/>
        <v>261438.93000000011</v>
      </c>
      <c r="I23" s="16">
        <f t="shared" si="0"/>
        <v>29437.530000000261</v>
      </c>
      <c r="J23" s="4"/>
    </row>
    <row r="24" spans="1:10" ht="13.5" thickTop="1" x14ac:dyDescent="0.2">
      <c r="B24" s="10"/>
    </row>
    <row r="25" spans="1:10" x14ac:dyDescent="0.2">
      <c r="B25" s="10"/>
    </row>
  </sheetData>
  <phoneticPr fontId="0" type="noConversion"/>
  <pageMargins left="0.75" right="0.75" top="1" bottom="1" header="0.5" footer="0.5"/>
  <pageSetup paperSize="5" scale="6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Production_&amp;_Consumption</vt:lpstr>
      <vt:lpstr>Margin_Analysis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rring</dc:creator>
  <cp:lastModifiedBy>Felienne</cp:lastModifiedBy>
  <cp:lastPrinted>2001-12-17T20:21:54Z</cp:lastPrinted>
  <dcterms:created xsi:type="dcterms:W3CDTF">2001-01-29T17:09:58Z</dcterms:created>
  <dcterms:modified xsi:type="dcterms:W3CDTF">2014-09-04T08:09:26Z</dcterms:modified>
</cp:coreProperties>
</file>