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X and ISO Outstanding Exposure" sheetId="1" r:id="rId1"/>
    <sheet name="Outst EPMI Collateral to PX" sheetId="3" r:id="rId2"/>
  </sheets>
  <definedNames>
    <definedName name="_xlnm.Print_Area" localSheetId="0">'PX and ISO Outstanding Exposure'!$1:$1048576</definedName>
  </definedNames>
  <calcPr calcId="152511" fullCalcOnLoad="1"/>
</workbook>
</file>

<file path=xl/calcChain.xml><?xml version="1.0" encoding="utf-8"?>
<calcChain xmlns="http://schemas.openxmlformats.org/spreadsheetml/2006/main">
  <c r="E10" i="3" l="1"/>
  <c r="E17" i="3" s="1"/>
  <c r="E13" i="3"/>
  <c r="E25" i="3"/>
  <c r="E32" i="3" s="1"/>
  <c r="E30" i="3"/>
  <c r="G9" i="1"/>
  <c r="G12" i="1" s="1"/>
  <c r="G10" i="1"/>
  <c r="G11" i="1"/>
  <c r="D12" i="1"/>
  <c r="E14" i="1"/>
  <c r="G14" i="1"/>
  <c r="E15" i="1"/>
  <c r="G15" i="1"/>
  <c r="E16" i="1"/>
  <c r="G16" i="1"/>
  <c r="E28" i="1"/>
  <c r="H28" i="1"/>
  <c r="E34" i="1"/>
  <c r="E36" i="1"/>
  <c r="D38" i="1"/>
  <c r="D43" i="1" s="1"/>
  <c r="D39" i="1"/>
  <c r="G39" i="1"/>
  <c r="G43" i="1" s="1"/>
  <c r="D40" i="1"/>
  <c r="G40" i="1"/>
  <c r="G41" i="1"/>
  <c r="D42" i="1"/>
  <c r="E45" i="1"/>
  <c r="E46" i="1"/>
  <c r="E57" i="1"/>
  <c r="E63" i="1" s="1"/>
  <c r="E58" i="1"/>
  <c r="E59" i="1"/>
  <c r="E60" i="1"/>
  <c r="E61" i="1"/>
  <c r="E62" i="1"/>
  <c r="J63" i="1"/>
  <c r="E65" i="1"/>
  <c r="E68" i="1" s="1"/>
  <c r="H65" i="1"/>
  <c r="H68" i="1" s="1"/>
  <c r="E66" i="1"/>
  <c r="H66" i="1"/>
  <c r="E67" i="1"/>
  <c r="E34" i="3" l="1"/>
</calcChain>
</file>

<file path=xl/sharedStrings.xml><?xml version="1.0" encoding="utf-8"?>
<sst xmlns="http://schemas.openxmlformats.org/spreadsheetml/2006/main" count="142" uniqueCount="96">
  <si>
    <t>RAC - Risk Assessment &amp; Control</t>
  </si>
  <si>
    <t>Updated California PX and ISO Exposure (as of 3/9/01)</t>
  </si>
  <si>
    <t>Counterparty:  The California Independent System Operator (CAISO)</t>
  </si>
  <si>
    <t>Enron Power Marketing, Inc.</t>
  </si>
  <si>
    <t>Portland General Company</t>
  </si>
  <si>
    <t>Activity Month</t>
  </si>
  <si>
    <t>Description</t>
  </si>
  <si>
    <t>Net Revenue</t>
  </si>
  <si>
    <t>(Net Expense)</t>
  </si>
  <si>
    <t>Real Time Transmission and Grid Mgmt</t>
  </si>
  <si>
    <t>(EPMI paid by ISO 2/5/2001 and PGE paid by ISO 2/8/01)</t>
  </si>
  <si>
    <t>(EPMI paid by ISO 2/13/2001 and PGE paid by ISO 2/14/01)</t>
  </si>
  <si>
    <t>*</t>
  </si>
  <si>
    <t>(not yet billed)</t>
  </si>
  <si>
    <t>Counterparty:  The California Power Exchange Corporation (CA PX)</t>
  </si>
  <si>
    <t>Real Time Default Share Invoice (SCE Default)</t>
  </si>
  <si>
    <t>Real Time</t>
  </si>
  <si>
    <t>(due EPMI and PGE)</t>
  </si>
  <si>
    <t>Real Time Default Share Invoice</t>
  </si>
  <si>
    <t>(shortpaid to PGE)</t>
  </si>
  <si>
    <t>**</t>
  </si>
  <si>
    <t>(billed to EPMI - not yet paid)</t>
  </si>
  <si>
    <t>($17,846,030.82)**</t>
  </si>
  <si>
    <t>CORE (Day Ahead/Day Of)</t>
  </si>
  <si>
    <t>(received from PX 1/18/2001)</t>
  </si>
  <si>
    <t>(received from PX 1/30/2001)</t>
  </si>
  <si>
    <t>(PX applied to PGE's DEC ancillaries bill)</t>
  </si>
  <si>
    <t>(shortpaid to EPMI)</t>
  </si>
  <si>
    <t>***</t>
  </si>
  <si>
    <t>Block Forward</t>
  </si>
  <si>
    <t>DETAILS TO ABOVE:</t>
  </si>
  <si>
    <t>CA ISO</t>
  </si>
  <si>
    <t>*Nov-00 Real Time Default attributed from CA PX (99.93%) and Pacific Gas &amp; Electric (0.069%)</t>
  </si>
  <si>
    <t>CA PX</t>
  </si>
  <si>
    <t>**Nov-00 Real Time Default Share Invoice</t>
  </si>
  <si>
    <t>PGE's Share of Defaults from:</t>
  </si>
  <si>
    <t>SoCal Ed</t>
  </si>
  <si>
    <t>PG&amp;E</t>
  </si>
  <si>
    <t>BPA</t>
  </si>
  <si>
    <t>Sierra Pacific Industries</t>
  </si>
  <si>
    <t>Salt River Project</t>
  </si>
  <si>
    <t>WAPA</t>
  </si>
  <si>
    <t>***Dec-00 CORE Default Share Invoice (SCE Default)</t>
  </si>
  <si>
    <t>(shortpaid)</t>
  </si>
  <si>
    <t>***Dec-00 CORE Default Share Invoice (add'l from SCE Default)</t>
  </si>
  <si>
    <t>***Remainder due to EPMI (in addition to shortpay of $172,172.76):</t>
  </si>
  <si>
    <t>(due EPMI)</t>
  </si>
  <si>
    <t>(all Mandated Sales per Richardson order)</t>
  </si>
  <si>
    <t>(includes $7,599,600 of Mandated Sales per Richardson order)</t>
  </si>
  <si>
    <t>CA PX details to be further provided to reflect 99.93% default</t>
  </si>
  <si>
    <r>
      <t>EPMI's Share of Defaults from CP's</t>
    </r>
    <r>
      <rPr>
        <b/>
        <i/>
        <sz val="10"/>
        <rFont val="Arial"/>
        <family val="2"/>
      </rPr>
      <t xml:space="preserve"> (if FERC determines that EPMI must pay chargeback):</t>
    </r>
  </si>
  <si>
    <t>(EPMI paid ISO 3/5/01 and PGE partially paid by ISO 3/8/01)</t>
  </si>
  <si>
    <t>(shortpaid to EPMI and PGE had to pay)</t>
  </si>
  <si>
    <t>(due PGE)</t>
  </si>
  <si>
    <t>(to be recovered/due Enron)</t>
  </si>
  <si>
    <t>Outstanding Cash and Letters of Credit Currently Issued by EPMI in favor of CA Power Exchange Corp. / CalPX Trading Services, a div. Of CAPX</t>
  </si>
  <si>
    <t>CORE MARKET (DAY OF/DAY AHEAD)</t>
  </si>
  <si>
    <t>Collateral Form (Cash or L/C No.)</t>
  </si>
  <si>
    <t>Beneficiary</t>
  </si>
  <si>
    <t>Issuing/Receiving Bank</t>
  </si>
  <si>
    <t>L/C Amount</t>
  </si>
  <si>
    <t>L/C Expiry</t>
  </si>
  <si>
    <t>CASH (request on 1/16/01 in by 6:30am 1/17/01)</t>
  </si>
  <si>
    <t>The California Power Exchange Corp.</t>
  </si>
  <si>
    <t>Bank of America</t>
  </si>
  <si>
    <t>(aba121000358)</t>
  </si>
  <si>
    <t>(acct no1233427058)</t>
  </si>
  <si>
    <t>Total in Cash</t>
  </si>
  <si>
    <t>(1) LETTER OF CREDIT:</t>
  </si>
  <si>
    <t>G390148</t>
  </si>
  <si>
    <t>Toronto-Dominion</t>
  </si>
  <si>
    <t>Total in Letter of Credit</t>
  </si>
  <si>
    <t>Letter Agreement</t>
  </si>
  <si>
    <t>TOTAL FOR CORE MARKET</t>
  </si>
  <si>
    <t>=====&gt;</t>
  </si>
  <si>
    <t>CTS MARKET (BLOCK FORWARD)</t>
  </si>
  <si>
    <t>Issuing Bank</t>
  </si>
  <si>
    <t>Cash (drawn off of Letters of Credit as of 2/1/01)</t>
  </si>
  <si>
    <t>Previous L/C No. 3016973</t>
  </si>
  <si>
    <t>CalPX Trading Services</t>
  </si>
  <si>
    <t>drawn from Bank of America</t>
  </si>
  <si>
    <t>Previous L/C No. 870-123057</t>
  </si>
  <si>
    <t>drawn from Wachovia</t>
  </si>
  <si>
    <t>Previous L/C No. S9702574</t>
  </si>
  <si>
    <t>drawn from Standard Charter</t>
  </si>
  <si>
    <t>(3) LETTERS OF CREDIT:</t>
  </si>
  <si>
    <t>5060/820</t>
  </si>
  <si>
    <t>ANZ Investment</t>
  </si>
  <si>
    <t>SLC0000126</t>
  </si>
  <si>
    <t>UniCredito Italiano</t>
  </si>
  <si>
    <t>Total in Letters of Credit</t>
  </si>
  <si>
    <t>Total for Block FW</t>
  </si>
  <si>
    <t>TOTAL POSTED COLLATERAL</t>
  </si>
  <si>
    <t>(assumed by EPMI as paid)</t>
  </si>
  <si>
    <t>(3/2/01 EPMI asked PX via letter to draw down from cash in Escrow - no written confirm received from PX to date)</t>
  </si>
  <si>
    <t>(currently held in Escrow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</si>
</sst>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/>
    <xf numFmtId="0" fontId="3" fillId="0" borderId="0" xfId="0" applyFont="1" applyAlignment="1">
      <alignment horizontal="right"/>
    </xf>
    <xf numFmtId="8" fontId="1" fillId="0" borderId="0" xfId="1" applyNumberFormat="1"/>
    <xf numFmtId="8" fontId="1" fillId="0" borderId="0" xfId="1" applyNumberFormat="1" applyFill="1"/>
    <xf numFmtId="164" fontId="2" fillId="2" borderId="0" xfId="0" applyNumberFormat="1" applyFont="1" applyFill="1"/>
    <xf numFmtId="0" fontId="0" fillId="2" borderId="0" xfId="0" applyFill="1"/>
    <xf numFmtId="0" fontId="3" fillId="2" borderId="0" xfId="0" applyFont="1" applyFill="1" applyAlignment="1">
      <alignment horizontal="right"/>
    </xf>
    <xf numFmtId="8" fontId="1" fillId="2" borderId="0" xfId="1" applyNumberFormat="1" applyFill="1"/>
    <xf numFmtId="164" fontId="2" fillId="0" borderId="0" xfId="0" applyNumberFormat="1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164" fontId="2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 applyAlignment="1">
      <alignment horizontal="right"/>
    </xf>
    <xf numFmtId="8" fontId="2" fillId="3" borderId="2" xfId="1" applyNumberFormat="1" applyFont="1" applyFill="1" applyBorder="1"/>
    <xf numFmtId="0" fontId="2" fillId="0" borderId="3" xfId="0" applyFont="1" applyBorder="1"/>
    <xf numFmtId="0" fontId="2" fillId="0" borderId="0" xfId="0" applyFont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8" fontId="2" fillId="0" borderId="5" xfId="1" applyNumberFormat="1" applyFont="1" applyBorder="1" applyAlignment="1">
      <alignment horizontal="center"/>
    </xf>
    <xf numFmtId="8" fontId="2" fillId="3" borderId="5" xfId="1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8" fontId="1" fillId="3" borderId="0" xfId="1" applyNumberFormat="1" applyFill="1"/>
    <xf numFmtId="44" fontId="2" fillId="0" borderId="0" xfId="1" applyFont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/>
    </xf>
    <xf numFmtId="8" fontId="2" fillId="0" borderId="7" xfId="1" applyNumberFormat="1" applyFont="1" applyBorder="1"/>
    <xf numFmtId="8" fontId="1" fillId="0" borderId="0" xfId="1" applyNumberFormat="1" applyFont="1"/>
    <xf numFmtId="44" fontId="2" fillId="0" borderId="7" xfId="1" applyNumberFormat="1" applyFont="1" applyBorder="1"/>
    <xf numFmtId="8" fontId="2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 applyFill="1"/>
    <xf numFmtId="8" fontId="3" fillId="0" borderId="0" xfId="1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8" fontId="1" fillId="0" borderId="0" xfId="1" applyNumberFormat="1" applyBorder="1"/>
    <xf numFmtId="0" fontId="2" fillId="0" borderId="0" xfId="0" applyFont="1" applyBorder="1" applyAlignment="1">
      <alignment horizontal="left"/>
    </xf>
    <xf numFmtId="8" fontId="2" fillId="0" borderId="0" xfId="1" applyNumberFormat="1" applyFont="1" applyAlignment="1">
      <alignment horizontal="right"/>
    </xf>
    <xf numFmtId="8" fontId="6" fillId="0" borderId="0" xfId="1" applyNumberFormat="1" applyFont="1" applyFill="1" applyAlignment="1">
      <alignment horizontal="right"/>
    </xf>
    <xf numFmtId="8" fontId="2" fillId="0" borderId="0" xfId="1" applyNumberFormat="1" applyFont="1" applyFill="1"/>
    <xf numFmtId="8" fontId="2" fillId="0" borderId="0" xfId="1" applyNumberFormat="1" applyFont="1" applyBorder="1"/>
    <xf numFmtId="14" fontId="3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8" fontId="1" fillId="0" borderId="7" xfId="1" applyNumberFormat="1" applyBorder="1"/>
    <xf numFmtId="8" fontId="7" fillId="0" borderId="0" xfId="1" applyNumberFormat="1" applyFont="1"/>
    <xf numFmtId="8" fontId="7" fillId="3" borderId="0" xfId="1" applyNumberFormat="1" applyFont="1" applyFill="1"/>
    <xf numFmtId="8" fontId="8" fillId="0" borderId="0" xfId="1" applyNumberFormat="1" applyFont="1"/>
    <xf numFmtId="8" fontId="7" fillId="0" borderId="7" xfId="1" applyNumberFormat="1" applyFont="1" applyBorder="1"/>
    <xf numFmtId="164" fontId="2" fillId="0" borderId="8" xfId="0" applyNumberFormat="1" applyFont="1" applyBorder="1"/>
    <xf numFmtId="8" fontId="3" fillId="0" borderId="0" xfId="1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166" fontId="5" fillId="0" borderId="0" xfId="1" applyNumberFormat="1" applyFont="1"/>
    <xf numFmtId="0" fontId="5" fillId="0" borderId="0" xfId="0" applyFont="1" applyFill="1" applyBorder="1"/>
    <xf numFmtId="0" fontId="10" fillId="4" borderId="0" xfId="0" applyFont="1" applyFill="1"/>
    <xf numFmtId="0" fontId="5" fillId="0" borderId="0" xfId="0" applyFont="1" applyFill="1"/>
    <xf numFmtId="0" fontId="11" fillId="0" borderId="0" xfId="0" applyFont="1"/>
    <xf numFmtId="166" fontId="11" fillId="0" borderId="0" xfId="1" applyNumberFormat="1" applyFont="1"/>
    <xf numFmtId="0" fontId="11" fillId="0" borderId="0" xfId="0" applyFont="1" applyAlignment="1">
      <alignment horizontal="center"/>
    </xf>
    <xf numFmtId="0" fontId="10" fillId="0" borderId="0" xfId="0" applyFont="1" applyFill="1" applyBorder="1"/>
    <xf numFmtId="166" fontId="5" fillId="0" borderId="0" xfId="1" applyNumberFormat="1" applyFont="1" applyBorder="1"/>
    <xf numFmtId="166" fontId="10" fillId="0" borderId="0" xfId="0" applyNumberFormat="1" applyFont="1" applyFill="1" applyBorder="1"/>
    <xf numFmtId="6" fontId="10" fillId="0" borderId="0" xfId="1" applyNumberFormat="1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166" fontId="10" fillId="0" borderId="9" xfId="1" applyNumberFormat="1" applyFont="1" applyBorder="1"/>
    <xf numFmtId="0" fontId="10" fillId="0" borderId="0" xfId="0" applyFont="1" applyAlignment="1">
      <alignment horizontal="center"/>
    </xf>
    <xf numFmtId="166" fontId="10" fillId="0" borderId="0" xfId="1" applyNumberFormat="1" applyFont="1"/>
    <xf numFmtId="166" fontId="5" fillId="0" borderId="10" xfId="1" applyNumberFormat="1" applyFont="1" applyFill="1" applyBorder="1"/>
    <xf numFmtId="14" fontId="5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/>
    <xf numFmtId="0" fontId="10" fillId="0" borderId="0" xfId="0" applyFont="1" applyFill="1" applyBorder="1" applyAlignment="1">
      <alignment horizontal="left"/>
    </xf>
    <xf numFmtId="166" fontId="5" fillId="0" borderId="0" xfId="0" applyNumberFormat="1" applyFont="1" applyFill="1" applyBorder="1"/>
    <xf numFmtId="0" fontId="10" fillId="5" borderId="11" xfId="0" applyFont="1" applyFill="1" applyBorder="1"/>
    <xf numFmtId="44" fontId="10" fillId="5" borderId="12" xfId="1" quotePrefix="1" applyFont="1" applyFill="1" applyBorder="1"/>
    <xf numFmtId="166" fontId="10" fillId="5" borderId="13" xfId="1" applyNumberFormat="1" applyFont="1" applyFill="1" applyBorder="1"/>
    <xf numFmtId="166" fontId="5" fillId="0" borderId="0" xfId="1" applyNumberFormat="1" applyFont="1" applyFill="1" applyBorder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Border="1"/>
    <xf numFmtId="166" fontId="10" fillId="0" borderId="0" xfId="1" applyNumberFormat="1" applyFont="1" applyBorder="1"/>
    <xf numFmtId="0" fontId="5" fillId="0" borderId="0" xfId="0" applyFont="1" applyFill="1" applyAlignment="1">
      <alignment horizontal="left"/>
    </xf>
    <xf numFmtId="166" fontId="5" fillId="0" borderId="0" xfId="1" applyNumberFormat="1" applyFont="1" applyFill="1"/>
    <xf numFmtId="44" fontId="10" fillId="5" borderId="11" xfId="1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166" fontId="10" fillId="2" borderId="13" xfId="1" applyNumberFormat="1" applyFont="1" applyFill="1" applyBorder="1"/>
    <xf numFmtId="14" fontId="5" fillId="2" borderId="0" xfId="0" applyNumberFormat="1" applyFont="1" applyFill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8" fontId="13" fillId="0" borderId="0" xfId="1" applyNumberFormat="1" applyFont="1"/>
    <xf numFmtId="0" fontId="14" fillId="0" borderId="0" xfId="0" applyFont="1"/>
    <xf numFmtId="0" fontId="7" fillId="0" borderId="0" xfId="0" applyFont="1"/>
    <xf numFmtId="166" fontId="7" fillId="0" borderId="0" xfId="1" applyNumberFormat="1" applyFont="1"/>
    <xf numFmtId="0" fontId="7" fillId="0" borderId="0" xfId="0" applyFont="1" applyFill="1" applyBorder="1"/>
    <xf numFmtId="8" fontId="2" fillId="0" borderId="2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27</xdr:row>
      <xdr:rowOff>152400</xdr:rowOff>
    </xdr:from>
    <xdr:to>
      <xdr:col>4</xdr:col>
      <xdr:colOff>457200</xdr:colOff>
      <xdr:row>41</xdr:row>
      <xdr:rowOff>9525</xdr:rowOff>
    </xdr:to>
    <xdr:sp macro="" textlink="">
      <xdr:nvSpPr>
        <xdr:cNvPr id="1025" name="Freeform 1"/>
        <xdr:cNvSpPr>
          <a:spLocks/>
        </xdr:cNvSpPr>
      </xdr:nvSpPr>
      <xdr:spPr bwMode="auto">
        <a:xfrm>
          <a:off x="8020050" y="4657725"/>
          <a:ext cx="504825" cy="2143125"/>
        </a:xfrm>
        <a:custGeom>
          <a:avLst/>
          <a:gdLst>
            <a:gd name="T0" fmla="*/ 0 w 50"/>
            <a:gd name="T1" fmla="*/ 216 h 216"/>
            <a:gd name="T2" fmla="*/ 50 w 50"/>
            <a:gd name="T3" fmla="*/ 0 h 216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50" h="216">
              <a:moveTo>
                <a:pt x="0" y="216"/>
              </a:moveTo>
              <a:lnTo>
                <a:pt x="5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topLeftCell="B29" workbookViewId="0">
      <selection activeCell="B44" sqref="B44"/>
    </sheetView>
  </sheetViews>
  <sheetFormatPr defaultRowHeight="12.75" x14ac:dyDescent="0.2"/>
  <cols>
    <col min="1" max="1" width="20.5703125" style="1" customWidth="1"/>
    <col min="2" max="2" width="48.42578125" bestFit="1" customWidth="1"/>
    <col min="3" max="3" width="34.85546875" style="2" bestFit="1" customWidth="1"/>
    <col min="4" max="4" width="17.140625" style="3" customWidth="1"/>
    <col min="5" max="5" width="21.5703125" style="3" customWidth="1"/>
    <col min="6" max="6" width="2.140625" style="3" customWidth="1"/>
    <col min="7" max="7" width="16.5703125" style="3" customWidth="1"/>
    <col min="8" max="8" width="25.140625" style="3" customWidth="1"/>
    <col min="9" max="9" width="3.7109375" customWidth="1"/>
    <col min="10" max="10" width="18.42578125" customWidth="1"/>
  </cols>
  <sheetData>
    <row r="1" spans="1:10" s="97" customFormat="1" ht="15" x14ac:dyDescent="0.25">
      <c r="A1" s="96" t="s">
        <v>0</v>
      </c>
      <c r="C1" s="98"/>
      <c r="D1" s="99"/>
      <c r="E1" s="99"/>
      <c r="F1" s="99"/>
      <c r="G1" s="99"/>
      <c r="H1" s="99"/>
    </row>
    <row r="2" spans="1:10" s="97" customFormat="1" ht="15" x14ac:dyDescent="0.25">
      <c r="A2" s="96" t="s">
        <v>1</v>
      </c>
      <c r="C2" s="98"/>
      <c r="D2" s="99"/>
      <c r="E2" s="99"/>
      <c r="F2" s="99"/>
      <c r="G2" s="99"/>
      <c r="H2" s="99"/>
    </row>
    <row r="3" spans="1:10" x14ac:dyDescent="0.2">
      <c r="E3" s="4"/>
      <c r="F3" s="4"/>
    </row>
    <row r="4" spans="1:10" x14ac:dyDescent="0.2">
      <c r="A4" s="5" t="s">
        <v>2</v>
      </c>
      <c r="B4" s="6"/>
      <c r="C4" s="7"/>
      <c r="D4" s="8"/>
      <c r="E4" s="8"/>
      <c r="F4" s="8"/>
      <c r="G4" s="8"/>
      <c r="H4" s="8"/>
      <c r="I4" s="6"/>
      <c r="J4" s="6"/>
    </row>
    <row r="5" spans="1:10" ht="13.5" thickBot="1" x14ac:dyDescent="0.25">
      <c r="A5" s="9"/>
      <c r="B5" s="10"/>
      <c r="C5" s="11"/>
      <c r="D5" s="4"/>
      <c r="E5" s="4"/>
      <c r="F5" s="4"/>
    </row>
    <row r="6" spans="1:10" s="17" customFormat="1" x14ac:dyDescent="0.2">
      <c r="A6" s="12"/>
      <c r="B6" s="13"/>
      <c r="C6" s="14"/>
      <c r="D6" s="104" t="s">
        <v>3</v>
      </c>
      <c r="E6" s="104"/>
      <c r="F6" s="15"/>
      <c r="G6" s="104" t="s">
        <v>4</v>
      </c>
      <c r="H6" s="104"/>
      <c r="I6" s="13"/>
      <c r="J6" s="16"/>
    </row>
    <row r="7" spans="1:10" s="17" customFormat="1" ht="13.5" thickBot="1" x14ac:dyDescent="0.25">
      <c r="A7" s="18" t="s">
        <v>5</v>
      </c>
      <c r="B7" s="19" t="s">
        <v>6</v>
      </c>
      <c r="C7" s="20"/>
      <c r="D7" s="21" t="s">
        <v>7</v>
      </c>
      <c r="E7" s="21" t="s">
        <v>8</v>
      </c>
      <c r="F7" s="22"/>
      <c r="G7" s="21" t="s">
        <v>7</v>
      </c>
      <c r="H7" s="21" t="s">
        <v>8</v>
      </c>
      <c r="I7" s="23"/>
      <c r="J7" s="24"/>
    </row>
    <row r="8" spans="1:10" x14ac:dyDescent="0.2">
      <c r="F8" s="25"/>
    </row>
    <row r="9" spans="1:10" x14ac:dyDescent="0.2">
      <c r="A9" s="1">
        <v>36831</v>
      </c>
      <c r="B9" t="s">
        <v>9</v>
      </c>
      <c r="D9" s="3">
        <v>54974349</v>
      </c>
      <c r="F9" s="25"/>
      <c r="G9" s="26">
        <f>19612+5000+8078564.87+136040.25+0.04</f>
        <v>8239217.1600000001</v>
      </c>
    </row>
    <row r="10" spans="1:10" x14ac:dyDescent="0.2">
      <c r="B10" s="27"/>
      <c r="C10" s="28" t="s">
        <v>10</v>
      </c>
      <c r="D10" s="3">
        <v>-1016625</v>
      </c>
      <c r="F10" s="25"/>
      <c r="G10" s="3">
        <f>-150637.41</f>
        <v>-150637.41</v>
      </c>
    </row>
    <row r="11" spans="1:10" x14ac:dyDescent="0.2">
      <c r="B11" s="27"/>
      <c r="C11" s="28" t="s">
        <v>11</v>
      </c>
      <c r="D11" s="3">
        <v>-12453330</v>
      </c>
      <c r="F11" s="25"/>
      <c r="G11" s="3">
        <f>-1845258.45</f>
        <v>-1845258.45</v>
      </c>
    </row>
    <row r="12" spans="1:10" ht="13.5" thickBot="1" x14ac:dyDescent="0.25">
      <c r="C12" s="2" t="s">
        <v>17</v>
      </c>
      <c r="D12" s="29">
        <f>D9+D10+D11</f>
        <v>41504394</v>
      </c>
      <c r="E12" s="30" t="s">
        <v>12</v>
      </c>
      <c r="F12" s="25"/>
      <c r="G12" s="31">
        <f>SUM(G9:G11)</f>
        <v>6243321.2999999998</v>
      </c>
      <c r="H12" s="30" t="s">
        <v>12</v>
      </c>
    </row>
    <row r="13" spans="1:10" ht="13.5" thickTop="1" x14ac:dyDescent="0.2">
      <c r="F13" s="25"/>
    </row>
    <row r="14" spans="1:10" x14ac:dyDescent="0.2">
      <c r="A14" s="1">
        <v>36861</v>
      </c>
      <c r="B14" t="s">
        <v>9</v>
      </c>
      <c r="E14" s="32">
        <f>-22813756.13</f>
        <v>-22813756.129999999</v>
      </c>
      <c r="F14" s="25"/>
      <c r="G14" s="32">
        <f>45196421-1017536</f>
        <v>44178885</v>
      </c>
      <c r="H14" s="55" t="s">
        <v>48</v>
      </c>
    </row>
    <row r="15" spans="1:10" x14ac:dyDescent="0.2">
      <c r="C15" s="2" t="s">
        <v>51</v>
      </c>
      <c r="E15" s="32">
        <f>22250084.08+563672.05</f>
        <v>22813756.129999999</v>
      </c>
      <c r="F15" s="25"/>
      <c r="G15" s="32">
        <f>-1315304.52</f>
        <v>-1315304.52</v>
      </c>
      <c r="H15" s="55"/>
    </row>
    <row r="16" spans="1:10" ht="13.5" thickBot="1" x14ac:dyDescent="0.25">
      <c r="C16" s="2" t="s">
        <v>53</v>
      </c>
      <c r="E16" s="29">
        <f>E14+E15</f>
        <v>0</v>
      </c>
      <c r="F16" s="25"/>
      <c r="G16" s="29">
        <f>G14+G15</f>
        <v>42863580.479999997</v>
      </c>
      <c r="H16" s="55"/>
    </row>
    <row r="17" spans="1:10" ht="13.5" thickTop="1" x14ac:dyDescent="0.2">
      <c r="F17" s="25"/>
      <c r="G17" s="32"/>
    </row>
    <row r="18" spans="1:10" x14ac:dyDescent="0.2">
      <c r="A18" s="1">
        <v>36892</v>
      </c>
      <c r="B18" t="s">
        <v>9</v>
      </c>
      <c r="C18" s="2" t="s">
        <v>13</v>
      </c>
      <c r="E18" s="32">
        <v>-12128192.17</v>
      </c>
      <c r="F18" s="25"/>
      <c r="G18" s="32">
        <v>10737043</v>
      </c>
      <c r="H18" s="55" t="s">
        <v>47</v>
      </c>
    </row>
    <row r="19" spans="1:10" x14ac:dyDescent="0.2">
      <c r="F19" s="25"/>
      <c r="G19" s="32"/>
    </row>
    <row r="20" spans="1:10" x14ac:dyDescent="0.2">
      <c r="A20" s="1">
        <v>36923</v>
      </c>
      <c r="B20" t="s">
        <v>9</v>
      </c>
      <c r="C20" s="2" t="s">
        <v>13</v>
      </c>
      <c r="E20" s="32">
        <v>-6130740.4400000004</v>
      </c>
      <c r="F20" s="25"/>
      <c r="G20" s="32">
        <v>4358562</v>
      </c>
      <c r="H20" s="55" t="s">
        <v>47</v>
      </c>
    </row>
    <row r="21" spans="1:10" x14ac:dyDescent="0.2">
      <c r="F21" s="25"/>
    </row>
    <row r="22" spans="1:10" x14ac:dyDescent="0.2">
      <c r="F22" s="25"/>
    </row>
    <row r="23" spans="1:10" x14ac:dyDescent="0.2">
      <c r="A23" s="5" t="s">
        <v>14</v>
      </c>
      <c r="B23" s="6"/>
      <c r="C23" s="7"/>
      <c r="D23" s="8"/>
      <c r="E23" s="8"/>
      <c r="F23" s="25"/>
      <c r="G23" s="8"/>
      <c r="H23" s="8"/>
      <c r="I23" s="6"/>
      <c r="J23" s="6"/>
    </row>
    <row r="24" spans="1:10" ht="13.5" thickBot="1" x14ac:dyDescent="0.25">
      <c r="F24" s="25"/>
    </row>
    <row r="25" spans="1:10" x14ac:dyDescent="0.2">
      <c r="A25" s="12"/>
      <c r="B25" s="13"/>
      <c r="C25" s="14"/>
      <c r="D25" s="104" t="s">
        <v>3</v>
      </c>
      <c r="E25" s="104"/>
      <c r="F25" s="15"/>
      <c r="G25" s="104" t="s">
        <v>4</v>
      </c>
      <c r="H25" s="104"/>
      <c r="I25" s="33"/>
      <c r="J25" s="34"/>
    </row>
    <row r="26" spans="1:10" ht="13.5" thickBot="1" x14ac:dyDescent="0.25">
      <c r="A26" s="18" t="s">
        <v>5</v>
      </c>
      <c r="B26" s="19" t="s">
        <v>6</v>
      </c>
      <c r="C26" s="20"/>
      <c r="D26" s="21" t="s">
        <v>7</v>
      </c>
      <c r="E26" s="21" t="s">
        <v>8</v>
      </c>
      <c r="F26" s="22"/>
      <c r="G26" s="21" t="s">
        <v>7</v>
      </c>
      <c r="H26" s="21" t="s">
        <v>8</v>
      </c>
      <c r="I26" s="35"/>
      <c r="J26" s="36"/>
    </row>
    <row r="27" spans="1:10" x14ac:dyDescent="0.2">
      <c r="F27" s="25"/>
    </row>
    <row r="28" spans="1:10" x14ac:dyDescent="0.2">
      <c r="A28" s="1">
        <v>36800</v>
      </c>
      <c r="B28" s="37" t="s">
        <v>15</v>
      </c>
      <c r="C28" s="2" t="s">
        <v>52</v>
      </c>
      <c r="E28" s="32">
        <f>-172172.76</f>
        <v>-172172.76</v>
      </c>
      <c r="F28" s="25"/>
      <c r="G28" s="38"/>
      <c r="H28" s="32">
        <f>-9280.27</f>
        <v>-9280.27</v>
      </c>
    </row>
    <row r="29" spans="1:10" x14ac:dyDescent="0.2">
      <c r="B29" s="39"/>
      <c r="C29" s="40"/>
      <c r="D29" s="41"/>
      <c r="E29" s="41"/>
      <c r="F29" s="25"/>
    </row>
    <row r="30" spans="1:10" x14ac:dyDescent="0.2">
      <c r="A30" s="1">
        <v>36831</v>
      </c>
      <c r="B30" s="42" t="s">
        <v>16</v>
      </c>
      <c r="C30" s="2" t="s">
        <v>17</v>
      </c>
      <c r="D30" s="32">
        <v>19262.939999999999</v>
      </c>
      <c r="E30" s="41"/>
      <c r="F30" s="25"/>
      <c r="G30" s="32">
        <v>139499.57</v>
      </c>
    </row>
    <row r="31" spans="1:10" x14ac:dyDescent="0.2">
      <c r="B31" s="17" t="s">
        <v>18</v>
      </c>
      <c r="C31" s="2" t="s">
        <v>19</v>
      </c>
      <c r="F31" s="25"/>
      <c r="G31" s="43">
        <v>1081698.56</v>
      </c>
      <c r="H31" s="30" t="s">
        <v>20</v>
      </c>
    </row>
    <row r="32" spans="1:10" x14ac:dyDescent="0.2">
      <c r="B32" s="17" t="s">
        <v>18</v>
      </c>
      <c r="C32" s="2" t="s">
        <v>21</v>
      </c>
      <c r="E32" s="44" t="s">
        <v>22</v>
      </c>
      <c r="F32" s="25"/>
    </row>
    <row r="33" spans="1:34" x14ac:dyDescent="0.2">
      <c r="E33" s="45"/>
      <c r="F33" s="25"/>
      <c r="G33" s="43"/>
    </row>
    <row r="34" spans="1:34" x14ac:dyDescent="0.2">
      <c r="A34" s="1">
        <v>36861</v>
      </c>
      <c r="B34" s="17" t="s">
        <v>16</v>
      </c>
      <c r="E34" s="3">
        <f>-864091.23</f>
        <v>-864091.23</v>
      </c>
      <c r="F34" s="25"/>
    </row>
    <row r="35" spans="1:34" x14ac:dyDescent="0.2">
      <c r="B35" s="17"/>
      <c r="C35" s="2" t="s">
        <v>94</v>
      </c>
      <c r="E35" s="3">
        <v>864091.23</v>
      </c>
      <c r="F35" s="25"/>
    </row>
    <row r="36" spans="1:34" ht="13.5" thickBot="1" x14ac:dyDescent="0.25">
      <c r="B36" s="17"/>
      <c r="C36" s="2" t="s">
        <v>93</v>
      </c>
      <c r="E36" s="49">
        <f>E34+E35</f>
        <v>0</v>
      </c>
      <c r="F36" s="25"/>
    </row>
    <row r="37" spans="1:34" ht="13.5" thickTop="1" x14ac:dyDescent="0.2">
      <c r="B37" s="17"/>
      <c r="F37" s="25"/>
    </row>
    <row r="38" spans="1:34" x14ac:dyDescent="0.2">
      <c r="B38" s="17" t="s">
        <v>23</v>
      </c>
      <c r="D38" s="3">
        <f>12526251.16</f>
        <v>12526251.16</v>
      </c>
      <c r="F38" s="25"/>
      <c r="G38" s="3">
        <v>1585324.92</v>
      </c>
    </row>
    <row r="39" spans="1:34" x14ac:dyDescent="0.2">
      <c r="B39" s="2"/>
      <c r="C39" s="28" t="s">
        <v>24</v>
      </c>
      <c r="D39" s="3">
        <f>-4116842.51</f>
        <v>-4116842.51</v>
      </c>
      <c r="F39" s="25"/>
      <c r="G39" s="3">
        <f>-1123808.72</f>
        <v>-1123808.72</v>
      </c>
    </row>
    <row r="40" spans="1:34" x14ac:dyDescent="0.2">
      <c r="B40" s="2"/>
      <c r="C40" s="28" t="s">
        <v>25</v>
      </c>
      <c r="D40" s="3">
        <f>-155542.37</f>
        <v>-155542.37</v>
      </c>
      <c r="F40" s="25"/>
      <c r="G40" s="3">
        <f>-91363.38</f>
        <v>-91363.38</v>
      </c>
    </row>
    <row r="41" spans="1:34" x14ac:dyDescent="0.2">
      <c r="C41" s="2" t="s">
        <v>26</v>
      </c>
      <c r="D41" s="3">
        <v>0</v>
      </c>
      <c r="F41" s="25"/>
      <c r="G41" s="3">
        <f>-36735.44</f>
        <v>-36735.440000000002</v>
      </c>
    </row>
    <row r="42" spans="1:34" x14ac:dyDescent="0.2">
      <c r="C42" s="2" t="s">
        <v>27</v>
      </c>
      <c r="D42" s="3">
        <f>-172172.76</f>
        <v>-172172.76</v>
      </c>
      <c r="F42" s="25"/>
      <c r="G42" s="3">
        <v>0</v>
      </c>
    </row>
    <row r="43" spans="1:34" ht="13.5" thickBot="1" x14ac:dyDescent="0.25">
      <c r="B43" s="27"/>
      <c r="C43" s="28" t="s">
        <v>54</v>
      </c>
      <c r="D43" s="29">
        <f>SUM(D38:D42)</f>
        <v>8081693.5200000005</v>
      </c>
      <c r="E43" s="30" t="s">
        <v>28</v>
      </c>
      <c r="F43" s="25"/>
      <c r="G43" s="29">
        <f>G38+G39+G40+G41</f>
        <v>333417.37999999995</v>
      </c>
      <c r="H43" s="30" t="s">
        <v>28</v>
      </c>
    </row>
    <row r="44" spans="1:34" ht="13.5" thickTop="1" x14ac:dyDescent="0.2">
      <c r="B44" s="27"/>
      <c r="C44" s="28"/>
      <c r="D44" s="46"/>
      <c r="E44" s="30"/>
      <c r="F44" s="25"/>
      <c r="G44" s="46"/>
      <c r="H44" s="30"/>
    </row>
    <row r="45" spans="1:34" x14ac:dyDescent="0.2">
      <c r="A45" s="1">
        <v>36892</v>
      </c>
      <c r="B45" s="17" t="s">
        <v>23</v>
      </c>
      <c r="C45" s="2" t="s">
        <v>13</v>
      </c>
      <c r="E45" s="3">
        <f>-24715955.04</f>
        <v>-24715955.039999999</v>
      </c>
      <c r="F45" s="25"/>
      <c r="G45" s="3">
        <v>7623476</v>
      </c>
    </row>
    <row r="46" spans="1:34" x14ac:dyDescent="0.2">
      <c r="B46" s="17" t="s">
        <v>29</v>
      </c>
      <c r="C46" s="2" t="s">
        <v>13</v>
      </c>
      <c r="E46" s="3">
        <f>-13338016</f>
        <v>-13338016</v>
      </c>
      <c r="F46" s="25"/>
    </row>
    <row r="47" spans="1:34" x14ac:dyDescent="0.2">
      <c r="C47" s="28"/>
      <c r="F47" s="25"/>
    </row>
    <row r="48" spans="1:34" s="6" customFormat="1" ht="7.5" customHeight="1" thickBot="1" x14ac:dyDescent="0.25">
      <c r="A48" s="5"/>
      <c r="C48" s="47"/>
      <c r="D48" s="8"/>
      <c r="E48" s="8"/>
      <c r="F48" s="25"/>
      <c r="G48" s="8"/>
      <c r="H48" s="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10" ht="12" customHeight="1" thickBot="1" x14ac:dyDescent="0.25">
      <c r="A49" s="54" t="s">
        <v>30</v>
      </c>
      <c r="F49" s="25"/>
    </row>
    <row r="50" spans="1:10" x14ac:dyDescent="0.2">
      <c r="F50" s="25"/>
    </row>
    <row r="51" spans="1:10" x14ac:dyDescent="0.2">
      <c r="A51" s="1" t="s">
        <v>31</v>
      </c>
      <c r="B51" s="17" t="s">
        <v>32</v>
      </c>
      <c r="F51" s="25"/>
    </row>
    <row r="52" spans="1:10" x14ac:dyDescent="0.2">
      <c r="B52" s="56" t="s">
        <v>49</v>
      </c>
      <c r="F52" s="25"/>
    </row>
    <row r="53" spans="1:10" x14ac:dyDescent="0.2">
      <c r="F53" s="25"/>
    </row>
    <row r="54" spans="1:10" x14ac:dyDescent="0.2">
      <c r="A54" s="1" t="s">
        <v>33</v>
      </c>
      <c r="B54" s="17" t="s">
        <v>34</v>
      </c>
      <c r="F54" s="25"/>
    </row>
    <row r="55" spans="1:10" x14ac:dyDescent="0.2">
      <c r="B55" s="17"/>
      <c r="F55" s="25"/>
    </row>
    <row r="56" spans="1:10" x14ac:dyDescent="0.2">
      <c r="D56" s="48" t="s">
        <v>50</v>
      </c>
      <c r="F56" s="25"/>
      <c r="H56" s="48" t="s">
        <v>35</v>
      </c>
      <c r="J56" s="3"/>
    </row>
    <row r="57" spans="1:10" x14ac:dyDescent="0.2">
      <c r="B57" s="3"/>
      <c r="D57" s="27" t="s">
        <v>36</v>
      </c>
      <c r="E57" s="3">
        <f>(34095434.28/566890948.42)*17846030.82</f>
        <v>1073342.5408855898</v>
      </c>
      <c r="F57" s="25"/>
      <c r="H57" s="27" t="s">
        <v>36</v>
      </c>
      <c r="J57" s="3">
        <v>69492.41</v>
      </c>
    </row>
    <row r="58" spans="1:10" x14ac:dyDescent="0.2">
      <c r="B58" s="3"/>
      <c r="D58" s="27" t="s">
        <v>37</v>
      </c>
      <c r="E58" s="3">
        <f>(529929487.48/566890948.42)*17846030.82</f>
        <v>16682464.224121375</v>
      </c>
      <c r="F58" s="25"/>
      <c r="H58" s="27" t="s">
        <v>37</v>
      </c>
      <c r="J58" s="3">
        <v>1008410.97</v>
      </c>
    </row>
    <row r="59" spans="1:10" x14ac:dyDescent="0.2">
      <c r="B59" s="3"/>
      <c r="D59" s="27" t="s">
        <v>38</v>
      </c>
      <c r="E59" s="3">
        <f>(857703.68/566890948.42)*17846030.82</f>
        <v>27000.971439690391</v>
      </c>
      <c r="F59" s="25"/>
      <c r="H59" s="27" t="s">
        <v>38</v>
      </c>
      <c r="J59" s="3">
        <v>1130.07</v>
      </c>
    </row>
    <row r="60" spans="1:10" x14ac:dyDescent="0.2">
      <c r="B60" s="3"/>
      <c r="D60" s="27" t="s">
        <v>39</v>
      </c>
      <c r="E60" s="3">
        <f>(460695.67/566890948.42)*17846030.82</f>
        <v>14502.946551493202</v>
      </c>
      <c r="F60" s="25"/>
      <c r="H60" s="27" t="s">
        <v>39</v>
      </c>
      <c r="J60" s="3">
        <v>604.67999999999995</v>
      </c>
    </row>
    <row r="61" spans="1:10" x14ac:dyDescent="0.2">
      <c r="B61" s="3"/>
      <c r="D61" s="27" t="s">
        <v>40</v>
      </c>
      <c r="E61" s="3">
        <f>(1533344.39/566890948.42)*17846030.82</f>
        <v>48270.503026872262</v>
      </c>
      <c r="F61" s="25"/>
      <c r="H61" s="27" t="s">
        <v>40</v>
      </c>
      <c r="J61" s="3">
        <v>2041.68</v>
      </c>
    </row>
    <row r="62" spans="1:10" x14ac:dyDescent="0.2">
      <c r="B62" s="3"/>
      <c r="D62" s="27" t="s">
        <v>41</v>
      </c>
      <c r="E62" s="3">
        <f>(14282.92/566890948.42)*17846030.82</f>
        <v>449.63397498234201</v>
      </c>
      <c r="F62" s="25"/>
      <c r="H62" s="27" t="s">
        <v>41</v>
      </c>
      <c r="J62" s="3">
        <v>18.75</v>
      </c>
    </row>
    <row r="63" spans="1:10" ht="13.5" thickBot="1" x14ac:dyDescent="0.25">
      <c r="B63" s="3"/>
      <c r="D63"/>
      <c r="E63" s="49">
        <f>SUM(E57:E62)</f>
        <v>17846030.82</v>
      </c>
      <c r="F63" s="25"/>
      <c r="H63"/>
      <c r="J63" s="49">
        <f>SUM(J57:J62)</f>
        <v>1081698.5599999998</v>
      </c>
    </row>
    <row r="64" spans="1:10" ht="13.5" thickTop="1" x14ac:dyDescent="0.2">
      <c r="B64" s="3"/>
      <c r="D64"/>
      <c r="E64" s="41"/>
      <c r="F64" s="25"/>
      <c r="H64"/>
      <c r="J64" s="41"/>
    </row>
    <row r="65" spans="1:10" x14ac:dyDescent="0.2">
      <c r="A65" s="1" t="s">
        <v>33</v>
      </c>
      <c r="B65" s="17" t="s">
        <v>42</v>
      </c>
      <c r="D65" s="38" t="s">
        <v>43</v>
      </c>
      <c r="E65" s="50">
        <f>-7924498.8</f>
        <v>-7924498.7999999998</v>
      </c>
      <c r="F65" s="51"/>
      <c r="G65" s="38" t="s">
        <v>43</v>
      </c>
      <c r="H65" s="50">
        <f>-329146.32</f>
        <v>-329146.32</v>
      </c>
      <c r="J65" s="3"/>
    </row>
    <row r="66" spans="1:10" x14ac:dyDescent="0.2">
      <c r="B66" s="17" t="s">
        <v>44</v>
      </c>
      <c r="D66" s="38" t="s">
        <v>43</v>
      </c>
      <c r="E66" s="50">
        <f>-25426.86</f>
        <v>-25426.86</v>
      </c>
      <c r="F66" s="51"/>
      <c r="G66" s="38" t="s">
        <v>43</v>
      </c>
      <c r="H66" s="50">
        <f>-4271.06</f>
        <v>-4271.0600000000004</v>
      </c>
    </row>
    <row r="67" spans="1:10" x14ac:dyDescent="0.2">
      <c r="B67" s="17" t="s">
        <v>45</v>
      </c>
      <c r="D67" s="38" t="s">
        <v>46</v>
      </c>
      <c r="E67" s="50">
        <f>-131767.86</f>
        <v>-131767.85999999999</v>
      </c>
      <c r="F67" s="51"/>
      <c r="G67" s="38"/>
      <c r="H67" s="52">
        <v>0</v>
      </c>
    </row>
    <row r="68" spans="1:10" ht="13.5" thickBot="1" x14ac:dyDescent="0.25">
      <c r="E68" s="53">
        <f>SUM(E65:E67)</f>
        <v>-8081693.5200000005</v>
      </c>
      <c r="F68" s="51"/>
      <c r="G68" s="50"/>
      <c r="H68" s="53">
        <f>H65+H66</f>
        <v>-333417.38</v>
      </c>
    </row>
    <row r="69" spans="1:10" ht="13.5" thickTop="1" x14ac:dyDescent="0.2">
      <c r="F69" s="25"/>
    </row>
    <row r="70" spans="1:10" x14ac:dyDescent="0.2">
      <c r="F70" s="4"/>
    </row>
    <row r="77" spans="1:10" x14ac:dyDescent="0.2">
      <c r="E77" s="30"/>
    </row>
  </sheetData>
  <mergeCells count="4">
    <mergeCell ref="D6:E6"/>
    <mergeCell ref="G6:H6"/>
    <mergeCell ref="D25:E25"/>
    <mergeCell ref="G25:H25"/>
  </mergeCells>
  <pageMargins left="0.32" right="0.25" top="0.33" bottom="0.21" header="0.17" footer="0.22"/>
  <pageSetup scale="60" orientation="landscape" r:id="rId1"/>
  <headerFooter alignWithMargins="0">
    <oddHeader>&amp;CHIGHLY CONFIDENTIAL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selection activeCell="A10" sqref="A10"/>
    </sheetView>
  </sheetViews>
  <sheetFormatPr defaultRowHeight="11.25" x14ac:dyDescent="0.2"/>
  <cols>
    <col min="1" max="1" width="37.28515625" style="58" customWidth="1"/>
    <col min="2" max="2" width="26.7109375" style="58" customWidth="1"/>
    <col min="3" max="3" width="25.5703125" style="58" customWidth="1"/>
    <col min="4" max="4" width="7.28515625" style="58" customWidth="1"/>
    <col min="5" max="5" width="13.28515625" style="59" bestFit="1" customWidth="1"/>
    <col min="6" max="6" width="9" style="58" customWidth="1"/>
    <col min="7" max="7" width="9.140625" style="58"/>
    <col min="8" max="8" width="11.5703125" style="60" customWidth="1"/>
    <col min="9" max="10" width="12.7109375" style="60" customWidth="1"/>
    <col min="11" max="11" width="13.42578125" style="60" customWidth="1"/>
    <col min="12" max="16384" width="9.140625" style="58"/>
  </cols>
  <sheetData>
    <row r="1" spans="1:11" s="101" customFormat="1" ht="12.75" x14ac:dyDescent="0.2">
      <c r="A1" s="17" t="s">
        <v>55</v>
      </c>
      <c r="E1" s="102"/>
      <c r="H1" s="103"/>
      <c r="I1" s="103"/>
      <c r="J1" s="103"/>
      <c r="K1" s="103"/>
    </row>
    <row r="2" spans="1:11" x14ac:dyDescent="0.2">
      <c r="A2" s="100" t="s">
        <v>95</v>
      </c>
    </row>
    <row r="3" spans="1:11" x14ac:dyDescent="0.2">
      <c r="A3" s="57"/>
    </row>
    <row r="5" spans="1:11" x14ac:dyDescent="0.2">
      <c r="A5" s="61" t="s">
        <v>56</v>
      </c>
      <c r="B5" s="62"/>
      <c r="C5" s="62"/>
      <c r="D5" s="62"/>
    </row>
    <row r="6" spans="1:11" s="57" customFormat="1" x14ac:dyDescent="0.2">
      <c r="A6" s="63" t="s">
        <v>57</v>
      </c>
      <c r="B6" s="63" t="s">
        <v>58</v>
      </c>
      <c r="C6" s="63" t="s">
        <v>59</v>
      </c>
      <c r="D6" s="63"/>
      <c r="E6" s="64" t="s">
        <v>60</v>
      </c>
      <c r="F6" s="65" t="s">
        <v>61</v>
      </c>
      <c r="H6" s="66"/>
      <c r="I6" s="66"/>
      <c r="J6" s="66"/>
      <c r="K6" s="66"/>
    </row>
    <row r="7" spans="1:11" s="57" customFormat="1" x14ac:dyDescent="0.2">
      <c r="A7" s="58" t="s">
        <v>62</v>
      </c>
      <c r="B7" s="58" t="s">
        <v>63</v>
      </c>
      <c r="C7" s="58" t="s">
        <v>64</v>
      </c>
      <c r="D7" s="58"/>
      <c r="E7" s="67">
        <v>3570788</v>
      </c>
      <c r="F7" s="65"/>
      <c r="H7" s="66"/>
      <c r="I7" s="68"/>
      <c r="J7" s="66"/>
      <c r="K7" s="66"/>
    </row>
    <row r="8" spans="1:11" s="57" customFormat="1" x14ac:dyDescent="0.2">
      <c r="A8" s="58"/>
      <c r="B8" s="58"/>
      <c r="C8" s="58" t="s">
        <v>65</v>
      </c>
      <c r="D8" s="58"/>
      <c r="E8" s="69"/>
      <c r="F8" s="65"/>
      <c r="H8" s="66"/>
      <c r="I8" s="66"/>
      <c r="J8" s="66"/>
      <c r="K8" s="66"/>
    </row>
    <row r="9" spans="1:11" s="57" customFormat="1" x14ac:dyDescent="0.2">
      <c r="A9" s="58"/>
      <c r="B9" s="58"/>
      <c r="C9" s="58" t="s">
        <v>66</v>
      </c>
      <c r="D9" s="58"/>
      <c r="E9" s="69"/>
      <c r="F9" s="65"/>
      <c r="H9" s="66"/>
      <c r="I9" s="66"/>
      <c r="J9" s="66"/>
      <c r="K9" s="66"/>
    </row>
    <row r="10" spans="1:11" s="57" customFormat="1" x14ac:dyDescent="0.2">
      <c r="A10" s="63"/>
      <c r="B10" s="63"/>
      <c r="C10" s="70" t="s">
        <v>67</v>
      </c>
      <c r="D10" s="71"/>
      <c r="E10" s="72">
        <f>E7</f>
        <v>3570788</v>
      </c>
      <c r="F10" s="65"/>
      <c r="H10" s="66"/>
      <c r="I10" s="68"/>
      <c r="J10" s="66"/>
      <c r="K10" s="66"/>
    </row>
    <row r="11" spans="1:11" s="57" customFormat="1" ht="12.75" customHeight="1" x14ac:dyDescent="0.2">
      <c r="A11" s="63" t="s">
        <v>68</v>
      </c>
      <c r="B11" s="63"/>
      <c r="C11" s="73"/>
      <c r="D11" s="63"/>
      <c r="E11" s="74"/>
      <c r="F11" s="65"/>
      <c r="H11" s="66"/>
      <c r="I11" s="66"/>
      <c r="J11" s="66"/>
      <c r="K11" s="66"/>
    </row>
    <row r="12" spans="1:11" x14ac:dyDescent="0.2">
      <c r="A12" s="62" t="s">
        <v>69</v>
      </c>
      <c r="B12" s="62" t="s">
        <v>63</v>
      </c>
      <c r="C12" s="62" t="s">
        <v>70</v>
      </c>
      <c r="D12" s="62"/>
      <c r="E12" s="75">
        <v>15000000</v>
      </c>
      <c r="F12" s="95">
        <v>37011</v>
      </c>
      <c r="I12" s="68"/>
    </row>
    <row r="13" spans="1:11" x14ac:dyDescent="0.2">
      <c r="A13" s="62"/>
      <c r="B13" s="62"/>
      <c r="C13" s="77" t="s">
        <v>71</v>
      </c>
      <c r="D13" s="60"/>
      <c r="E13" s="78">
        <f>E12</f>
        <v>15000000</v>
      </c>
      <c r="F13" s="76"/>
      <c r="I13" s="68"/>
    </row>
    <row r="14" spans="1:11" x14ac:dyDescent="0.2">
      <c r="A14" s="62"/>
      <c r="B14" s="62"/>
      <c r="C14" s="77"/>
      <c r="D14" s="60"/>
      <c r="E14" s="78"/>
      <c r="F14" s="76"/>
      <c r="I14" s="68"/>
    </row>
    <row r="15" spans="1:11" x14ac:dyDescent="0.2">
      <c r="A15" s="62"/>
      <c r="B15" s="62"/>
      <c r="C15" s="79" t="s">
        <v>72</v>
      </c>
      <c r="D15" s="60"/>
      <c r="E15" s="78"/>
      <c r="F15" s="76"/>
      <c r="I15" s="68"/>
      <c r="K15" s="80"/>
    </row>
    <row r="16" spans="1:11" ht="12" thickBot="1" x14ac:dyDescent="0.25">
      <c r="E16" s="69"/>
    </row>
    <row r="17" spans="1:11" ht="12" thickBot="1" x14ac:dyDescent="0.25">
      <c r="C17" s="81" t="s">
        <v>73</v>
      </c>
      <c r="D17" s="82" t="s">
        <v>74</v>
      </c>
      <c r="E17" s="83">
        <f>E10+E13</f>
        <v>18570788</v>
      </c>
      <c r="I17" s="78"/>
      <c r="J17" s="84"/>
    </row>
    <row r="19" spans="1:11" x14ac:dyDescent="0.2">
      <c r="A19" s="61" t="s">
        <v>75</v>
      </c>
      <c r="B19" s="62"/>
      <c r="C19" s="62"/>
      <c r="D19" s="62"/>
    </row>
    <row r="20" spans="1:11" s="57" customFormat="1" x14ac:dyDescent="0.2">
      <c r="A20" s="63" t="s">
        <v>57</v>
      </c>
      <c r="B20" s="63" t="s">
        <v>58</v>
      </c>
      <c r="C20" s="63" t="s">
        <v>76</v>
      </c>
      <c r="D20" s="63"/>
      <c r="E20" s="64" t="s">
        <v>60</v>
      </c>
      <c r="F20" s="65" t="s">
        <v>61</v>
      </c>
      <c r="H20" s="66"/>
      <c r="I20" s="66"/>
      <c r="J20" s="66"/>
      <c r="K20" s="66"/>
    </row>
    <row r="21" spans="1:11" s="57" customFormat="1" x14ac:dyDescent="0.2">
      <c r="A21" s="58" t="s">
        <v>77</v>
      </c>
      <c r="B21" s="63"/>
      <c r="C21" s="63"/>
      <c r="D21" s="63"/>
      <c r="E21" s="64"/>
      <c r="F21" s="65"/>
      <c r="H21" s="66"/>
      <c r="I21" s="66"/>
      <c r="J21" s="66"/>
      <c r="K21" s="66"/>
    </row>
    <row r="22" spans="1:11" x14ac:dyDescent="0.2">
      <c r="A22" s="85" t="s">
        <v>78</v>
      </c>
      <c r="B22" s="58" t="s">
        <v>79</v>
      </c>
      <c r="C22" s="58" t="s">
        <v>80</v>
      </c>
      <c r="E22" s="59">
        <v>15000000</v>
      </c>
      <c r="F22" s="86">
        <v>36922</v>
      </c>
    </row>
    <row r="23" spans="1:11" x14ac:dyDescent="0.2">
      <c r="A23" s="85" t="s">
        <v>81</v>
      </c>
      <c r="B23" s="58" t="s">
        <v>79</v>
      </c>
      <c r="C23" s="58" t="s">
        <v>82</v>
      </c>
      <c r="E23" s="59">
        <v>14500000</v>
      </c>
      <c r="F23" s="86">
        <v>36922</v>
      </c>
    </row>
    <row r="24" spans="1:11" x14ac:dyDescent="0.2">
      <c r="A24" s="85" t="s">
        <v>83</v>
      </c>
      <c r="B24" s="58" t="s">
        <v>79</v>
      </c>
      <c r="C24" s="58" t="s">
        <v>84</v>
      </c>
      <c r="E24" s="75">
        <v>7000000</v>
      </c>
      <c r="F24" s="86">
        <v>36922</v>
      </c>
    </row>
    <row r="25" spans="1:11" x14ac:dyDescent="0.2">
      <c r="C25" s="70" t="s">
        <v>67</v>
      </c>
      <c r="D25" s="87"/>
      <c r="E25" s="88">
        <f>SUM(E22:E24)</f>
        <v>36500000</v>
      </c>
      <c r="F25" s="86"/>
      <c r="H25" s="84"/>
      <c r="I25" s="80"/>
    </row>
    <row r="26" spans="1:11" x14ac:dyDescent="0.2">
      <c r="A26" s="63" t="s">
        <v>85</v>
      </c>
      <c r="E26" s="67"/>
      <c r="F26" s="86"/>
    </row>
    <row r="27" spans="1:11" x14ac:dyDescent="0.2">
      <c r="A27" s="89">
        <v>3016972</v>
      </c>
      <c r="B27" s="62" t="s">
        <v>79</v>
      </c>
      <c r="C27" s="62" t="s">
        <v>64</v>
      </c>
      <c r="D27" s="62"/>
      <c r="E27" s="90">
        <v>40290000</v>
      </c>
      <c r="F27" s="95">
        <v>36981</v>
      </c>
      <c r="I27" s="80"/>
    </row>
    <row r="28" spans="1:11" x14ac:dyDescent="0.2">
      <c r="A28" s="62" t="s">
        <v>86</v>
      </c>
      <c r="B28" s="62" t="s">
        <v>79</v>
      </c>
      <c r="C28" s="62" t="s">
        <v>87</v>
      </c>
      <c r="D28" s="62"/>
      <c r="E28" s="90">
        <v>27000000</v>
      </c>
      <c r="F28" s="95">
        <v>36981</v>
      </c>
      <c r="I28" s="80"/>
    </row>
    <row r="29" spans="1:11" x14ac:dyDescent="0.2">
      <c r="A29" s="62" t="s">
        <v>88</v>
      </c>
      <c r="B29" s="62" t="s">
        <v>79</v>
      </c>
      <c r="C29" s="62" t="s">
        <v>89</v>
      </c>
      <c r="D29" s="62"/>
      <c r="E29" s="75">
        <v>25000000</v>
      </c>
      <c r="F29" s="95">
        <v>37134</v>
      </c>
      <c r="H29" s="84"/>
      <c r="I29" s="80"/>
    </row>
    <row r="30" spans="1:11" x14ac:dyDescent="0.2">
      <c r="C30" s="73" t="s">
        <v>90</v>
      </c>
      <c r="D30" s="57"/>
      <c r="E30" s="74">
        <f>SUM(E27:E29)</f>
        <v>92290000</v>
      </c>
      <c r="I30" s="78"/>
    </row>
    <row r="31" spans="1:11" ht="12" thickBot="1" x14ac:dyDescent="0.25"/>
    <row r="32" spans="1:11" ht="12" thickBot="1" x14ac:dyDescent="0.25">
      <c r="C32" s="91" t="s">
        <v>91</v>
      </c>
      <c r="D32" s="82" t="s">
        <v>74</v>
      </c>
      <c r="E32" s="83">
        <f>E25+E30</f>
        <v>128790000</v>
      </c>
      <c r="I32" s="78"/>
    </row>
    <row r="33" spans="3:10" ht="12" thickBot="1" x14ac:dyDescent="0.25"/>
    <row r="34" spans="3:10" ht="12" thickBot="1" x14ac:dyDescent="0.25">
      <c r="C34" s="92" t="s">
        <v>92</v>
      </c>
      <c r="D34" s="93"/>
      <c r="E34" s="94">
        <f>E17+E32</f>
        <v>147360788</v>
      </c>
      <c r="I34" s="78"/>
      <c r="J34" s="78"/>
    </row>
    <row r="36" spans="3:10" x14ac:dyDescent="0.2">
      <c r="H36" s="80"/>
    </row>
  </sheetData>
  <pageMargins left="0.75" right="0.2" top="1" bottom="1" header="0.5" footer="0.5"/>
  <pageSetup orientation="landscape" r:id="rId1"/>
  <headerFooter alignWithMargins="0">
    <oddHeader>&amp;CHIGHLY CONFIDENTIAL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PX and ISO Outstanding Exposure</vt:lpstr>
      <vt:lpstr>Outst EPMI Collateral to PX</vt:lpstr>
      <vt:lpstr>'PX and ISO Outstanding Exposure'!Print_Area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2001-03-09T20:09:26Z</cp:lastPrinted>
  <dcterms:created xsi:type="dcterms:W3CDTF">2001-03-09T18:14:50Z</dcterms:created>
  <dcterms:modified xsi:type="dcterms:W3CDTF">2014-09-04T08:12:24Z</dcterms:modified>
</cp:coreProperties>
</file>