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65" windowHeight="8370" tabRatio="781" activeTab="1"/>
  </bookViews>
  <sheets>
    <sheet name="Summary" sheetId="13" r:id="rId1"/>
    <sheet name="Direct" sheetId="12" r:id="rId2"/>
    <sheet name="rsc" sheetId="16" r:id="rId3"/>
    <sheet name="headcount" sheetId="15" r:id="rId4"/>
    <sheet name="Alloc out by CC (IO)" sheetId="5" r:id="rId5"/>
    <sheet name="Alloc out by CC (HC)" sheetId="10" r:id="rId6"/>
    <sheet name="Total Allocations graph data" sheetId="14" r:id="rId7"/>
    <sheet name="costs per day" sheetId="6" r:id="rId8"/>
    <sheet name="template" sheetId="7" r:id="rId9"/>
  </sheets>
  <externalReferences>
    <externalReference r:id="rId10"/>
    <externalReference r:id="rId11"/>
  </externalReferences>
  <definedNames>
    <definedName name="_Order1" hidden="1">255</definedName>
    <definedName name="adaytum_col_1" localSheetId="5">'Alloc out by CC (HC)'!$C$6:$F$6</definedName>
    <definedName name="adaytum_col_1" localSheetId="4">'Alloc out by CC (IO)'!$C$6:$F$6</definedName>
    <definedName name="adaytum_col_1" localSheetId="7">'costs per day'!$C$6:$E$6</definedName>
    <definedName name="adaytum_col_1" localSheetId="1">Direct!$C$30:$G$30</definedName>
    <definedName name="adaytum_col_1" localSheetId="6">'Total Allocations graph data'!$C$6:$D$6</definedName>
    <definedName name="adaytum_col_2" localSheetId="1">Direct!$C$7:$G$7</definedName>
    <definedName name="adaytum_col_3" localSheetId="1">Direct!$C$24:$G$24</definedName>
    <definedName name="adaytum_col_4" localSheetId="1">Direct!$C$46:$G$46</definedName>
    <definedName name="adaytum_data_1" localSheetId="5">'Alloc out by CC (HC)'!$C$7:$F$33</definedName>
    <definedName name="adaytum_data_1" localSheetId="4">'Alloc out by CC (IO)'!$C$7:$F$35</definedName>
    <definedName name="adaytum_data_1" localSheetId="7">'costs per day'!$C$7:$E$12</definedName>
    <definedName name="adaytum_data_1" localSheetId="1">Direct!$C$31:$G$40</definedName>
    <definedName name="adaytum_data_1" localSheetId="6">'Total Allocations graph data'!$C$7:$D$33</definedName>
    <definedName name="adaytum_data_2" localSheetId="1">Direct!$C$8:$G$17</definedName>
    <definedName name="adaytum_data_3" localSheetId="1">Direct!$C$25:$G$25</definedName>
    <definedName name="adaytum_data_5" localSheetId="1">Direct!$C$47:$G$47</definedName>
    <definedName name="adaytum_page_1" localSheetId="5">'Alloc out by CC (HC)'!$B$4:$C$4</definedName>
    <definedName name="adaytum_page_1" localSheetId="4">'Alloc out by CC (IO)'!$B$4:$C$4</definedName>
    <definedName name="adaytum_page_1" localSheetId="7">'costs per day'!$B$4:$C$4</definedName>
    <definedName name="adaytum_page_1" localSheetId="1">Direct!$B$28</definedName>
    <definedName name="adaytum_page_1" localSheetId="6">'Total Allocations graph data'!$B$4:$C$4</definedName>
    <definedName name="adaytum_page_2" localSheetId="1">Direct!$B$5:$C$5</definedName>
    <definedName name="adaytum_page_3" localSheetId="1">Direct!$B$22</definedName>
    <definedName name="adaytum_page_4" localSheetId="1">Direct!$B$44</definedName>
    <definedName name="adaytum_row_1" localSheetId="5">'Alloc out by CC (HC)'!$B$7:$B$33</definedName>
    <definedName name="adaytum_row_1" localSheetId="4">'Alloc out by CC (IO)'!$B$7:$B$35</definedName>
    <definedName name="adaytum_row_1" localSheetId="7">'costs per day'!$B$7:$B$12</definedName>
    <definedName name="adaytum_row_1" localSheetId="1">Direct!$B$31:$B$40</definedName>
    <definedName name="adaytum_row_1" localSheetId="6">'Total Allocations graph data'!$B$7:$B$33</definedName>
    <definedName name="adaytum_row_2" localSheetId="1">Direct!$B$8:$B$17</definedName>
    <definedName name="adaytum_row_3" localSheetId="1">Direct!$B$25</definedName>
    <definedName name="adaytum_row_4" localSheetId="1">Direct!$B$47</definedName>
    <definedName name="adaytum_view_1" localSheetId="5">'Alloc out by CC (HC)'!$B$3</definedName>
    <definedName name="adaytum_view_1" localSheetId="4">'Alloc out by CC (IO)'!$B$3</definedName>
    <definedName name="adaytum_view_1" localSheetId="7">'costs per day'!$B$3</definedName>
    <definedName name="adaytum_view_1" localSheetId="1">Direct!$B$27</definedName>
    <definedName name="adaytum_view_1" localSheetId="6">'Total Allocations graph data'!$B$3</definedName>
    <definedName name="adaytum_view_2" localSheetId="1">Direct!$B$4</definedName>
    <definedName name="adaytum_view_4" localSheetId="1">Direct!$B$43</definedName>
    <definedName name="adaytum_view_5" localSheetId="1">Direct!$B$21</definedName>
    <definedName name="iii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5">'Alloc out by CC (HC)'!$A$1:$G$54</definedName>
    <definedName name="_xlnm.Print_Area" localSheetId="4">'Alloc out by CC (IO)'!$A$1:$G$53</definedName>
    <definedName name="_xlnm.Print_Area" localSheetId="7">'costs per day'!$A$1:$G$13</definedName>
    <definedName name="_xlnm.Print_Area" localSheetId="1">Direct!$A$1:$G$64</definedName>
    <definedName name="_xlnm.Print_Area" localSheetId="0">Summary!$A$1:$F$21</definedName>
    <definedName name="_xlnm.Print_Area" localSheetId="8">template!$A$1:$V$41</definedName>
    <definedName name="_xlnm.Print_Area" localSheetId="6">'Total Allocations graph data'!$A$1:$E$35</definedName>
    <definedName name="_xlnm.Print_Titles" localSheetId="5">'Alloc out by CC (HC)'!$1:$3</definedName>
    <definedName name="_xlnm.Print_Titles" localSheetId="4">'Alloc out by CC (IO)'!$1:$3</definedName>
    <definedName name="_xlnm.Print_Titles" localSheetId="7">'costs per day'!$1:$3</definedName>
    <definedName name="_xlnm.Print_Titles" localSheetId="1">Direct!$1:$3</definedName>
    <definedName name="_xlnm.Print_Titles" localSheetId="0">Summary!$1:$3</definedName>
    <definedName name="_xlnm.Print_Titles" localSheetId="8">template!$1:$3</definedName>
    <definedName name="_xlnm.Print_Titles" localSheetId="6">'Total Allocations graph data'!$1:$3</definedName>
    <definedName name="TABLE" localSheetId="1">Direct!#REF!</definedName>
    <definedName name="wrn.BFT._.PACK." localSheetId="5" hidden="1">{#N/A,#N/A,TRUE,"Page 12A"}</definedName>
    <definedName name="wrn.BFT._.PACK." localSheetId="4" hidden="1">{#N/A,#N/A,TRUE,"Page 12A"}</definedName>
    <definedName name="wrn.BFT._.PACK." localSheetId="7" hidden="1">{#N/A,#N/A,TRUE,"Page 12A"}</definedName>
    <definedName name="wrn.BFT._.PACK." localSheetId="1" hidden="1">{#N/A,#N/A,TRUE,"Page 12A"}</definedName>
    <definedName name="wrn.BFT._.PACK." localSheetId="0" hidden="1">{#N/A,#N/A,TRUE,"Page 12A"}</definedName>
    <definedName name="wrn.BFT._.PACK." localSheetId="8" hidden="1">{#N/A,#N/A,TRUE,"Page 12A"}</definedName>
    <definedName name="wrn.BFT._.PACK." localSheetId="6" hidden="1">{#N/A,#N/A,TRUE,"Page 12A"}</definedName>
    <definedName name="wrn.BFT._.PACK." hidden="1">{#N/A,#N/A,TRUE,"Page 12A"}</definedName>
    <definedName name="wrn.DATA." localSheetId="5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" hidden="1">{"UK CONS NOI",#N/A,FALSE,"Cons UK Income";#N/A,#N/A,FALSE,"Key Data";"UK CONS TOTAL BBLS",#N/A,FALSE,"Barrels";"UK CONS BBLS PER DAY",#N/A,FALSE,"Barrels"}</definedName>
    <definedName name="wrn.DATA." localSheetId="0" hidden="1">{"UK CONS NOI",#N/A,FALSE,"Cons UK Income";#N/A,#N/A,FALSE,"Key Data";"UK CONS TOTAL BBLS",#N/A,FALSE,"Barrels";"UK CONS BBLS PER DAY",#N/A,FALSE,"Barrels"}</definedName>
    <definedName name="wrn.DATA." localSheetId="8" hidden="1">{"UK CONS NOI",#N/A,FALSE,"Cons UK Income";#N/A,#N/A,FALSE,"Key Data";"UK CONS TOTAL BBLS",#N/A,FALSE,"Barrels";"UK CONS BBLS PER DAY",#N/A,FALSE,"Barrels"}</definedName>
    <definedName name="wrn.DATA." localSheetId="6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6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5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" hidden="1">{"GAS FRONT",#N/A,TRUE,"FRONT";"NATURAL GAS",#N/A,TRUE,"NOI";"GAS PROD MGN",#N/A,TRUE,"PROD MGN";"NAT GAS COGS",#N/A,TRUE,"COGS";"GAS EXP",#N/A,TRUE,"EXPENSES";"GAS VOLS",#N/A,TRUE,"VOLUME"}</definedName>
    <definedName name="wrn.Gas." localSheetId="0" hidden="1">{"GAS FRONT",#N/A,TRUE,"FRONT";"NATURAL GAS",#N/A,TRUE,"NOI";"GAS PROD MGN",#N/A,TRUE,"PROD MGN";"NAT GAS COGS",#N/A,TRUE,"COGS";"GAS EXP",#N/A,TRUE,"EXPENSES";"GAS VOLS",#N/A,TRUE,"VOLUME"}</definedName>
    <definedName name="wrn.Gas." localSheetId="8" hidden="1">{"GAS FRONT",#N/A,TRUE,"FRONT";"NATURAL GAS",#N/A,TRUE,"NOI";"GAS PROD MGN",#N/A,TRUE,"PROD MGN";"NAT GAS COGS",#N/A,TRUE,"COGS";"GAS EXP",#N/A,TRUE,"EXPENSES";"GAS VOLS",#N/A,TRUE,"VOLUME"}</definedName>
    <definedName name="wrn.Gas." localSheetId="6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6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6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5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" hidden="1">{"TOTAL SALES AND MKT",#N/A,FALSE,"NOI";"TOTAL RETAIL",#N/A,FALSE,"NOI";"TOTAL COMMERCIAL",#N/A,FALSE,"NOI"}</definedName>
    <definedName name="wrn.NOI._.Division._.Heads." localSheetId="0" hidden="1">{"TOTAL SALES AND MKT",#N/A,FALSE,"NOI";"TOTAL RETAIL",#N/A,FALSE,"NOI";"TOTAL COMMERCIAL",#N/A,FALSE,"NOI"}</definedName>
    <definedName name="wrn.NOI._.Division._.Heads." localSheetId="8" hidden="1">{"TOTAL SALES AND MKT",#N/A,FALSE,"NOI";"TOTAL RETAIL",#N/A,FALSE,"NOI";"TOTAL COMMERCIAL",#N/A,FALSE,"NOI"}</definedName>
    <definedName name="wrn.NOI._.Division._.Heads." localSheetId="6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6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6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152511" fullCalcOnLoad="1"/>
</workbook>
</file>

<file path=xl/calcChain.xml><?xml version="1.0" encoding="utf-8"?>
<calcChain xmlns="http://schemas.openxmlformats.org/spreadsheetml/2006/main">
  <c r="C34" i="10" l="1"/>
  <c r="D34" i="10"/>
  <c r="E34" i="10"/>
  <c r="F34" i="10"/>
  <c r="E7" i="5"/>
  <c r="E36" i="5" s="1"/>
  <c r="F7" i="5"/>
  <c r="F36" i="5" s="1"/>
  <c r="E9" i="5"/>
  <c r="F9" i="5"/>
  <c r="C36" i="5"/>
  <c r="D36" i="5"/>
  <c r="F7" i="6"/>
  <c r="F8" i="6"/>
  <c r="F40" i="6" s="1"/>
  <c r="F9" i="6"/>
  <c r="F10" i="6"/>
  <c r="F11" i="6"/>
  <c r="F12" i="6"/>
  <c r="C40" i="6"/>
  <c r="D40" i="6"/>
  <c r="E40" i="6"/>
  <c r="E16" i="12"/>
  <c r="E17" i="12" s="1"/>
  <c r="C17" i="12"/>
  <c r="D17" i="12"/>
  <c r="C19" i="12"/>
  <c r="D19" i="12"/>
  <c r="E19" i="12"/>
  <c r="E63" i="12" s="1"/>
  <c r="F19" i="12"/>
  <c r="F63" i="12" s="1"/>
  <c r="G19" i="12"/>
  <c r="D8" i="13" s="1"/>
  <c r="D31" i="12"/>
  <c r="G31" i="12" s="1"/>
  <c r="D32" i="12"/>
  <c r="G32" i="12"/>
  <c r="D33" i="12"/>
  <c r="G33" i="12"/>
  <c r="G53" i="12" s="1"/>
  <c r="G34" i="12"/>
  <c r="D35" i="12"/>
  <c r="D55" i="12" s="1"/>
  <c r="G35" i="12"/>
  <c r="G55" i="12" s="1"/>
  <c r="G36" i="12"/>
  <c r="G37" i="12"/>
  <c r="D38" i="12"/>
  <c r="D58" i="12" s="1"/>
  <c r="F38" i="12"/>
  <c r="G38" i="12"/>
  <c r="G58" i="12" s="1"/>
  <c r="G39" i="12"/>
  <c r="G59" i="12" s="1"/>
  <c r="C40" i="12"/>
  <c r="D40" i="12"/>
  <c r="E40" i="12"/>
  <c r="F40" i="12"/>
  <c r="G48" i="12"/>
  <c r="C51" i="12"/>
  <c r="C60" i="12" s="1"/>
  <c r="E51" i="12"/>
  <c r="E60" i="12" s="1"/>
  <c r="F51" i="12"/>
  <c r="F60" i="12" s="1"/>
  <c r="C52" i="12"/>
  <c r="D52" i="12"/>
  <c r="E52" i="12"/>
  <c r="F52" i="12"/>
  <c r="G52" i="12"/>
  <c r="C53" i="12"/>
  <c r="D53" i="12"/>
  <c r="E53" i="12"/>
  <c r="F53" i="12"/>
  <c r="C54" i="12"/>
  <c r="D54" i="12"/>
  <c r="E54" i="12"/>
  <c r="F54" i="12"/>
  <c r="G54" i="12"/>
  <c r="C55" i="12"/>
  <c r="E55" i="12"/>
  <c r="F55" i="12"/>
  <c r="C56" i="12"/>
  <c r="D56" i="12"/>
  <c r="E56" i="12"/>
  <c r="F56" i="12"/>
  <c r="G56" i="12"/>
  <c r="C57" i="12"/>
  <c r="D57" i="12"/>
  <c r="E57" i="12"/>
  <c r="F57" i="12"/>
  <c r="G57" i="12"/>
  <c r="C58" i="12"/>
  <c r="E58" i="12"/>
  <c r="F58" i="12"/>
  <c r="C59" i="12"/>
  <c r="D59" i="12"/>
  <c r="E59" i="12"/>
  <c r="F59" i="12"/>
  <c r="C63" i="12"/>
  <c r="D63" i="12"/>
  <c r="W4" i="15"/>
  <c r="G7" i="15"/>
  <c r="I7" i="15"/>
  <c r="I20" i="15" s="1"/>
  <c r="W7" i="15"/>
  <c r="D8" i="15"/>
  <c r="D20" i="15" s="1"/>
  <c r="G8" i="15"/>
  <c r="W8" i="15"/>
  <c r="I9" i="15"/>
  <c r="M9" i="15"/>
  <c r="W9" i="15"/>
  <c r="H10" i="15"/>
  <c r="I10" i="15"/>
  <c r="J10" i="15"/>
  <c r="J20" i="15" s="1"/>
  <c r="M10" i="15"/>
  <c r="W10" i="15"/>
  <c r="W11" i="15"/>
  <c r="G12" i="15"/>
  <c r="H12" i="15"/>
  <c r="I12" i="15"/>
  <c r="J12" i="15"/>
  <c r="K12" i="15"/>
  <c r="K20" i="15" s="1"/>
  <c r="M12" i="15"/>
  <c r="W12" i="15"/>
  <c r="G13" i="15"/>
  <c r="H13" i="15"/>
  <c r="I13" i="15"/>
  <c r="J13" i="15"/>
  <c r="K13" i="15"/>
  <c r="L13" i="15"/>
  <c r="L20" i="15" s="1"/>
  <c r="W13" i="15"/>
  <c r="G14" i="15"/>
  <c r="H14" i="15"/>
  <c r="J14" i="15"/>
  <c r="K14" i="15"/>
  <c r="L14" i="15"/>
  <c r="M14" i="15"/>
  <c r="M20" i="15" s="1"/>
  <c r="W14" i="15"/>
  <c r="D15" i="15"/>
  <c r="G15" i="15"/>
  <c r="H15" i="15"/>
  <c r="I15" i="15"/>
  <c r="J15" i="15"/>
  <c r="K15" i="15"/>
  <c r="L15" i="15"/>
  <c r="M15" i="15"/>
  <c r="W15" i="15"/>
  <c r="W16" i="15"/>
  <c r="G17" i="15"/>
  <c r="J17" i="15"/>
  <c r="L17" i="15"/>
  <c r="M17" i="15"/>
  <c r="W17" i="15"/>
  <c r="D18" i="15"/>
  <c r="W18" i="15"/>
  <c r="W19" i="15"/>
  <c r="C20" i="15"/>
  <c r="E20" i="15"/>
  <c r="E23" i="15" s="1"/>
  <c r="F20" i="15"/>
  <c r="F23" i="15" s="1"/>
  <c r="G20" i="15"/>
  <c r="G33" i="15" s="1"/>
  <c r="H20" i="15"/>
  <c r="H38" i="15" s="1"/>
  <c r="N20" i="15"/>
  <c r="N23" i="15" s="1"/>
  <c r="O20" i="15"/>
  <c r="O23" i="15" s="1"/>
  <c r="P20" i="15"/>
  <c r="P23" i="15" s="1"/>
  <c r="Q20" i="15"/>
  <c r="R20" i="15"/>
  <c r="S20" i="15"/>
  <c r="T20" i="15"/>
  <c r="U20" i="15"/>
  <c r="U23" i="15" s="1"/>
  <c r="C23" i="15"/>
  <c r="C36" i="15" s="1"/>
  <c r="Q23" i="15"/>
  <c r="Q36" i="15" s="1"/>
  <c r="R23" i="15"/>
  <c r="R36" i="15" s="1"/>
  <c r="S23" i="15"/>
  <c r="S36" i="15" s="1"/>
  <c r="T23" i="15"/>
  <c r="T36" i="15" s="1"/>
  <c r="C24" i="15"/>
  <c r="E24" i="15"/>
  <c r="F24" i="15"/>
  <c r="G24" i="15"/>
  <c r="H24" i="15"/>
  <c r="N24" i="15"/>
  <c r="O24" i="15"/>
  <c r="P24" i="15"/>
  <c r="Q24" i="15"/>
  <c r="R24" i="15"/>
  <c r="S24" i="15"/>
  <c r="T24" i="15"/>
  <c r="U24" i="15"/>
  <c r="C25" i="15"/>
  <c r="Q25" i="15"/>
  <c r="R25" i="15"/>
  <c r="S25" i="15"/>
  <c r="T25" i="15"/>
  <c r="C26" i="15"/>
  <c r="E26" i="15"/>
  <c r="F26" i="15"/>
  <c r="G26" i="15"/>
  <c r="H26" i="15"/>
  <c r="N26" i="15"/>
  <c r="O26" i="15"/>
  <c r="P26" i="15"/>
  <c r="Q26" i="15"/>
  <c r="R26" i="15"/>
  <c r="S26" i="15"/>
  <c r="T26" i="15"/>
  <c r="U26" i="15"/>
  <c r="C27" i="15"/>
  <c r="Q27" i="15"/>
  <c r="R27" i="15"/>
  <c r="S27" i="15"/>
  <c r="T27" i="15"/>
  <c r="C28" i="15"/>
  <c r="E28" i="15"/>
  <c r="F28" i="15"/>
  <c r="G28" i="15"/>
  <c r="H28" i="15"/>
  <c r="N28" i="15"/>
  <c r="O28" i="15"/>
  <c r="P28" i="15"/>
  <c r="Q28" i="15"/>
  <c r="R28" i="15"/>
  <c r="S28" i="15"/>
  <c r="T28" i="15"/>
  <c r="U28" i="15"/>
  <c r="C29" i="15"/>
  <c r="Q29" i="15"/>
  <c r="R29" i="15"/>
  <c r="S29" i="15"/>
  <c r="T29" i="15"/>
  <c r="C30" i="15"/>
  <c r="E30" i="15"/>
  <c r="F30" i="15"/>
  <c r="G30" i="15"/>
  <c r="H30" i="15"/>
  <c r="N30" i="15"/>
  <c r="O30" i="15"/>
  <c r="P30" i="15"/>
  <c r="Q30" i="15"/>
  <c r="R30" i="15"/>
  <c r="S30" i="15"/>
  <c r="T30" i="15"/>
  <c r="U30" i="15"/>
  <c r="C31" i="15"/>
  <c r="Q31" i="15"/>
  <c r="R31" i="15"/>
  <c r="S31" i="15"/>
  <c r="T31" i="15"/>
  <c r="C32" i="15"/>
  <c r="E32" i="15"/>
  <c r="F32" i="15"/>
  <c r="G32" i="15"/>
  <c r="H32" i="15"/>
  <c r="N32" i="15"/>
  <c r="O32" i="15"/>
  <c r="P32" i="15"/>
  <c r="Q32" i="15"/>
  <c r="R32" i="15"/>
  <c r="S32" i="15"/>
  <c r="T32" i="15"/>
  <c r="U32" i="15"/>
  <c r="C33" i="15"/>
  <c r="Q33" i="15"/>
  <c r="R33" i="15"/>
  <c r="S33" i="15"/>
  <c r="T33" i="15"/>
  <c r="C34" i="15"/>
  <c r="E34" i="15"/>
  <c r="F34" i="15"/>
  <c r="G34" i="15"/>
  <c r="H34" i="15"/>
  <c r="N34" i="15"/>
  <c r="O34" i="15"/>
  <c r="P34" i="15"/>
  <c r="Q34" i="15"/>
  <c r="R34" i="15"/>
  <c r="S34" i="15"/>
  <c r="T34" i="15"/>
  <c r="U34" i="15"/>
  <c r="C35" i="15"/>
  <c r="Q35" i="15"/>
  <c r="R35" i="15"/>
  <c r="S35" i="15"/>
  <c r="T35" i="15"/>
  <c r="C38" i="15"/>
  <c r="Q38" i="15"/>
  <c r="R38" i="15"/>
  <c r="S38" i="15"/>
  <c r="T38" i="15"/>
  <c r="E10" i="16"/>
  <c r="G10" i="16"/>
  <c r="D12" i="16"/>
  <c r="D14" i="16"/>
  <c r="D15" i="16"/>
  <c r="D20" i="16"/>
  <c r="E27" i="16"/>
  <c r="E28" i="16"/>
  <c r="C31" i="16"/>
  <c r="E31" i="16"/>
  <c r="C32" i="16"/>
  <c r="E32" i="16"/>
  <c r="C35" i="16"/>
  <c r="E35" i="16"/>
  <c r="E45" i="16" s="1"/>
  <c r="C36" i="16"/>
  <c r="E36" i="16"/>
  <c r="E38" i="16"/>
  <c r="E41" i="16"/>
  <c r="D43" i="16"/>
  <c r="E53" i="16"/>
  <c r="E55" i="16"/>
  <c r="D61" i="16"/>
  <c r="E61" i="16"/>
  <c r="E62" i="16"/>
  <c r="D62" i="16" s="1"/>
  <c r="E64" i="16"/>
  <c r="G64" i="16"/>
  <c r="E70" i="16"/>
  <c r="E92" i="16" s="1"/>
  <c r="E94" i="16" s="1"/>
  <c r="E78" i="16"/>
  <c r="E79" i="16"/>
  <c r="E80" i="16"/>
  <c r="E90" i="16"/>
  <c r="G90" i="16"/>
  <c r="G92" i="16"/>
  <c r="G94" i="16"/>
  <c r="E8" i="13"/>
  <c r="D10" i="13"/>
  <c r="D14" i="13"/>
  <c r="D20" i="13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U40" i="7"/>
  <c r="C34" i="14"/>
  <c r="D34" i="14"/>
  <c r="L25" i="15" l="1"/>
  <c r="L23" i="15"/>
  <c r="L33" i="15"/>
  <c r="L35" i="15"/>
  <c r="L24" i="15"/>
  <c r="L26" i="15"/>
  <c r="L28" i="15"/>
  <c r="L30" i="15"/>
  <c r="L32" i="15"/>
  <c r="L34" i="15"/>
  <c r="L27" i="15"/>
  <c r="L29" i="15"/>
  <c r="L31" i="15"/>
  <c r="K30" i="15"/>
  <c r="K34" i="15"/>
  <c r="K23" i="15"/>
  <c r="K27" i="15"/>
  <c r="K31" i="15"/>
  <c r="K24" i="15"/>
  <c r="K26" i="15"/>
  <c r="K28" i="15"/>
  <c r="K32" i="15"/>
  <c r="K33" i="15"/>
  <c r="K35" i="15"/>
  <c r="K25" i="15"/>
  <c r="K29" i="15"/>
  <c r="K38" i="15"/>
  <c r="J23" i="15"/>
  <c r="J29" i="15"/>
  <c r="J33" i="15"/>
  <c r="J35" i="15"/>
  <c r="J24" i="15"/>
  <c r="J26" i="15"/>
  <c r="J28" i="15"/>
  <c r="J30" i="15"/>
  <c r="J32" i="15"/>
  <c r="J34" i="15"/>
  <c r="J25" i="15"/>
  <c r="J27" i="15"/>
  <c r="J31" i="15"/>
  <c r="J38" i="15"/>
  <c r="D27" i="15"/>
  <c r="D31" i="15"/>
  <c r="D33" i="15"/>
  <c r="D38" i="15"/>
  <c r="D25" i="15"/>
  <c r="D29" i="15"/>
  <c r="D24" i="15"/>
  <c r="D26" i="15"/>
  <c r="D28" i="15"/>
  <c r="D30" i="15"/>
  <c r="D32" i="15"/>
  <c r="D34" i="15"/>
  <c r="D23" i="15"/>
  <c r="D35" i="15"/>
  <c r="I24" i="15"/>
  <c r="I26" i="15"/>
  <c r="I28" i="15"/>
  <c r="I30" i="15"/>
  <c r="I32" i="15"/>
  <c r="I34" i="15"/>
  <c r="I23" i="15"/>
  <c r="I25" i="15"/>
  <c r="I27" i="15"/>
  <c r="I29" i="15"/>
  <c r="I31" i="15"/>
  <c r="I33" i="15"/>
  <c r="I35" i="15"/>
  <c r="I38" i="15"/>
  <c r="L38" i="15"/>
  <c r="G51" i="12"/>
  <c r="G60" i="12" s="1"/>
  <c r="G40" i="12"/>
  <c r="E10" i="13" s="1"/>
  <c r="M23" i="15"/>
  <c r="M25" i="15"/>
  <c r="M27" i="15"/>
  <c r="M29" i="15"/>
  <c r="M31" i="15"/>
  <c r="M33" i="15"/>
  <c r="M35" i="15"/>
  <c r="M38" i="15"/>
  <c r="M24" i="15"/>
  <c r="M26" i="15"/>
  <c r="M30" i="15"/>
  <c r="M32" i="15"/>
  <c r="M28" i="15"/>
  <c r="M34" i="15"/>
  <c r="D51" i="12"/>
  <c r="D60" i="12" s="1"/>
  <c r="P38" i="15"/>
  <c r="P35" i="15"/>
  <c r="H35" i="15"/>
  <c r="P33" i="15"/>
  <c r="H33" i="15"/>
  <c r="P31" i="15"/>
  <c r="H31" i="15"/>
  <c r="P29" i="15"/>
  <c r="H29" i="15"/>
  <c r="P27" i="15"/>
  <c r="H27" i="15"/>
  <c r="P25" i="15"/>
  <c r="P36" i="15" s="1"/>
  <c r="H25" i="15"/>
  <c r="H23" i="15"/>
  <c r="W20" i="15"/>
  <c r="O38" i="15"/>
  <c r="O35" i="15"/>
  <c r="G35" i="15"/>
  <c r="O33" i="15"/>
  <c r="O31" i="15"/>
  <c r="G31" i="15"/>
  <c r="O29" i="15"/>
  <c r="G29" i="15"/>
  <c r="O27" i="15"/>
  <c r="G27" i="15"/>
  <c r="O25" i="15"/>
  <c r="O36" i="15" s="1"/>
  <c r="G25" i="15"/>
  <c r="G23" i="15"/>
  <c r="G63" i="12"/>
  <c r="N38" i="15"/>
  <c r="F38" i="15"/>
  <c r="N35" i="15"/>
  <c r="F35" i="15"/>
  <c r="N33" i="15"/>
  <c r="F33" i="15"/>
  <c r="N31" i="15"/>
  <c r="F31" i="15"/>
  <c r="N29" i="15"/>
  <c r="N36" i="15" s="1"/>
  <c r="F29" i="15"/>
  <c r="N27" i="15"/>
  <c r="F27" i="15"/>
  <c r="N25" i="15"/>
  <c r="F25" i="15"/>
  <c r="F36" i="15" s="1"/>
  <c r="G38" i="15"/>
  <c r="U38" i="15"/>
  <c r="E38" i="15"/>
  <c r="U35" i="15"/>
  <c r="E35" i="15"/>
  <c r="U33" i="15"/>
  <c r="E33" i="15"/>
  <c r="U31" i="15"/>
  <c r="E31" i="15"/>
  <c r="U29" i="15"/>
  <c r="E29" i="15"/>
  <c r="U27" i="15"/>
  <c r="E27" i="15"/>
  <c r="U25" i="15"/>
  <c r="U36" i="15" s="1"/>
  <c r="E25" i="15"/>
  <c r="E36" i="15" s="1"/>
  <c r="H36" i="15" l="1"/>
  <c r="M36" i="15"/>
  <c r="J36" i="15"/>
  <c r="L36" i="15"/>
  <c r="W24" i="15"/>
  <c r="W23" i="15"/>
  <c r="W25" i="15"/>
  <c r="W27" i="15"/>
  <c r="W29" i="15"/>
  <c r="W31" i="15"/>
  <c r="W33" i="15"/>
  <c r="W35" i="15"/>
  <c r="W38" i="15"/>
  <c r="W32" i="15"/>
  <c r="W34" i="15"/>
  <c r="W26" i="15"/>
  <c r="W28" i="15"/>
  <c r="W30" i="15"/>
  <c r="K36" i="15"/>
  <c r="G36" i="15"/>
  <c r="I36" i="15"/>
  <c r="D36" i="15"/>
  <c r="W36" i="15" l="1"/>
</calcChain>
</file>

<file path=xl/comments1.xml><?xml version="1.0" encoding="utf-8"?>
<comments xmlns="http://schemas.openxmlformats.org/spreadsheetml/2006/main">
  <authors>
    <author>cburke1</author>
    <author>IMorse</author>
  </authors>
  <commentList>
    <comment ref="B4" authorId="0" shapeId="0">
      <text>
        <r>
          <rPr>
            <sz val="8"/>
            <color indexed="81"/>
            <rFont val="Tahoma"/>
          </rPr>
          <t xml:space="preserve">Adaytum2
TYP=V
SVR=
LIB=P&amp;L
CBE=GA G&amp;A by hier Reporting
FGD=Y
BGD=Y
FGL=Y
BGL=N
SUP=N
BBF=N
NTS=Y
VAL=Y
RHD=N
LCK=N
RFH=N
BBK=Y
OVF=N
IAB=N
BAZ=N
EAZ=N
P01=Act&amp;Bud
P02=Month &amp; Headcount
R01=GA G&amp;A Summary
C01=GA CC in hier Reporting
RGP=adaytum_page_2
RGR=adaytum_row_2
RGC=adaytum_col_2
RGD=adaytum_data_2
VID=B65BAAE5B17F61C0
CHK=-957344364
</t>
        </r>
      </text>
    </comment>
    <comment ref="B5" authorId="1" shapeId="0">
      <text>
        <r>
          <rPr>
            <sz val="8"/>
            <color indexed="81"/>
            <rFont val="Tahoma"/>
          </rPr>
          <t>Act&amp;Bud</t>
        </r>
      </text>
    </comment>
    <comment ref="C5" authorId="1" shapeId="0">
      <text>
        <r>
          <rPr>
            <sz val="8"/>
            <color indexed="81"/>
            <rFont val="Tahoma"/>
          </rPr>
          <t>Month &amp; Headcount</t>
        </r>
      </text>
    </comment>
    <comment ref="C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G&amp;A Summary</t>
        </r>
      </text>
    </comment>
    <comment ref="B9" authorId="1" shapeId="0">
      <text>
        <r>
          <rPr>
            <sz val="8"/>
            <color indexed="81"/>
            <rFont val="Tahoma"/>
          </rPr>
          <t>GA G&amp;A Summary</t>
        </r>
      </text>
    </comment>
    <comment ref="B10" authorId="1" shapeId="0">
      <text>
        <r>
          <rPr>
            <sz val="8"/>
            <color indexed="81"/>
            <rFont val="Tahoma"/>
          </rPr>
          <t>GA G&amp;A Summary</t>
        </r>
      </text>
    </comment>
    <comment ref="B11" authorId="1" shapeId="0">
      <text>
        <r>
          <rPr>
            <sz val="8"/>
            <color indexed="81"/>
            <rFont val="Tahoma"/>
          </rPr>
          <t>GA G&amp;A Summary</t>
        </r>
      </text>
    </comment>
    <comment ref="B12" authorId="1" shapeId="0">
      <text>
        <r>
          <rPr>
            <sz val="8"/>
            <color indexed="81"/>
            <rFont val="Tahoma"/>
          </rPr>
          <t>GA G&amp;A Summary</t>
        </r>
      </text>
    </comment>
    <comment ref="B13" authorId="1" shapeId="0">
      <text>
        <r>
          <rPr>
            <sz val="8"/>
            <color indexed="81"/>
            <rFont val="Tahoma"/>
          </rPr>
          <t>GA G&amp;A Summary</t>
        </r>
      </text>
    </comment>
    <comment ref="B14" authorId="1" shapeId="0">
      <text>
        <r>
          <rPr>
            <sz val="8"/>
            <color indexed="81"/>
            <rFont val="Tahoma"/>
          </rPr>
          <t>GA G&amp;A Summary</t>
        </r>
      </text>
    </comment>
    <comment ref="B15" authorId="1" shapeId="0">
      <text>
        <r>
          <rPr>
            <sz val="8"/>
            <color indexed="81"/>
            <rFont val="Tahoma"/>
          </rPr>
          <t>GA G&amp;A Summary</t>
        </r>
      </text>
    </comment>
    <comment ref="B16" authorId="1" shapeId="0">
      <text>
        <r>
          <rPr>
            <sz val="8"/>
            <color indexed="81"/>
            <rFont val="Tahoma"/>
          </rPr>
          <t>GA G&amp;A Summary</t>
        </r>
      </text>
    </comment>
    <comment ref="B17" authorId="1" shapeId="0">
      <text>
        <r>
          <rPr>
            <sz val="8"/>
            <color indexed="81"/>
            <rFont val="Tahoma"/>
          </rPr>
          <t>GA G&amp;A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RGP=adaytum_page_3
RGR=adaytum_row_3
RGC=adaytum_col_3
RGD=adaytum_data_3
VID=7EAB8447167A61C0
CHK=1781250855
</t>
        </r>
      </text>
    </comment>
    <comment ref="B22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2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25" authorId="1" shapeId="0">
      <text>
        <r>
          <rPr>
            <sz val="8"/>
            <color indexed="81"/>
            <rFont val="Tahoma"/>
          </rPr>
          <t>GA G&amp;A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RGP=adaytum_page_1
RGR=adaytum_row_1
RGC=adaytum_col_1
RGD=adaytum_data_1
VID=BCAB9A49167A61C0
CHK=1395201100
</t>
        </r>
      </text>
    </comment>
    <comment ref="B28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3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31" authorId="1" shapeId="0">
      <text>
        <r>
          <rPr>
            <sz val="8"/>
            <color indexed="81"/>
            <rFont val="Tahoma"/>
          </rPr>
          <t>GA G&amp;A Summary</t>
        </r>
      </text>
    </comment>
    <comment ref="B32" authorId="1" shapeId="0">
      <text>
        <r>
          <rPr>
            <sz val="8"/>
            <color indexed="81"/>
            <rFont val="Tahoma"/>
          </rPr>
          <t>GA G&amp;A Summary</t>
        </r>
      </text>
    </comment>
    <comment ref="B33" authorId="1" shapeId="0">
      <text>
        <r>
          <rPr>
            <sz val="8"/>
            <color indexed="81"/>
            <rFont val="Tahoma"/>
          </rPr>
          <t>GA G&amp;A Summary</t>
        </r>
      </text>
    </comment>
    <comment ref="B34" authorId="1" shapeId="0">
      <text>
        <r>
          <rPr>
            <sz val="8"/>
            <color indexed="81"/>
            <rFont val="Tahoma"/>
          </rPr>
          <t>GA G&amp;A Summary</t>
        </r>
      </text>
    </comment>
    <comment ref="B35" authorId="1" shapeId="0">
      <text>
        <r>
          <rPr>
            <sz val="8"/>
            <color indexed="81"/>
            <rFont val="Tahoma"/>
          </rPr>
          <t>GA G&amp;A Summary</t>
        </r>
      </text>
    </comment>
    <comment ref="B36" authorId="1" shapeId="0">
      <text>
        <r>
          <rPr>
            <sz val="8"/>
            <color indexed="81"/>
            <rFont val="Tahoma"/>
          </rPr>
          <t>GA G&amp;A Summary</t>
        </r>
      </text>
    </comment>
    <comment ref="B37" authorId="1" shapeId="0">
      <text>
        <r>
          <rPr>
            <sz val="8"/>
            <color indexed="81"/>
            <rFont val="Tahoma"/>
          </rPr>
          <t>GA G&amp;A Summary</t>
        </r>
      </text>
    </comment>
    <comment ref="B38" authorId="1" shapeId="0">
      <text>
        <r>
          <rPr>
            <sz val="8"/>
            <color indexed="81"/>
            <rFont val="Tahoma"/>
          </rPr>
          <t>GA G&amp;A Summary</t>
        </r>
      </text>
    </comment>
    <comment ref="B39" authorId="1" shapeId="0">
      <text>
        <r>
          <rPr>
            <sz val="8"/>
            <color indexed="81"/>
            <rFont val="Tahoma"/>
          </rPr>
          <t>GA G&amp;A Summary</t>
        </r>
      </text>
    </comment>
    <comment ref="B40" authorId="1" shapeId="0">
      <text>
        <r>
          <rPr>
            <sz val="8"/>
            <color indexed="81"/>
            <rFont val="Tahoma"/>
          </rPr>
          <t>GA G&amp;A Summary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LIB=P&amp;L
CBE=GA Bud&amp;Act with HC Reporting
FGD=Y
BGD=Y
FGL=Y
BGL=N
SUP=N
BBF=N
NTS=Y
VAL=Y
RHD=N
LCK=N
RFH=N
BBK=Y
OVF=N
IAB=N
BAZ=N
EAZ=N
P01=GA Bud&amp;Act with HC
R01=GA G&amp;A Summary
C01=GA CC in hier Reporting
RGP=adaytum_page_4
RGR=adaytum_row_4
RGC=adaytum_col_4
RGD=adaytum_data_5
VID=7EC1064A167A61C0
CHK=1464558846
</t>
        </r>
      </text>
    </comment>
    <comment ref="B44" authorId="1" shapeId="0">
      <text>
        <r>
          <rPr>
            <sz val="8"/>
            <color indexed="81"/>
            <rFont val="Tahoma"/>
          </rPr>
          <t>GA Bud&amp;Act with HC</t>
        </r>
      </text>
    </comment>
    <comment ref="C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46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47" authorId="1" shapeId="0">
      <text>
        <r>
          <rPr>
            <sz val="8"/>
            <color indexed="81"/>
            <rFont val="Tahoma"/>
          </rPr>
          <t>GA G&amp;A Summary</t>
        </r>
      </text>
    </comment>
    <comment ref="C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D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E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F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G5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51" authorId="1" shapeId="0">
      <text>
        <r>
          <rPr>
            <sz val="8"/>
            <color indexed="81"/>
            <rFont val="Tahoma"/>
          </rPr>
          <t>GA G&amp;A Summary</t>
        </r>
      </text>
    </comment>
    <comment ref="B52" authorId="1" shapeId="0">
      <text>
        <r>
          <rPr>
            <sz val="8"/>
            <color indexed="81"/>
            <rFont val="Tahoma"/>
          </rPr>
          <t>GA G&amp;A Summary</t>
        </r>
      </text>
    </comment>
    <comment ref="B53" authorId="1" shapeId="0">
      <text>
        <r>
          <rPr>
            <sz val="8"/>
            <color indexed="81"/>
            <rFont val="Tahoma"/>
          </rPr>
          <t>GA G&amp;A Summary</t>
        </r>
      </text>
    </comment>
    <comment ref="B54" authorId="1" shapeId="0">
      <text>
        <r>
          <rPr>
            <sz val="8"/>
            <color indexed="81"/>
            <rFont val="Tahoma"/>
          </rPr>
          <t>GA G&amp;A Summary</t>
        </r>
      </text>
    </comment>
    <comment ref="B55" authorId="1" shapeId="0">
      <text>
        <r>
          <rPr>
            <sz val="8"/>
            <color indexed="81"/>
            <rFont val="Tahoma"/>
          </rPr>
          <t>GA G&amp;A Summary</t>
        </r>
      </text>
    </comment>
    <comment ref="B56" authorId="1" shapeId="0">
      <text>
        <r>
          <rPr>
            <sz val="8"/>
            <color indexed="81"/>
            <rFont val="Tahoma"/>
          </rPr>
          <t>GA G&amp;A Summary</t>
        </r>
      </text>
    </comment>
    <comment ref="B57" authorId="1" shapeId="0">
      <text>
        <r>
          <rPr>
            <sz val="8"/>
            <color indexed="81"/>
            <rFont val="Tahoma"/>
          </rPr>
          <t>GA G&amp;A Summary</t>
        </r>
      </text>
    </comment>
    <comment ref="B58" authorId="1" shapeId="0">
      <text>
        <r>
          <rPr>
            <sz val="8"/>
            <color indexed="81"/>
            <rFont val="Tahoma"/>
          </rPr>
          <t>GA G&amp;A Summary</t>
        </r>
      </text>
    </comment>
    <comment ref="B59" authorId="1" shapeId="0">
      <text>
        <r>
          <rPr>
            <sz val="8"/>
            <color indexed="81"/>
            <rFont val="Tahoma"/>
          </rPr>
          <t>GA G&amp;A Summary</t>
        </r>
      </text>
    </comment>
    <comment ref="B60" authorId="1" shapeId="0">
      <text>
        <r>
          <rPr>
            <sz val="8"/>
            <color indexed="81"/>
            <rFont val="Tahoma"/>
          </rPr>
          <t>GA G&amp;A Summary</t>
        </r>
      </text>
    </comment>
  </commentList>
</comments>
</file>

<file path=xl/comments2.xml><?xml version="1.0" encoding="utf-8"?>
<comments xmlns="http://schemas.openxmlformats.org/spreadsheetml/2006/main">
  <authors>
    <author>cburke1</author>
    <author>IMorse</author>
    <author>dwebste2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VID=09FD47A6B47F61C0
CHK=-278710261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0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2" shapeId="0">
      <text>
        <r>
          <rPr>
            <sz val="8"/>
            <color indexed="81"/>
            <rFont val="Tahoma"/>
          </rPr>
          <t>Regions is invalid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2" shapeId="0">
      <text>
        <r>
          <rPr>
            <sz val="8"/>
            <color indexed="81"/>
            <rFont val="Tahoma"/>
          </rPr>
          <t>Regions</t>
        </r>
      </text>
    </comment>
    <comment ref="B34" authorId="1" shapeId="0">
      <text>
        <r>
          <rPr>
            <sz val="8"/>
            <color indexed="81"/>
            <rFont val="Tahoma"/>
          </rPr>
          <t>Regions</t>
        </r>
      </text>
    </comment>
    <comment ref="B35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3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SUP=Y
BBF=N
NTS=Y
VAL=Y
RHD=N
LCK=N
RFH=N
BBK=Y
OVF=N
IAB=N
BAZ=N
EAZ=N
P01=GA CC in hier Reporting
P02=GA G&amp;A Summary w HC
R01=Regions
C01=GA Region costs
RGP=adaytum_page_1
RGR=adaytum_row_1
RGC=adaytum_col_1
RGD=adaytum_data_1
VID=9A8978E6357861C0
CHK=-1857861909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E6" authorId="1" shapeId="0">
      <text>
        <r>
          <rPr>
            <sz val="8"/>
            <color indexed="81"/>
            <rFont val="Tahoma"/>
          </rPr>
          <t>GA Region costs</t>
        </r>
      </text>
    </comment>
    <comment ref="F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4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Region costs
FGD=Y
BGD=Y
FGL=Y
BGL=N
SUP=N
BBF=N
NTS=Y
VAL=Y
RHD=N
LCK=N
RFH=N
BBK=Y
OVF=N
IAB=N
BAZ=N
EAZ=N
P01=GA CC in hier Reporting
P02=GA G&amp;A Summary w HC
R01=Regions
C01=GA Region costs
RGP=adaytum_page_1
RGR=adaytum_row_1
RGC=adaytum_col_1
RGD=adaytum_data_1
VID=02B819E4357861C0
CHK=1455442825
</t>
        </r>
      </text>
    </comment>
    <comment ref="B4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C4" authorId="1" shapeId="0">
      <text>
        <r>
          <rPr>
            <sz val="8"/>
            <color indexed="81"/>
            <rFont val="Tahoma"/>
          </rPr>
          <t>GA G&amp;A Summary w HC</t>
        </r>
      </text>
    </comment>
    <comment ref="C6" authorId="1" shapeId="0">
      <text>
        <r>
          <rPr>
            <sz val="8"/>
            <color indexed="81"/>
            <rFont val="Tahoma"/>
          </rPr>
          <t>GA Region costs</t>
        </r>
      </text>
    </comment>
    <comment ref="D6" authorId="1" shapeId="0">
      <text>
        <r>
          <rPr>
            <sz val="8"/>
            <color indexed="81"/>
            <rFont val="Tahoma"/>
          </rPr>
          <t>GA Region costs</t>
        </r>
      </text>
    </comment>
    <comment ref="B7" authorId="1" shapeId="0">
      <text>
        <r>
          <rPr>
            <sz val="8"/>
            <color indexed="81"/>
            <rFont val="Tahoma"/>
          </rPr>
          <t>Regions</t>
        </r>
      </text>
    </comment>
    <comment ref="B8" authorId="1" shapeId="0">
      <text>
        <r>
          <rPr>
            <sz val="8"/>
            <color indexed="81"/>
            <rFont val="Tahoma"/>
          </rPr>
          <t>Regions</t>
        </r>
      </text>
    </comment>
    <comment ref="B9" authorId="1" shapeId="0">
      <text>
        <r>
          <rPr>
            <sz val="8"/>
            <color indexed="81"/>
            <rFont val="Tahoma"/>
          </rPr>
          <t>Regions</t>
        </r>
      </text>
    </comment>
    <comment ref="B10" authorId="1" shapeId="0">
      <text>
        <r>
          <rPr>
            <sz val="8"/>
            <color indexed="81"/>
            <rFont val="Tahoma"/>
          </rPr>
          <t>Regions</t>
        </r>
      </text>
    </comment>
    <comment ref="B11" authorId="1" shapeId="0">
      <text>
        <r>
          <rPr>
            <sz val="8"/>
            <color indexed="81"/>
            <rFont val="Tahoma"/>
          </rPr>
          <t>Regions</t>
        </r>
      </text>
    </comment>
    <comment ref="B12" authorId="1" shapeId="0">
      <text>
        <r>
          <rPr>
            <sz val="8"/>
            <color indexed="81"/>
            <rFont val="Tahoma"/>
          </rPr>
          <t>Regions</t>
        </r>
      </text>
    </comment>
    <comment ref="B13" authorId="1" shapeId="0">
      <text>
        <r>
          <rPr>
            <sz val="8"/>
            <color indexed="81"/>
            <rFont val="Tahoma"/>
          </rPr>
          <t>Regions</t>
        </r>
      </text>
    </comment>
    <comment ref="B14" authorId="1" shapeId="0">
      <text>
        <r>
          <rPr>
            <sz val="8"/>
            <color indexed="81"/>
            <rFont val="Tahoma"/>
          </rPr>
          <t>Regions</t>
        </r>
      </text>
    </comment>
    <comment ref="B15" authorId="1" shapeId="0">
      <text>
        <r>
          <rPr>
            <sz val="8"/>
            <color indexed="81"/>
            <rFont val="Tahoma"/>
          </rPr>
          <t>Regions</t>
        </r>
      </text>
    </comment>
    <comment ref="B16" authorId="1" shapeId="0">
      <text>
        <r>
          <rPr>
            <sz val="8"/>
            <color indexed="81"/>
            <rFont val="Tahoma"/>
          </rPr>
          <t>Regions</t>
        </r>
      </text>
    </comment>
    <comment ref="B17" authorId="1" shapeId="0">
      <text>
        <r>
          <rPr>
            <sz val="8"/>
            <color indexed="81"/>
            <rFont val="Tahoma"/>
          </rPr>
          <t>Regions</t>
        </r>
      </text>
    </comment>
    <comment ref="B18" authorId="1" shapeId="0">
      <text>
        <r>
          <rPr>
            <sz val="8"/>
            <color indexed="81"/>
            <rFont val="Tahoma"/>
          </rPr>
          <t>Regions</t>
        </r>
      </text>
    </comment>
    <comment ref="B19" authorId="1" shapeId="0">
      <text>
        <r>
          <rPr>
            <sz val="8"/>
            <color indexed="81"/>
            <rFont val="Tahoma"/>
          </rPr>
          <t>Regions</t>
        </r>
      </text>
    </comment>
    <comment ref="B20" authorId="1" shapeId="0">
      <text>
        <r>
          <rPr>
            <sz val="8"/>
            <color indexed="81"/>
            <rFont val="Tahoma"/>
          </rPr>
          <t>Regions</t>
        </r>
      </text>
    </comment>
    <comment ref="B21" authorId="1" shapeId="0">
      <text>
        <r>
          <rPr>
            <sz val="8"/>
            <color indexed="81"/>
            <rFont val="Tahoma"/>
          </rPr>
          <t>Regions</t>
        </r>
      </text>
    </comment>
    <comment ref="B22" authorId="1" shapeId="0">
      <text>
        <r>
          <rPr>
            <sz val="8"/>
            <color indexed="81"/>
            <rFont val="Tahoma"/>
          </rPr>
          <t>Regions</t>
        </r>
      </text>
    </comment>
    <comment ref="B23" authorId="1" shapeId="0">
      <text>
        <r>
          <rPr>
            <sz val="8"/>
            <color indexed="81"/>
            <rFont val="Tahoma"/>
          </rPr>
          <t>Regions</t>
        </r>
      </text>
    </comment>
    <comment ref="B24" authorId="1" shapeId="0">
      <text>
        <r>
          <rPr>
            <sz val="8"/>
            <color indexed="81"/>
            <rFont val="Tahoma"/>
          </rPr>
          <t>Regions</t>
        </r>
      </text>
    </comment>
    <comment ref="B25" authorId="1" shapeId="0">
      <text>
        <r>
          <rPr>
            <sz val="8"/>
            <color indexed="81"/>
            <rFont val="Tahoma"/>
          </rPr>
          <t>Regions</t>
        </r>
      </text>
    </comment>
    <comment ref="B26" authorId="1" shapeId="0">
      <text>
        <r>
          <rPr>
            <sz val="8"/>
            <color indexed="81"/>
            <rFont val="Tahoma"/>
          </rPr>
          <t>Regions</t>
        </r>
      </text>
    </comment>
    <comment ref="B27" authorId="1" shapeId="0">
      <text>
        <r>
          <rPr>
            <sz val="8"/>
            <color indexed="81"/>
            <rFont val="Tahoma"/>
          </rPr>
          <t>Regions</t>
        </r>
      </text>
    </comment>
    <comment ref="B28" authorId="1" shapeId="0">
      <text>
        <r>
          <rPr>
            <sz val="8"/>
            <color indexed="81"/>
            <rFont val="Tahoma"/>
          </rPr>
          <t>Regions</t>
        </r>
      </text>
    </comment>
    <comment ref="B29" authorId="1" shapeId="0">
      <text>
        <r>
          <rPr>
            <sz val="8"/>
            <color indexed="81"/>
            <rFont val="Tahoma"/>
          </rPr>
          <t>Regions</t>
        </r>
      </text>
    </comment>
    <comment ref="B30" authorId="1" shapeId="0">
      <text>
        <r>
          <rPr>
            <sz val="8"/>
            <color indexed="81"/>
            <rFont val="Tahoma"/>
          </rPr>
          <t>Regions</t>
        </r>
      </text>
    </comment>
    <comment ref="B31" authorId="1" shapeId="0">
      <text>
        <r>
          <rPr>
            <sz val="8"/>
            <color indexed="81"/>
            <rFont val="Tahoma"/>
          </rPr>
          <t>Regions</t>
        </r>
      </text>
    </comment>
    <comment ref="B32" authorId="1" shapeId="0">
      <text>
        <r>
          <rPr>
            <sz val="8"/>
            <color indexed="81"/>
            <rFont val="Tahoma"/>
          </rPr>
          <t>Regions</t>
        </r>
      </text>
    </comment>
    <comment ref="B33" authorId="1" shapeId="0">
      <text>
        <r>
          <rPr>
            <sz val="8"/>
            <color indexed="81"/>
            <rFont val="Tahoma"/>
          </rPr>
          <t>Regions</t>
        </r>
      </text>
    </comment>
  </commentList>
</comments>
</file>

<file path=xl/comments5.xml><?xml version="1.0" encoding="utf-8"?>
<comments xmlns="http://schemas.openxmlformats.org/spreadsheetml/2006/main">
  <authors>
    <author>nclarkso</author>
    <author>IMorse</author>
  </authors>
  <commentList>
    <comment ref="B3" authorId="0" shapeId="0">
      <text>
        <r>
          <rPr>
            <sz val="8"/>
            <color indexed="81"/>
            <rFont val="Tahoma"/>
          </rPr>
          <t xml:space="preserve">Adaytum2
TYP=V
SVR=
LIB=P&amp;L
CBE=GA CC Costs
FGD=Y
BGD=Y
FGL=Y
BGL=N
SUP=N
BBF=N
NTS=Y
VAL=Y
RHD=N
LCK=N
RFH=N
BBK=Y
OVF=N
IAB=N
BAZ=N
EAZ=N
P01=GA G&amp;A Summary
P02=Regions
R01=GA CC in hier Reporting
C01=GA CC costs
RGP=adaytum_page_1
RGR=adaytum_row_1
RGC=adaytum_col_1
RGD=adaytum_data_1
VID=785B94E3F57861C0
CHK=-1657985807
</t>
        </r>
      </text>
    </comment>
    <comment ref="B4" authorId="1" shapeId="0">
      <text>
        <r>
          <rPr>
            <sz val="8"/>
            <color indexed="81"/>
            <rFont val="Tahoma"/>
          </rPr>
          <t>GA G&amp;A Summary</t>
        </r>
      </text>
    </comment>
    <comment ref="C4" authorId="1" shapeId="0">
      <text>
        <r>
          <rPr>
            <sz val="8"/>
            <color indexed="81"/>
            <rFont val="Tahoma"/>
          </rPr>
          <t>Regions</t>
        </r>
      </text>
    </comment>
    <comment ref="C6" authorId="1" shapeId="0">
      <text>
        <r>
          <rPr>
            <sz val="8"/>
            <color indexed="81"/>
            <rFont val="Tahoma"/>
          </rPr>
          <t>GA CC costs</t>
        </r>
      </text>
    </comment>
    <comment ref="D6" authorId="1" shapeId="0">
      <text>
        <r>
          <rPr>
            <sz val="8"/>
            <color indexed="81"/>
            <rFont val="Tahoma"/>
          </rPr>
          <t>GA CC costs</t>
        </r>
      </text>
    </comment>
    <comment ref="E6" authorId="1" shapeId="0">
      <text>
        <r>
          <rPr>
            <sz val="8"/>
            <color indexed="81"/>
            <rFont val="Tahoma"/>
          </rPr>
          <t>GA CC costs</t>
        </r>
      </text>
    </comment>
    <comment ref="B7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8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9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0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1" authorId="1" shapeId="0">
      <text>
        <r>
          <rPr>
            <sz val="8"/>
            <color indexed="81"/>
            <rFont val="Tahoma"/>
          </rPr>
          <t>GA CC in hier Reporting</t>
        </r>
      </text>
    </comment>
    <comment ref="B12" authorId="1" shapeId="0">
      <text>
        <r>
          <rPr>
            <sz val="8"/>
            <color indexed="81"/>
            <rFont val="Tahoma"/>
          </rPr>
          <t>GA CC in hier Reporting</t>
        </r>
      </text>
    </comment>
  </commentList>
</comments>
</file>

<file path=xl/sharedStrings.xml><?xml version="1.0" encoding="utf-8"?>
<sst xmlns="http://schemas.openxmlformats.org/spreadsheetml/2006/main" count="379" uniqueCount="190">
  <si>
    <t>Total</t>
  </si>
  <si>
    <t>Adaytum</t>
  </si>
  <si>
    <t>UK</t>
  </si>
  <si>
    <t>TOTAL G&amp;A</t>
  </si>
  <si>
    <t>Continental Power</t>
  </si>
  <si>
    <t>Continental Gas</t>
  </si>
  <si>
    <t>IT Origination</t>
  </si>
  <si>
    <t>Corporate Finance Origination</t>
  </si>
  <si>
    <t>EEL European Govt Affairs</t>
  </si>
  <si>
    <t>EEL Legal</t>
  </si>
  <si>
    <t>Information Technology</t>
  </si>
  <si>
    <t>Risk Assessment &amp; Control</t>
  </si>
  <si>
    <t>Human Resources</t>
  </si>
  <si>
    <t>Tax</t>
  </si>
  <si>
    <t>IO Allocations Received (People Costs only)</t>
  </si>
  <si>
    <t>HC Allocations Received (People Costs only)</t>
  </si>
  <si>
    <t>Average Headcount</t>
  </si>
  <si>
    <t>Imputed Average Headcount</t>
  </si>
  <si>
    <t>Plan 2001</t>
  </si>
  <si>
    <t>% of Total Heads</t>
  </si>
  <si>
    <t>IO Allocations Received</t>
  </si>
  <si>
    <t>HC Allocations Received</t>
  </si>
  <si>
    <t>Teesside</t>
  </si>
  <si>
    <t>Metals</t>
  </si>
  <si>
    <t>Credit Markets Group</t>
  </si>
  <si>
    <t>Spain/Portugal</t>
  </si>
  <si>
    <t>Scandinavia</t>
  </si>
  <si>
    <t>German Speaking</t>
  </si>
  <si>
    <t>Central Europe</t>
  </si>
  <si>
    <t>Italy</t>
  </si>
  <si>
    <t>Benelux/France</t>
  </si>
  <si>
    <t>Poland</t>
  </si>
  <si>
    <t>EES (50%)</t>
  </si>
  <si>
    <t>FSU</t>
  </si>
  <si>
    <t>Indirect Support</t>
  </si>
  <si>
    <t>Japan</t>
  </si>
  <si>
    <t>Australia</t>
  </si>
  <si>
    <t>RECHARGE</t>
  </si>
  <si>
    <t>Enron Corp</t>
  </si>
  <si>
    <t>India/APACHI/CALME</t>
  </si>
  <si>
    <t>EES (50%) - non-EEL</t>
  </si>
  <si>
    <t>Global Markets</t>
  </si>
  <si>
    <t>EBS</t>
  </si>
  <si>
    <t>Direct People Costs</t>
  </si>
  <si>
    <t>Direct Costs per head</t>
  </si>
  <si>
    <t>Direct Costs per Day</t>
  </si>
  <si>
    <t>Total All Regions</t>
  </si>
  <si>
    <t>SALARIES &amp; WAGES</t>
  </si>
  <si>
    <t>TRAVEL &amp; ENTERTAINMENT</t>
  </si>
  <si>
    <t>OFFICE EXPENSES</t>
  </si>
  <si>
    <t>AUDIT &amp; LEGAL</t>
  </si>
  <si>
    <t>CONSULTANCY</t>
  </si>
  <si>
    <t>OCCUPANCY COSTS</t>
  </si>
  <si>
    <t>GENERAL &amp; ADMIN</t>
  </si>
  <si>
    <t>TELECOMMUNICATIONS</t>
  </si>
  <si>
    <t>TAXES OTHER THAN INCOME</t>
  </si>
  <si>
    <t>Headcount</t>
  </si>
  <si>
    <t>Non Region Specific</t>
  </si>
  <si>
    <t>$</t>
  </si>
  <si>
    <t>Chief Accounting Officer</t>
  </si>
  <si>
    <t>Budget</t>
  </si>
  <si>
    <t>Full Year</t>
  </si>
  <si>
    <t>Year 2000 Comparison</t>
  </si>
  <si>
    <t>HC 2000</t>
  </si>
  <si>
    <t>Year-End Headcount</t>
  </si>
  <si>
    <t>HC 2001</t>
  </si>
  <si>
    <t>Direct Costs</t>
  </si>
  <si>
    <t>Headcount allocations received</t>
  </si>
  <si>
    <t>Allocations in on Time Method (Projects)</t>
  </si>
  <si>
    <t>Total costs for the region</t>
  </si>
  <si>
    <t>note: comparatives not available</t>
  </si>
  <si>
    <t>n/a</t>
  </si>
  <si>
    <t>Notes for MRG</t>
  </si>
  <si>
    <t>link to "Direct"</t>
  </si>
  <si>
    <t>link to "Alloc in by region (HC)"</t>
  </si>
  <si>
    <t>link to Alloc in by region (IO)</t>
  </si>
  <si>
    <t>link to "Alloc out by CC (IO)" for most depts and "Alloc out by CC (HC)" for any CC that allocates out on HC</t>
  </si>
  <si>
    <t>from file sent by Stephen W/Nilesh</t>
  </si>
  <si>
    <t>check this against the total line (the hidden one) on "Alloc in by region (IO)"</t>
  </si>
  <si>
    <t>Note: on each of the schedules, you must remove the amount related to the dept you are analysing from the total</t>
  </si>
  <si>
    <t>Allocations in from Corp</t>
  </si>
  <si>
    <t>Summary</t>
  </si>
  <si>
    <t>Region costs allocated out</t>
  </si>
  <si>
    <t>NEED TO REFRESH FOR GRAPH ON "Alloc on by Region (IO)"</t>
  </si>
  <si>
    <t>Note: remember to refresh the "Total Allocations graph data"</t>
  </si>
  <si>
    <t>2001 Budget Template - $US</t>
  </si>
  <si>
    <t>RAC Summary S.Young</t>
  </si>
  <si>
    <t>2001</t>
  </si>
  <si>
    <t xml:space="preserve"> 2000</t>
  </si>
  <si>
    <t>Comments</t>
  </si>
  <si>
    <t>Salaries &amp; Wages</t>
  </si>
  <si>
    <t>Total Annual Salaries</t>
  </si>
  <si>
    <t>Average Cost Per Head</t>
  </si>
  <si>
    <t>Opening Headcount Jan 2000</t>
  </si>
  <si>
    <t>Jan 2000 figure excludes MRM</t>
  </si>
  <si>
    <t>Closing headcount Dec 2000</t>
  </si>
  <si>
    <t>Increase in Credit risk management driven partly by metals. Overall headcount reflects a catch up, rather than a "beef up" situation</t>
  </si>
  <si>
    <t>Increase in RAC Exec to cover Scandinavia staff and IT focused staff</t>
  </si>
  <si>
    <t>Increase in underwriting staff to full complement</t>
  </si>
  <si>
    <t>Increase in market risk management as business lines grow</t>
  </si>
  <si>
    <t>December 2001</t>
  </si>
  <si>
    <t>Travel &amp; Entertainment</t>
  </si>
  <si>
    <t>Flights to Asia</t>
  </si>
  <si>
    <t>Economy @</t>
  </si>
  <si>
    <t>Business @</t>
  </si>
  <si>
    <t>Flights to USA</t>
  </si>
  <si>
    <t>Flights to Europe</t>
  </si>
  <si>
    <t>Higher than 2000 due to  the decision to see first hand the project issues</t>
  </si>
  <si>
    <t>Accommodation &amp; Subsistence @</t>
  </si>
  <si>
    <t>Assumed 5 nights US, 3 nights Euro per trip</t>
  </si>
  <si>
    <t>per night</t>
  </si>
  <si>
    <t>Employee Entertainment ($ per head)</t>
  </si>
  <si>
    <t>Other ($ per head)</t>
  </si>
  <si>
    <t>Client ents $7200 &amp; misc, car hire, etc</t>
  </si>
  <si>
    <t xml:space="preserve"> </t>
  </si>
  <si>
    <t>Total T&amp;E</t>
  </si>
  <si>
    <t>Office Expense</t>
  </si>
  <si>
    <t>Annual Computer Maintenance</t>
  </si>
  <si>
    <t>In relation to specialist risk management software</t>
  </si>
  <si>
    <t>Other exceptional items</t>
  </si>
  <si>
    <t>Stationery / Printing cost per head</t>
  </si>
  <si>
    <t>Includes courier costs, stationey, printing,etc</t>
  </si>
  <si>
    <t>Total Office Expense</t>
  </si>
  <si>
    <t>General &amp; Admin</t>
  </si>
  <si>
    <t>Training &amp; Conference cost per head</t>
  </si>
  <si>
    <t>Other G&amp;A per head</t>
  </si>
  <si>
    <t>Total G&amp;A</t>
  </si>
  <si>
    <t>Includes a small amount of occupancy costs for 2000</t>
  </si>
  <si>
    <t>Communications</t>
  </si>
  <si>
    <t xml:space="preserve">Budget </t>
  </si>
  <si>
    <t>Mobile phone costs per head</t>
  </si>
  <si>
    <t>Issue of mobiles to new staff</t>
  </si>
  <si>
    <t>Consultancy</t>
  </si>
  <si>
    <t>Audit Fees</t>
  </si>
  <si>
    <t>Tax &amp; Accounting Fees</t>
  </si>
  <si>
    <t>Project Work</t>
  </si>
  <si>
    <t>Recruitment per Head ( for new staff only)</t>
  </si>
  <si>
    <t>Assumed 25% of salary</t>
  </si>
  <si>
    <t>Other per head</t>
  </si>
  <si>
    <t>Audit &amp; Legal</t>
  </si>
  <si>
    <t>Contingency costs for underwriting projects</t>
  </si>
  <si>
    <t>Total G&amp;A Excluding Salary Costs</t>
  </si>
  <si>
    <t>Total Costs</t>
  </si>
  <si>
    <t>Year-end headcount 2001</t>
  </si>
  <si>
    <t>Breakdown By Grade</t>
  </si>
  <si>
    <t>EEL Credit Risk Management</t>
  </si>
  <si>
    <t>Finops Exec</t>
  </si>
  <si>
    <t>Project Apollo</t>
  </si>
  <si>
    <t>Finance Houston</t>
  </si>
  <si>
    <t>FPA Income</t>
  </si>
  <si>
    <t>Cashflow/BS</t>
  </si>
  <si>
    <t>Global Systems</t>
  </si>
  <si>
    <t>Accounting &amp; Comliance</t>
  </si>
  <si>
    <t>External Reporting</t>
  </si>
  <si>
    <t>Process/ Operational</t>
  </si>
  <si>
    <t>P2P</t>
  </si>
  <si>
    <t>EEL Executive RAC</t>
  </si>
  <si>
    <t>EEL Market Risk Management</t>
  </si>
  <si>
    <t>Underwriting</t>
  </si>
  <si>
    <t>Strategic Initiatives</t>
  </si>
  <si>
    <t>Transaction Support</t>
  </si>
  <si>
    <t>Administration</t>
  </si>
  <si>
    <t>Temporary</t>
  </si>
  <si>
    <t>Assistant</t>
  </si>
  <si>
    <t>Clerk</t>
  </si>
  <si>
    <t>Senior Clerk</t>
  </si>
  <si>
    <t>Analyst</t>
  </si>
  <si>
    <t>Entry Professional</t>
  </si>
  <si>
    <t>Junior Professional</t>
  </si>
  <si>
    <t>Senior Professional</t>
  </si>
  <si>
    <t>Junior Support</t>
  </si>
  <si>
    <t>Junior Commercial</t>
  </si>
  <si>
    <t>Senior Support</t>
  </si>
  <si>
    <t>Senior Director</t>
  </si>
  <si>
    <t>Vice President - Commercial</t>
  </si>
  <si>
    <t>Total Budget</t>
  </si>
  <si>
    <t>% By Grade</t>
  </si>
  <si>
    <t>Salary Cost Per Head</t>
  </si>
  <si>
    <t>EEL Underwriting</t>
  </si>
  <si>
    <t>Allocations from Corporate</t>
  </si>
  <si>
    <t>$1,597,000</t>
  </si>
  <si>
    <t>2 training courses &amp; associated costs (higher than average due to extent of Analysts &amp; associates in overall headcount)</t>
  </si>
  <si>
    <t>Flights needed as the more decision making rests with RAC Houston, thus London RAC representatives have to attnd meetings and annual conference.</t>
  </si>
  <si>
    <t>$9k subs, $45k advertising, $40k info services - Reuters, Bloomberg, S &amp; P research.</t>
  </si>
  <si>
    <t>EnronCredit.com</t>
  </si>
  <si>
    <t>EnCom/EPower (67%)</t>
  </si>
  <si>
    <t>EnCom/EPower (Non Enron Europe)</t>
  </si>
  <si>
    <t>Variance to 2000</t>
  </si>
  <si>
    <t>Due Diligence $216k, Global Credits Grp $423k, Risk Analysis $130k, Risk Mgt. Control $1000k and Underwriting $169k</t>
  </si>
  <si>
    <t>Credit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</si>
</sst>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171" formatCode="_-* #,##0.00_-;\-* #,##0.00_-;_-* &quot;-&quot;??_-;_-@_-"/>
    <numFmt numFmtId="172" formatCode="#,##0;[Red]\(#,##0\)"/>
    <numFmt numFmtId="173" formatCode="mmmm\ yyyy"/>
    <numFmt numFmtId="174" formatCode="_-* #,##0_-;\-* #,##0_-;_-* &quot;-&quot;??_-;_-@_-"/>
    <numFmt numFmtId="175" formatCode="#,##0.0_);[Red]\(#,##0.0\)"/>
    <numFmt numFmtId="176" formatCode="#,##0.000_);[Red]\(#,##0.000\)"/>
    <numFmt numFmtId="177" formatCode="#,##0.0000_);[Red]\(#,##0.0000\)"/>
    <numFmt numFmtId="178" formatCode="_(#,##0_);\(#,##0\);&quot;-    &quot;"/>
    <numFmt numFmtId="179" formatCode="ddd"/>
    <numFmt numFmtId="180" formatCode="#,##0_ ;\-#,##0\ "/>
    <numFmt numFmtId="181" formatCode="[$$-409]#,##0"/>
    <numFmt numFmtId="182" formatCode="[$$-409]#,##0.00"/>
    <numFmt numFmtId="183" formatCode="#,##0\ ;[Red]\(#,##0\)"/>
    <numFmt numFmtId="184" formatCode="#,##0.00000000_);[Red]\(#,##0.00000000\)"/>
    <numFmt numFmtId="185" formatCode="0.0000%"/>
    <numFmt numFmtId="186" formatCode="yyyy\-mmm\-dd"/>
    <numFmt numFmtId="187" formatCode="yyyy\-mmm"/>
    <numFmt numFmtId="188" formatCode="yy\-mm\-dd"/>
    <numFmt numFmtId="189" formatCode="yyyy"/>
    <numFmt numFmtId="190" formatCode="0.0%\ ;[Red]\(0.0%\)"/>
    <numFmt numFmtId="191" formatCode="0.00%\ ;[Red]\(0.00%\)"/>
    <numFmt numFmtId="192" formatCode="0.0000%\ ;[Red]\(0.0000%\)"/>
    <numFmt numFmtId="193" formatCode="#,##0.0000"/>
    <numFmt numFmtId="194" formatCode="#,##0_);\(#,##0\);\-"/>
    <numFmt numFmtId="195" formatCode="[$$-409]#,##0;[Red][$$-409]#,##0"/>
    <numFmt numFmtId="196" formatCode="#,##0_);[Red]\(#,##0\);\-"/>
  </numFmts>
  <fonts count="53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Arial"/>
      <family val="2"/>
    </font>
    <font>
      <b/>
      <sz val="14"/>
      <color indexed="16"/>
      <name val="Arial"/>
      <family val="2"/>
    </font>
    <font>
      <b/>
      <i/>
      <sz val="14"/>
      <color indexed="41"/>
      <name val="Arial"/>
      <family val="2"/>
    </font>
    <font>
      <b/>
      <sz val="12"/>
      <color indexed="41"/>
      <name val="Arial"/>
      <family val="2"/>
    </font>
    <font>
      <b/>
      <sz val="10"/>
      <color indexed="41"/>
      <name val="Arial"/>
      <family val="2"/>
    </font>
    <font>
      <sz val="10"/>
      <color indexed="4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14"/>
      <color indexed="10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color indexed="41"/>
      <name val="Arial"/>
      <family val="2"/>
    </font>
    <font>
      <b/>
      <i/>
      <sz val="14"/>
      <color indexed="18"/>
      <name val="Arial"/>
      <family val="2"/>
    </font>
    <font>
      <b/>
      <sz val="11"/>
      <color indexed="12"/>
      <name val="Arial"/>
      <family val="2"/>
    </font>
    <font>
      <b/>
      <sz val="10"/>
      <color indexed="62"/>
      <name val="Arial"/>
      <family val="2"/>
    </font>
    <font>
      <b/>
      <i/>
      <sz val="12"/>
      <color indexed="10"/>
      <name val="Arial"/>
      <family val="2"/>
    </font>
    <font>
      <b/>
      <i/>
      <sz val="12"/>
      <color indexed="18"/>
      <name val="Arial"/>
      <family val="2"/>
    </font>
    <font>
      <b/>
      <sz val="14"/>
      <color indexed="4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i/>
      <sz val="10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b/>
      <sz val="13"/>
      <color indexed="41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0">
    <xf numFmtId="0" fontId="0" fillId="0" borderId="0"/>
    <xf numFmtId="0" fontId="1" fillId="0" borderId="0"/>
    <xf numFmtId="183" fontId="2" fillId="0" borderId="0" applyFont="0" applyFill="0" applyBorder="0" applyAlignment="0" applyProtection="0">
      <alignment vertical="top"/>
    </xf>
    <xf numFmtId="175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8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8" fontId="1" fillId="0" borderId="0" applyFont="0" applyFill="0" applyBorder="0" applyAlignment="0" applyProtection="0">
      <alignment wrapText="1"/>
    </xf>
    <xf numFmtId="38" fontId="4" fillId="0" borderId="0" applyNumberFormat="0" applyFill="0" applyBorder="0" applyAlignment="0" applyProtection="0">
      <alignment vertical="top"/>
    </xf>
    <xf numFmtId="185" fontId="5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188" fontId="5" fillId="0" borderId="0" applyFont="0" applyFill="0" applyBorder="0" applyProtection="0">
      <alignment horizontal="left" vertical="top"/>
    </xf>
    <xf numFmtId="179" fontId="2" fillId="0" borderId="0" applyFont="0" applyFill="0" applyBorder="0" applyProtection="0">
      <alignment horizontal="left" vertical="top"/>
    </xf>
    <xf numFmtId="189" fontId="2" fillId="0" borderId="0" applyFont="0" applyFill="0" applyBorder="0" applyProtection="0">
      <alignment horizontal="left" vertical="top"/>
    </xf>
    <xf numFmtId="37" fontId="6" fillId="2" borderId="0" applyNumberFormat="0" applyBorder="0" applyAlignment="0">
      <protection locked="0"/>
    </xf>
    <xf numFmtId="38" fontId="7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  <protection locked="0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7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15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6" fillId="0" borderId="0" applyNumberFormat="0" applyFill="0" applyBorder="0" applyProtection="0">
      <alignment vertical="top" wrapText="1"/>
    </xf>
    <xf numFmtId="37" fontId="3" fillId="0" borderId="2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38" fontId="18" fillId="5" borderId="0" applyNumberFormat="0" applyBorder="0" applyAlignment="0" applyProtection="0">
      <alignment vertical="top"/>
    </xf>
    <xf numFmtId="185" fontId="2" fillId="0" borderId="0" applyNumberFormat="0" applyFont="0" applyFill="0" applyBorder="0" applyProtection="0">
      <alignment vertical="top" wrapText="1"/>
    </xf>
    <xf numFmtId="193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3" fontId="2" fillId="8" borderId="0" applyNumberFormat="0" applyFont="0" applyBorder="0" applyAlignment="0" applyProtection="0">
      <alignment vertical="top"/>
    </xf>
    <xf numFmtId="194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33">
    <xf numFmtId="0" fontId="0" fillId="0" borderId="0" xfId="0"/>
    <xf numFmtId="0" fontId="21" fillId="9" borderId="36" xfId="0" applyFont="1" applyFill="1" applyBorder="1" applyAlignment="1">
      <alignment horizontal="center" vertical="center" textRotation="90"/>
    </xf>
    <xf numFmtId="0" fontId="19" fillId="0" borderId="0" xfId="0" applyFont="1" applyAlignment="1">
      <alignment horizontal="center"/>
    </xf>
    <xf numFmtId="0" fontId="0" fillId="0" borderId="0" xfId="0" applyAlignment="1"/>
    <xf numFmtId="1" fontId="20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left" vertical="center"/>
    </xf>
    <xf numFmtId="0" fontId="22" fillId="9" borderId="3" xfId="0" applyFont="1" applyFill="1" applyBorder="1" applyAlignment="1">
      <alignment horizontal="center" vertical="center" wrapText="1"/>
    </xf>
    <xf numFmtId="0" fontId="23" fillId="9" borderId="3" xfId="0" applyFont="1" applyFill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 wrapText="1"/>
    </xf>
    <xf numFmtId="0" fontId="24" fillId="9" borderId="0" xfId="0" applyFont="1" applyFill="1"/>
    <xf numFmtId="49" fontId="25" fillId="0" borderId="0" xfId="13" applyNumberFormat="1" applyFont="1" applyAlignment="1">
      <alignment horizontal="left" vertical="center"/>
    </xf>
    <xf numFmtId="172" fontId="26" fillId="0" borderId="0" xfId="22" applyNumberFormat="1" applyFont="1" applyAlignment="1" applyProtection="1">
      <alignment horizontal="right" vertical="center"/>
    </xf>
    <xf numFmtId="172" fontId="26" fillId="0" borderId="0" xfId="0" applyNumberFormat="1" applyFont="1" applyAlignment="1">
      <alignment vertical="center"/>
    </xf>
    <xf numFmtId="180" fontId="26" fillId="0" borderId="0" xfId="13" applyNumberFormat="1" applyFont="1" applyAlignment="1">
      <alignment horizontal="right" vertical="center"/>
    </xf>
    <xf numFmtId="172" fontId="26" fillId="0" borderId="5" xfId="22" applyNumberFormat="1" applyFont="1" applyBorder="1" applyAlignment="1" applyProtection="1">
      <alignment horizontal="right" vertical="center"/>
    </xf>
    <xf numFmtId="171" fontId="27" fillId="0" borderId="3" xfId="13" applyFont="1" applyBorder="1" applyAlignment="1">
      <alignment horizontal="left" vertical="center"/>
    </xf>
    <xf numFmtId="172" fontId="27" fillId="0" borderId="3" xfId="22" applyNumberFormat="1" applyFont="1" applyBorder="1" applyAlignment="1" applyProtection="1">
      <alignment horizontal="right" vertical="center"/>
    </xf>
    <xf numFmtId="172" fontId="27" fillId="0" borderId="4" xfId="22" applyNumberFormat="1" applyFont="1" applyBorder="1" applyAlignment="1" applyProtection="1">
      <alignment horizontal="right" vertical="center"/>
    </xf>
    <xf numFmtId="1" fontId="29" fillId="0" borderId="0" xfId="0" applyNumberFormat="1" applyFont="1" applyBorder="1" applyAlignment="1">
      <alignment horizontal="center"/>
    </xf>
    <xf numFmtId="49" fontId="25" fillId="0" borderId="0" xfId="13" quotePrefix="1" applyNumberFormat="1" applyFont="1" applyAlignment="1">
      <alignment horizontal="left" vertical="center"/>
    </xf>
    <xf numFmtId="0" fontId="25" fillId="0" borderId="0" xfId="0" quotePrefix="1" applyFont="1"/>
    <xf numFmtId="196" fontId="30" fillId="0" borderId="0" xfId="0" applyNumberFormat="1" applyFont="1" applyFill="1"/>
    <xf numFmtId="49" fontId="30" fillId="0" borderId="0" xfId="13" quotePrefix="1" applyNumberFormat="1" applyFont="1" applyAlignment="1">
      <alignment horizontal="left" vertical="center"/>
    </xf>
    <xf numFmtId="0" fontId="30" fillId="0" borderId="0" xfId="0" quotePrefix="1" applyFont="1" applyAlignment="1"/>
    <xf numFmtId="196" fontId="27" fillId="0" borderId="3" xfId="13" applyNumberFormat="1" applyFont="1" applyBorder="1" applyAlignment="1">
      <alignment horizontal="right" vertical="center"/>
    </xf>
    <xf numFmtId="9" fontId="27" fillId="0" borderId="3" xfId="31" applyFont="1" applyBorder="1" applyAlignment="1">
      <alignment horizontal="right" vertical="center"/>
    </xf>
    <xf numFmtId="9" fontId="27" fillId="0" borderId="4" xfId="31" applyFont="1" applyBorder="1" applyAlignment="1">
      <alignment horizontal="right" vertical="center"/>
    </xf>
    <xf numFmtId="0" fontId="32" fillId="0" borderId="0" xfId="0" applyFont="1" applyAlignment="1">
      <alignment horizontal="center"/>
    </xf>
    <xf numFmtId="0" fontId="25" fillId="0" borderId="0" xfId="0" quotePrefix="1" applyFont="1" applyAlignment="1"/>
    <xf numFmtId="9" fontId="19" fillId="0" borderId="0" xfId="31" applyFont="1" applyAlignment="1">
      <alignment horizontal="center"/>
    </xf>
    <xf numFmtId="9" fontId="20" fillId="0" borderId="0" xfId="31" applyFont="1" applyBorder="1" applyAlignment="1">
      <alignment horizontal="center" vertical="center"/>
    </xf>
    <xf numFmtId="9" fontId="0" fillId="0" borderId="0" xfId="31" applyFont="1"/>
    <xf numFmtId="196" fontId="27" fillId="0" borderId="3" xfId="13" applyNumberFormat="1" applyFont="1" applyBorder="1" applyAlignment="1">
      <alignment horizontal="left" vertical="center"/>
    </xf>
    <xf numFmtId="172" fontId="30" fillId="0" borderId="0" xfId="22" applyNumberFormat="1" applyFont="1" applyFill="1" applyAlignment="1" applyProtection="1">
      <alignment horizontal="right" vertical="center"/>
    </xf>
    <xf numFmtId="172" fontId="30" fillId="0" borderId="0" xfId="0" applyNumberFormat="1" applyFont="1" applyFill="1" applyAlignment="1">
      <alignment vertical="center"/>
    </xf>
    <xf numFmtId="1" fontId="31" fillId="0" borderId="0" xfId="0" quotePrefix="1" applyNumberFormat="1" applyFont="1" applyBorder="1" applyAlignment="1">
      <alignment horizontal="center" vertical="center"/>
    </xf>
    <xf numFmtId="0" fontId="30" fillId="0" borderId="0" xfId="0" quotePrefix="1" applyFont="1"/>
    <xf numFmtId="9" fontId="1" fillId="0" borderId="0" xfId="31"/>
    <xf numFmtId="9" fontId="30" fillId="0" borderId="5" xfId="31" applyFont="1" applyFill="1" applyBorder="1"/>
    <xf numFmtId="173" fontId="20" fillId="0" borderId="0" xfId="0" applyNumberFormat="1" applyFont="1" applyBorder="1" applyAlignment="1">
      <alignment vertical="center"/>
    </xf>
    <xf numFmtId="0" fontId="24" fillId="0" borderId="0" xfId="0" applyFont="1"/>
    <xf numFmtId="0" fontId="33" fillId="0" borderId="6" xfId="0" quotePrefix="1" applyFont="1" applyBorder="1" applyAlignment="1">
      <alignment vertical="center"/>
    </xf>
    <xf numFmtId="196" fontId="33" fillId="0" borderId="3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textRotation="90"/>
    </xf>
    <xf numFmtId="171" fontId="27" fillId="0" borderId="0" xfId="13" applyFont="1" applyFill="1" applyBorder="1" applyAlignment="1">
      <alignment horizontal="left" vertical="center"/>
    </xf>
    <xf numFmtId="9" fontId="27" fillId="0" borderId="0" xfId="31" applyFont="1" applyFill="1" applyBorder="1" applyAlignment="1">
      <alignment horizontal="right" vertical="center"/>
    </xf>
    <xf numFmtId="172" fontId="27" fillId="0" borderId="0" xfId="22" applyNumberFormat="1" applyFont="1" applyFill="1" applyBorder="1" applyAlignment="1" applyProtection="1">
      <alignment horizontal="right" vertical="center"/>
    </xf>
    <xf numFmtId="171" fontId="27" fillId="0" borderId="0" xfId="13" applyFont="1" applyFill="1" applyBorder="1" applyAlignment="1">
      <alignment horizontal="center" vertical="center"/>
    </xf>
    <xf numFmtId="172" fontId="27" fillId="0" borderId="0" xfId="22" applyNumberFormat="1" applyFont="1" applyAlignment="1" applyProtection="1">
      <alignment horizontal="right" vertical="center"/>
    </xf>
    <xf numFmtId="0" fontId="26" fillId="0" borderId="0" xfId="0" applyFont="1" applyFill="1"/>
    <xf numFmtId="0" fontId="0" fillId="0" borderId="0" xfId="0" applyFill="1" applyAlignment="1">
      <alignment vertical="center"/>
    </xf>
    <xf numFmtId="171" fontId="27" fillId="0" borderId="0" xfId="13" applyFont="1" applyBorder="1" applyAlignment="1">
      <alignment horizontal="left" vertical="center"/>
    </xf>
    <xf numFmtId="172" fontId="37" fillId="0" borderId="0" xfId="22" applyNumberFormat="1" applyFont="1" applyBorder="1" applyAlignment="1" applyProtection="1">
      <alignment horizontal="right" vertical="center"/>
    </xf>
    <xf numFmtId="0" fontId="38" fillId="0" borderId="0" xfId="0" applyFont="1" applyFill="1" applyBorder="1" applyAlignment="1">
      <alignment horizontal="center" vertical="center"/>
    </xf>
    <xf numFmtId="171" fontId="36" fillId="0" borderId="0" xfId="13" applyFont="1" applyBorder="1" applyAlignment="1">
      <alignment horizontal="left" vertical="center"/>
    </xf>
    <xf numFmtId="172" fontId="36" fillId="0" borderId="0" xfId="22" applyNumberFormat="1" applyFont="1" applyBorder="1" applyAlignment="1" applyProtection="1">
      <alignment horizontal="right" vertical="center"/>
    </xf>
    <xf numFmtId="0" fontId="39" fillId="0" borderId="0" xfId="0" applyFont="1" applyFill="1" applyBorder="1" applyAlignment="1">
      <alignment horizontal="center" vertical="center"/>
    </xf>
    <xf numFmtId="0" fontId="30" fillId="0" borderId="0" xfId="0" applyFont="1" applyFill="1"/>
    <xf numFmtId="171" fontId="36" fillId="0" borderId="0" xfId="13" applyFont="1" applyBorder="1" applyAlignment="1">
      <alignment horizontal="center" vertical="center"/>
    </xf>
    <xf numFmtId="0" fontId="25" fillId="0" borderId="0" xfId="22" applyFont="1" applyBorder="1" applyAlignment="1" applyProtection="1">
      <alignment horizontal="left" vertical="center"/>
    </xf>
    <xf numFmtId="172" fontId="0" fillId="0" borderId="0" xfId="0" applyNumberFormat="1" applyBorder="1" applyAlignment="1">
      <alignment horizontal="right" vertical="center"/>
    </xf>
    <xf numFmtId="172" fontId="27" fillId="0" borderId="3" xfId="22" applyNumberFormat="1" applyFont="1" applyBorder="1" applyAlignment="1" applyProtection="1">
      <alignment horizontal="center" vertical="center"/>
    </xf>
    <xf numFmtId="172" fontId="25" fillId="0" borderId="0" xfId="22" applyNumberFormat="1" applyFont="1" applyAlignment="1" applyProtection="1">
      <alignment horizontal="right" vertical="center"/>
    </xf>
    <xf numFmtId="49" fontId="26" fillId="0" borderId="0" xfId="13" applyNumberFormat="1" applyFont="1" applyAlignment="1">
      <alignment horizontal="left" vertical="center"/>
    </xf>
    <xf numFmtId="0" fontId="33" fillId="9" borderId="3" xfId="0" quotePrefix="1" applyFont="1" applyFill="1" applyBorder="1" applyAlignment="1">
      <alignment horizontal="center" vertical="center" wrapText="1"/>
    </xf>
    <xf numFmtId="174" fontId="27" fillId="0" borderId="3" xfId="13" applyNumberFormat="1" applyFont="1" applyBorder="1" applyAlignment="1">
      <alignment horizontal="right" vertical="center"/>
    </xf>
    <xf numFmtId="0" fontId="26" fillId="0" borderId="0" xfId="0" applyFont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1" fillId="0" borderId="0" xfId="0" applyFont="1" applyBorder="1" applyAlignment="1">
      <alignment vertical="center"/>
    </xf>
    <xf numFmtId="173" fontId="41" fillId="0" borderId="0" xfId="0" quotePrefix="1" applyNumberFormat="1" applyFont="1" applyBorder="1" applyAlignment="1">
      <alignment horizontal="center" vertical="center" wrapText="1"/>
    </xf>
    <xf numFmtId="173" fontId="41" fillId="0" borderId="0" xfId="0" quotePrefix="1" applyNumberFormat="1" applyFont="1" applyFill="1" applyBorder="1" applyAlignment="1">
      <alignment horizontal="center" vertical="center" wrapText="1"/>
    </xf>
    <xf numFmtId="171" fontId="41" fillId="0" borderId="12" xfId="13" applyFont="1" applyBorder="1" applyAlignment="1">
      <alignment vertical="center"/>
    </xf>
    <xf numFmtId="0" fontId="0" fillId="0" borderId="12" xfId="0" applyBorder="1" applyAlignment="1">
      <alignment vertical="center"/>
    </xf>
    <xf numFmtId="0" fontId="42" fillId="0" borderId="12" xfId="0" applyFont="1" applyFill="1" applyBorder="1" applyAlignment="1">
      <alignment vertical="center"/>
    </xf>
    <xf numFmtId="171" fontId="42" fillId="0" borderId="12" xfId="13" applyFont="1" applyBorder="1" applyAlignment="1">
      <alignment horizontal="center" vertical="center"/>
    </xf>
    <xf numFmtId="171" fontId="1" fillId="0" borderId="0" xfId="13" applyBorder="1" applyAlignment="1">
      <alignment vertical="center"/>
    </xf>
    <xf numFmtId="0" fontId="0" fillId="0" borderId="0" xfId="0" applyFill="1" applyBorder="1" applyAlignment="1">
      <alignment vertical="center"/>
    </xf>
    <xf numFmtId="171" fontId="1" fillId="0" borderId="13" xfId="13" applyBorder="1" applyAlignment="1">
      <alignment vertical="center"/>
    </xf>
    <xf numFmtId="0" fontId="0" fillId="0" borderId="14" xfId="0" applyBorder="1" applyAlignment="1">
      <alignment vertical="center"/>
    </xf>
    <xf numFmtId="174" fontId="1" fillId="0" borderId="14" xfId="13" applyNumberFormat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Border="1" applyAlignment="1">
      <alignment vertical="center" wrapText="1"/>
    </xf>
    <xf numFmtId="171" fontId="43" fillId="0" borderId="16" xfId="13" applyFont="1" applyBorder="1" applyAlignment="1">
      <alignment vertical="center"/>
    </xf>
    <xf numFmtId="174" fontId="1" fillId="0" borderId="0" xfId="13" applyNumberFormat="1" applyBorder="1" applyAlignment="1">
      <alignment vertical="center"/>
    </xf>
    <xf numFmtId="0" fontId="0" fillId="0" borderId="17" xfId="0" applyBorder="1" applyAlignment="1">
      <alignment vertical="center" wrapText="1"/>
    </xf>
    <xf numFmtId="171" fontId="41" fillId="0" borderId="16" xfId="13" applyFont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171" fontId="1" fillId="0" borderId="16" xfId="13" applyFont="1" applyBorder="1" applyAlignment="1">
      <alignment vertical="center"/>
    </xf>
    <xf numFmtId="181" fontId="1" fillId="0" borderId="0" xfId="13" applyNumberFormat="1" applyFill="1" applyBorder="1" applyAlignment="1">
      <alignment vertical="center"/>
    </xf>
    <xf numFmtId="171" fontId="43" fillId="0" borderId="16" xfId="13" applyFont="1" applyBorder="1" applyAlignment="1">
      <alignment horizontal="right" vertical="center"/>
    </xf>
    <xf numFmtId="171" fontId="1" fillId="0" borderId="16" xfId="13" applyFont="1" applyBorder="1" applyAlignment="1">
      <alignment horizontal="right" vertical="center"/>
    </xf>
    <xf numFmtId="171" fontId="1" fillId="0" borderId="16" xfId="13" quotePrefix="1" applyFont="1" applyBorder="1" applyAlignment="1">
      <alignment horizontal="right" vertical="center"/>
    </xf>
    <xf numFmtId="171" fontId="43" fillId="0" borderId="16" xfId="13" quotePrefix="1" applyFont="1" applyBorder="1" applyAlignment="1">
      <alignment horizontal="right" vertical="center"/>
    </xf>
    <xf numFmtId="172" fontId="43" fillId="0" borderId="0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71" fontId="1" fillId="0" borderId="16" xfId="13" applyBorder="1" applyAlignment="1">
      <alignment vertical="center"/>
    </xf>
    <xf numFmtId="171" fontId="1" fillId="0" borderId="16" xfId="13" applyBorder="1" applyAlignment="1">
      <alignment horizontal="right" vertical="center"/>
    </xf>
    <xf numFmtId="181" fontId="0" fillId="0" borderId="0" xfId="0" applyNumberFormat="1" applyBorder="1" applyAlignment="1">
      <alignment vertical="center"/>
    </xf>
    <xf numFmtId="174" fontId="1" fillId="9" borderId="0" xfId="13" applyNumberFormat="1" applyFill="1" applyBorder="1" applyAlignment="1">
      <alignment vertical="center"/>
    </xf>
    <xf numFmtId="181" fontId="0" fillId="0" borderId="0" xfId="0" applyNumberFormat="1" applyFill="1" applyBorder="1" applyAlignment="1">
      <alignment vertical="center"/>
    </xf>
    <xf numFmtId="174" fontId="1" fillId="0" borderId="0" xfId="13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81" fontId="1" fillId="9" borderId="0" xfId="13" applyNumberForma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171" fontId="44" fillId="0" borderId="16" xfId="13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81" fontId="44" fillId="0" borderId="0" xfId="13" applyNumberFormat="1" applyFont="1" applyFill="1" applyBorder="1" applyAlignment="1">
      <alignment vertical="center"/>
    </xf>
    <xf numFmtId="181" fontId="44" fillId="0" borderId="0" xfId="0" applyNumberFormat="1" applyFont="1" applyFill="1" applyBorder="1" applyAlignment="1">
      <alignment vertical="center"/>
    </xf>
    <xf numFmtId="0" fontId="0" fillId="0" borderId="17" xfId="0" applyFill="1" applyBorder="1" applyAlignment="1">
      <alignment vertical="center" wrapText="1"/>
    </xf>
    <xf numFmtId="171" fontId="45" fillId="0" borderId="16" xfId="13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174" fontId="42" fillId="0" borderId="0" xfId="13" applyNumberFormat="1" applyFont="1" applyBorder="1" applyAlignment="1">
      <alignment vertical="center"/>
    </xf>
    <xf numFmtId="181" fontId="42" fillId="0" borderId="3" xfId="0" applyNumberFormat="1" applyFont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181" fontId="42" fillId="0" borderId="0" xfId="0" applyNumberFormat="1" applyFont="1" applyBorder="1" applyAlignment="1">
      <alignment vertical="center"/>
    </xf>
    <xf numFmtId="181" fontId="0" fillId="0" borderId="14" xfId="0" applyNumberFormat="1" applyBorder="1" applyAlignment="1">
      <alignment vertical="center"/>
    </xf>
    <xf numFmtId="195" fontId="42" fillId="0" borderId="0" xfId="0" applyNumberFormat="1" applyFont="1" applyFill="1" applyBorder="1" applyAlignment="1">
      <alignment vertical="center"/>
    </xf>
    <xf numFmtId="181" fontId="1" fillId="0" borderId="14" xfId="13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174" fontId="1" fillId="0" borderId="19" xfId="13" applyNumberFormat="1" applyBorder="1" applyAlignment="1">
      <alignment vertical="center"/>
    </xf>
    <xf numFmtId="181" fontId="0" fillId="0" borderId="19" xfId="0" applyNumberFormat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Border="1" applyAlignment="1">
      <alignment vertical="center" wrapText="1"/>
    </xf>
    <xf numFmtId="171" fontId="1" fillId="0" borderId="18" xfId="13" applyBorder="1" applyAlignment="1">
      <alignment vertical="center"/>
    </xf>
    <xf numFmtId="0" fontId="0" fillId="0" borderId="21" xfId="0" applyBorder="1" applyAlignment="1">
      <alignment vertical="center"/>
    </xf>
    <xf numFmtId="171" fontId="43" fillId="0" borderId="0" xfId="13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 wrapText="1"/>
    </xf>
    <xf numFmtId="171" fontId="1" fillId="0" borderId="0" xfId="13" applyAlignment="1">
      <alignment vertical="center"/>
    </xf>
    <xf numFmtId="0" fontId="0" fillId="0" borderId="0" xfId="0" applyAlignment="1">
      <alignment vertical="center"/>
    </xf>
    <xf numFmtId="174" fontId="1" fillId="0" borderId="0" xfId="13" applyNumberFormat="1" applyAlignment="1">
      <alignment vertical="center"/>
    </xf>
    <xf numFmtId="174" fontId="23" fillId="9" borderId="0" xfId="13" applyNumberFormat="1" applyFont="1" applyFill="1" applyBorder="1" applyAlignment="1">
      <alignment horizontal="center" vertical="center" wrapText="1"/>
    </xf>
    <xf numFmtId="174" fontId="24" fillId="9" borderId="0" xfId="13" applyNumberFormat="1" applyFont="1" applyFill="1" applyBorder="1"/>
    <xf numFmtId="174" fontId="24" fillId="0" borderId="0" xfId="13" applyNumberFormat="1" applyFont="1" applyFill="1"/>
    <xf numFmtId="174" fontId="23" fillId="9" borderId="24" xfId="13" applyNumberFormat="1" applyFont="1" applyFill="1" applyBorder="1" applyAlignment="1">
      <alignment horizontal="center" vertical="center" wrapText="1"/>
    </xf>
    <xf numFmtId="0" fontId="0" fillId="0" borderId="0" xfId="0" applyFill="1"/>
    <xf numFmtId="0" fontId="24" fillId="0" borderId="0" xfId="0" applyFont="1" applyFill="1"/>
    <xf numFmtId="0" fontId="23" fillId="9" borderId="24" xfId="0" applyFont="1" applyFill="1" applyBorder="1" applyAlignment="1">
      <alignment horizontal="center" vertical="center" wrapText="1"/>
    </xf>
    <xf numFmtId="171" fontId="25" fillId="0" borderId="0" xfId="13" applyFont="1" applyAlignment="1">
      <alignment horizontal="left" vertical="center"/>
    </xf>
    <xf numFmtId="172" fontId="25" fillId="0" borderId="5" xfId="22" applyNumberFormat="1" applyFont="1" applyBorder="1" applyAlignment="1" applyProtection="1">
      <alignment horizontal="right" vertical="center"/>
    </xf>
    <xf numFmtId="0" fontId="49" fillId="0" borderId="0" xfId="0" applyFont="1"/>
    <xf numFmtId="172" fontId="27" fillId="0" borderId="25" xfId="22" applyNumberFormat="1" applyFont="1" applyBorder="1" applyAlignment="1" applyProtection="1">
      <alignment horizontal="right" vertical="center"/>
    </xf>
    <xf numFmtId="172" fontId="26" fillId="0" borderId="0" xfId="0" applyNumberFormat="1" applyFont="1" applyFill="1" applyAlignment="1">
      <alignment vertical="center"/>
    </xf>
    <xf numFmtId="172" fontId="27" fillId="0" borderId="24" xfId="22" applyNumberFormat="1" applyFont="1" applyBorder="1" applyAlignment="1" applyProtection="1">
      <alignment horizontal="right" vertical="center"/>
    </xf>
    <xf numFmtId="0" fontId="21" fillId="0" borderId="0" xfId="0" applyFont="1" applyFill="1" applyBorder="1" applyAlignment="1">
      <alignment horizontal="center" vertical="center" textRotation="90"/>
    </xf>
    <xf numFmtId="9" fontId="26" fillId="0" borderId="0" xfId="31" applyFont="1" applyAlignment="1">
      <alignment vertical="center"/>
    </xf>
    <xf numFmtId="9" fontId="26" fillId="0" borderId="5" xfId="31" applyFont="1" applyBorder="1" applyAlignment="1">
      <alignment vertical="center"/>
    </xf>
    <xf numFmtId="9" fontId="25" fillId="0" borderId="25" xfId="31" applyNumberFormat="1" applyFont="1" applyBorder="1" applyAlignment="1">
      <alignment horizontal="right" vertical="center"/>
    </xf>
    <xf numFmtId="9" fontId="27" fillId="0" borderId="24" xfId="31" applyFont="1" applyBorder="1" applyAlignment="1">
      <alignment horizontal="right" vertical="center"/>
    </xf>
    <xf numFmtId="174" fontId="23" fillId="9" borderId="26" xfId="13" applyNumberFormat="1" applyFont="1" applyFill="1" applyBorder="1" applyAlignment="1">
      <alignment horizontal="center" vertical="center" wrapText="1"/>
    </xf>
    <xf numFmtId="174" fontId="24" fillId="9" borderId="26" xfId="13" applyNumberFormat="1" applyFont="1" applyFill="1" applyBorder="1"/>
    <xf numFmtId="174" fontId="23" fillId="9" borderId="27" xfId="13" applyNumberFormat="1" applyFont="1" applyFill="1" applyBorder="1" applyAlignment="1">
      <alignment horizontal="center" vertical="center" wrapText="1"/>
    </xf>
    <xf numFmtId="174" fontId="0" fillId="0" borderId="0" xfId="13" applyNumberFormat="1" applyFont="1"/>
    <xf numFmtId="174" fontId="23" fillId="9" borderId="28" xfId="13" applyNumberFormat="1" applyFont="1" applyFill="1" applyBorder="1" applyAlignment="1">
      <alignment horizontal="center" vertical="center" wrapText="1"/>
    </xf>
    <xf numFmtId="9" fontId="31" fillId="0" borderId="0" xfId="31" applyFont="1" applyBorder="1" applyAlignment="1">
      <alignment horizontal="center" vertical="center"/>
    </xf>
    <xf numFmtId="0" fontId="27" fillId="9" borderId="3" xfId="0" quotePrefix="1" applyFont="1" applyFill="1" applyBorder="1" applyAlignment="1">
      <alignment horizontal="center" vertical="center" wrapText="1"/>
    </xf>
    <xf numFmtId="0" fontId="50" fillId="9" borderId="3" xfId="0" applyFont="1" applyFill="1" applyBorder="1" applyAlignment="1">
      <alignment horizontal="center" vertical="center" wrapText="1"/>
    </xf>
    <xf numFmtId="0" fontId="51" fillId="9" borderId="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vertical="center"/>
    </xf>
    <xf numFmtId="171" fontId="47" fillId="0" borderId="23" xfId="13" applyFont="1" applyBorder="1" applyAlignment="1">
      <alignment vertical="center"/>
    </xf>
    <xf numFmtId="0" fontId="47" fillId="0" borderId="23" xfId="0" applyFont="1" applyBorder="1" applyAlignment="1">
      <alignment vertical="center"/>
    </xf>
    <xf numFmtId="174" fontId="47" fillId="0" borderId="23" xfId="13" applyNumberFormat="1" applyFont="1" applyBorder="1" applyAlignment="1">
      <alignment vertical="center"/>
    </xf>
    <xf numFmtId="181" fontId="47" fillId="0" borderId="23" xfId="0" applyNumberFormat="1" applyFont="1" applyBorder="1" applyAlignment="1">
      <alignment vertical="center"/>
    </xf>
    <xf numFmtId="0" fontId="0" fillId="0" borderId="26" xfId="0" applyBorder="1" applyAlignment="1">
      <alignment vertical="center"/>
    </xf>
    <xf numFmtId="0" fontId="23" fillId="9" borderId="12" xfId="0" applyFont="1" applyFill="1" applyBorder="1" applyAlignment="1">
      <alignment vertical="center"/>
    </xf>
    <xf numFmtId="181" fontId="23" fillId="9" borderId="0" xfId="13" applyNumberFormat="1" applyFont="1" applyFill="1" applyBorder="1" applyAlignment="1">
      <alignment vertical="center"/>
    </xf>
    <xf numFmtId="172" fontId="34" fillId="9" borderId="0" xfId="0" applyNumberFormat="1" applyFont="1" applyFill="1" applyBorder="1" applyAlignment="1">
      <alignment vertical="center"/>
    </xf>
    <xf numFmtId="172" fontId="34" fillId="9" borderId="29" xfId="0" applyNumberFormat="1" applyFont="1" applyFill="1" applyBorder="1" applyAlignment="1">
      <alignment vertical="center"/>
    </xf>
    <xf numFmtId="174" fontId="24" fillId="9" borderId="0" xfId="13" applyNumberFormat="1" applyFont="1" applyFill="1" applyBorder="1" applyAlignment="1">
      <alignment vertical="center"/>
    </xf>
    <xf numFmtId="181" fontId="24" fillId="9" borderId="0" xfId="13" applyNumberFormat="1" applyFont="1" applyFill="1" applyBorder="1" applyAlignment="1">
      <alignment vertical="center"/>
    </xf>
    <xf numFmtId="182" fontId="24" fillId="9" borderId="0" xfId="13" applyNumberFormat="1" applyFont="1" applyFill="1" applyBorder="1" applyAlignment="1">
      <alignment vertical="center"/>
    </xf>
    <xf numFmtId="181" fontId="42" fillId="0" borderId="0" xfId="0" applyNumberFormat="1" applyFont="1" applyBorder="1" applyAlignment="1">
      <alignment horizontal="center" vertical="center"/>
    </xf>
    <xf numFmtId="171" fontId="43" fillId="0" borderId="2" xfId="13" applyFont="1" applyBorder="1" applyAlignment="1">
      <alignment vertical="center"/>
    </xf>
    <xf numFmtId="0" fontId="47" fillId="0" borderId="2" xfId="0" applyFont="1" applyBorder="1" applyAlignment="1">
      <alignment vertical="center"/>
    </xf>
    <xf numFmtId="174" fontId="47" fillId="0" borderId="2" xfId="13" applyNumberFormat="1" applyFont="1" applyBorder="1" applyAlignment="1">
      <alignment vertical="center"/>
    </xf>
    <xf numFmtId="181" fontId="42" fillId="0" borderId="2" xfId="0" applyNumberFormat="1" applyFont="1" applyBorder="1" applyAlignment="1">
      <alignment vertical="center"/>
    </xf>
    <xf numFmtId="0" fontId="0" fillId="0" borderId="2" xfId="0" applyFill="1" applyBorder="1" applyAlignment="1">
      <alignment vertical="center"/>
    </xf>
    <xf numFmtId="171" fontId="42" fillId="0" borderId="0" xfId="13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174" fontId="26" fillId="0" borderId="0" xfId="13" applyNumberFormat="1" applyFont="1" applyBorder="1" applyAlignment="1">
      <alignment vertical="center"/>
    </xf>
    <xf numFmtId="0" fontId="34" fillId="9" borderId="26" xfId="0" applyFont="1" applyFill="1" applyBorder="1" applyAlignment="1">
      <alignment horizontal="center" vertical="center" wrapText="1"/>
    </xf>
    <xf numFmtId="0" fontId="25" fillId="0" borderId="0" xfId="0" quotePrefix="1" applyFont="1" applyBorder="1"/>
    <xf numFmtId="196" fontId="30" fillId="0" borderId="0" xfId="0" applyNumberFormat="1" applyFont="1" applyFill="1" applyBorder="1"/>
    <xf numFmtId="0" fontId="34" fillId="9" borderId="28" xfId="0" applyFont="1" applyFill="1" applyBorder="1" applyAlignment="1">
      <alignment horizontal="center" vertical="center" wrapText="1"/>
    </xf>
    <xf numFmtId="196" fontId="33" fillId="0" borderId="30" xfId="0" applyNumberFormat="1" applyFont="1" applyFill="1" applyBorder="1" applyAlignment="1">
      <alignment vertical="center"/>
    </xf>
    <xf numFmtId="0" fontId="34" fillId="9" borderId="31" xfId="0" applyFont="1" applyFill="1" applyBorder="1" applyAlignment="1">
      <alignment horizontal="center" vertical="center" wrapText="1"/>
    </xf>
    <xf numFmtId="0" fontId="25" fillId="0" borderId="10" xfId="0" quotePrefix="1" applyFont="1" applyBorder="1"/>
    <xf numFmtId="0" fontId="33" fillId="0" borderId="32" xfId="0" quotePrefix="1" applyFont="1" applyBorder="1" applyAlignment="1">
      <alignment vertical="center"/>
    </xf>
    <xf numFmtId="0" fontId="22" fillId="9" borderId="31" xfId="0" applyFont="1" applyFill="1" applyBorder="1" applyAlignment="1">
      <alignment horizontal="center" vertical="center" wrapText="1"/>
    </xf>
    <xf numFmtId="9" fontId="30" fillId="0" borderId="11" xfId="31" applyFont="1" applyFill="1" applyBorder="1" applyAlignment="1">
      <alignment horizontal="right"/>
    </xf>
    <xf numFmtId="9" fontId="30" fillId="0" borderId="11" xfId="31" applyFont="1" applyFill="1" applyBorder="1"/>
    <xf numFmtId="0" fontId="52" fillId="0" borderId="10" xfId="0" quotePrefix="1" applyFont="1" applyBorder="1"/>
    <xf numFmtId="196" fontId="27" fillId="0" borderId="32" xfId="13" applyNumberFormat="1" applyFont="1" applyBorder="1" applyAlignment="1">
      <alignment horizontal="left" vertical="center"/>
    </xf>
    <xf numFmtId="9" fontId="27" fillId="0" borderId="33" xfId="31" applyFont="1" applyBorder="1" applyAlignment="1">
      <alignment horizontal="right" vertical="center"/>
    </xf>
    <xf numFmtId="0" fontId="0" fillId="9" borderId="34" xfId="0" applyFill="1" applyBorder="1"/>
    <xf numFmtId="0" fontId="0" fillId="9" borderId="35" xfId="0" applyFill="1" applyBorder="1"/>
    <xf numFmtId="196" fontId="26" fillId="0" borderId="0" xfId="0" applyNumberFormat="1" applyFont="1" applyFill="1" applyBorder="1"/>
    <xf numFmtId="196" fontId="33" fillId="0" borderId="34" xfId="0" applyNumberFormat="1" applyFont="1" applyFill="1" applyBorder="1"/>
    <xf numFmtId="174" fontId="42" fillId="0" borderId="3" xfId="13" applyNumberFormat="1" applyFont="1" applyBorder="1" applyAlignment="1">
      <alignment vertical="center"/>
    </xf>
    <xf numFmtId="0" fontId="21" fillId="9" borderId="25" xfId="0" applyFont="1" applyFill="1" applyBorder="1" applyAlignment="1">
      <alignment horizontal="center" vertical="center" textRotation="90"/>
    </xf>
    <xf numFmtId="0" fontId="21" fillId="9" borderId="37" xfId="0" applyFont="1" applyFill="1" applyBorder="1" applyAlignment="1">
      <alignment horizontal="center" vertical="center" textRotation="90"/>
    </xf>
    <xf numFmtId="0" fontId="21" fillId="9" borderId="38" xfId="0" applyFont="1" applyFill="1" applyBorder="1" applyAlignment="1">
      <alignment horizontal="center" vertical="center" textRotation="90"/>
    </xf>
    <xf numFmtId="0" fontId="21" fillId="9" borderId="39" xfId="0" applyFont="1" applyFill="1" applyBorder="1" applyAlignment="1">
      <alignment horizontal="center" vertical="center" textRotation="90"/>
    </xf>
    <xf numFmtId="0" fontId="21" fillId="9" borderId="40" xfId="0" applyFont="1" applyFill="1" applyBorder="1" applyAlignment="1">
      <alignment horizontal="center" vertical="center" textRotation="90"/>
    </xf>
    <xf numFmtId="0" fontId="21" fillId="9" borderId="41" xfId="0" applyFont="1" applyFill="1" applyBorder="1" applyAlignment="1">
      <alignment horizontal="center" vertical="center" textRotation="90"/>
    </xf>
    <xf numFmtId="0" fontId="24" fillId="0" borderId="42" xfId="0" applyFont="1" applyBorder="1" applyAlignment="1"/>
    <xf numFmtId="0" fontId="24" fillId="0" borderId="43" xfId="0" applyFont="1" applyBorder="1" applyAlignment="1"/>
    <xf numFmtId="0" fontId="40" fillId="9" borderId="44" xfId="0" applyFont="1" applyFill="1" applyBorder="1" applyAlignment="1">
      <alignment horizontal="center" vertical="center" wrapText="1"/>
    </xf>
    <xf numFmtId="0" fontId="40" fillId="9" borderId="45" xfId="0" applyFont="1" applyFill="1" applyBorder="1" applyAlignment="1">
      <alignment horizontal="center" vertical="center" wrapText="1"/>
    </xf>
    <xf numFmtId="0" fontId="40" fillId="9" borderId="4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48" fillId="9" borderId="31" xfId="0" applyFont="1" applyFill="1" applyBorder="1" applyAlignment="1">
      <alignment horizontal="center" vertical="center" wrapText="1"/>
    </xf>
    <xf numFmtId="0" fontId="48" fillId="9" borderId="2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" fontId="20" fillId="0" borderId="0" xfId="0" applyNumberFormat="1" applyFont="1" applyBorder="1" applyAlignment="1">
      <alignment horizontal="center" vertical="center"/>
    </xf>
    <xf numFmtId="0" fontId="48" fillId="9" borderId="0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textRotation="90"/>
    </xf>
    <xf numFmtId="0" fontId="21" fillId="9" borderId="34" xfId="0" applyFont="1" applyFill="1" applyBorder="1" applyAlignment="1">
      <alignment horizontal="center" vertical="center" textRotation="90"/>
    </xf>
    <xf numFmtId="0" fontId="21" fillId="9" borderId="1" xfId="0" applyFont="1" applyFill="1" applyBorder="1" applyAlignment="1">
      <alignment horizontal="center" vertical="center" textRotation="90"/>
    </xf>
    <xf numFmtId="0" fontId="21" fillId="9" borderId="0" xfId="0" applyFont="1" applyFill="1" applyBorder="1" applyAlignment="1">
      <alignment horizontal="center" vertical="center" textRotation="90"/>
    </xf>
  </cellXfs>
  <cellStyles count="50">
    <cellStyle name="=C:\WINNT\SYSTEM32\COMMAND.COM" xfId="1"/>
    <cellStyle name="0dp" xfId="2"/>
    <cellStyle name="1dp" xfId="3"/>
    <cellStyle name="2dp" xfId="4"/>
    <cellStyle name="3dp" xfId="5"/>
    <cellStyle name="4dp" xfId="6"/>
    <cellStyle name="8dp" xfId="7"/>
    <cellStyle name="a/c" xfId="8"/>
    <cellStyle name="Cash (0)" xfId="9"/>
    <cellStyle name="Changed" xfId="10"/>
    <cellStyle name="Check" xfId="11"/>
    <cellStyle name="Colourless" xfId="12"/>
    <cellStyle name="Comma" xfId="13" builtinId="3"/>
    <cellStyle name="Date-day" xfId="14"/>
    <cellStyle name="Date-month" xfId="15"/>
    <cellStyle name="Date-short" xfId="16"/>
    <cellStyle name="Date-weekday" xfId="17"/>
    <cellStyle name="Date-year" xfId="18"/>
    <cellStyle name="Entry" xfId="19"/>
    <cellStyle name="Gas" xfId="20"/>
    <cellStyle name="Grey" xfId="21"/>
    <cellStyle name="Hyperlink" xfId="22" builtinId="8"/>
    <cellStyle name="Large12" xfId="23"/>
    <cellStyle name="Large14" xfId="24"/>
    <cellStyle name="Large16" xfId="25"/>
    <cellStyle name="Link in" xfId="26"/>
    <cellStyle name="Link out" xfId="27"/>
    <cellStyle name="New" xfId="28"/>
    <cellStyle name="Normal" xfId="0" builtinId="0"/>
    <cellStyle name="Output" xfId="29" builtinId="21" customBuiltin="1"/>
    <cellStyle name="Outstanding" xfId="30"/>
    <cellStyle name="Percent" xfId="31" builtinId="5"/>
    <cellStyle name="Percent1" xfId="32"/>
    <cellStyle name="Percent2" xfId="33"/>
    <cellStyle name="Percent4" xfId="34"/>
    <cellStyle name="Power" xfId="35"/>
    <cellStyle name="SBZero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Warning" xfId="43"/>
    <cellStyle name="Wrapped" xfId="44"/>
    <cellStyle name="xrate" xfId="45"/>
    <cellStyle name="year" xfId="46"/>
    <cellStyle name="Yesterday" xfId="47"/>
    <cellStyle name="Zero suppress" xfId="48"/>
    <cellStyle name="zpatchnumbers" xfId="49"/>
  </cellStyles>
  <dxfs count="2">
    <dxf>
      <font>
        <b val="0"/>
        <i val="0"/>
        <condense val="0"/>
        <extend val="0"/>
        <color indexed="9"/>
      </font>
    </dxf>
    <dxf>
      <font>
        <b val="0"/>
        <i val="0"/>
        <condense val="0"/>
        <extend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9999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40001272322599113"/>
          <c:y val="1.1037898897139816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5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972211786693397"/>
          <c:y val="0.12141688786853798"/>
          <c:w val="0.86763323065919207"/>
          <c:h val="0.6335753966958254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(IO)'!$B$7:$B$35</c:f>
              <c:strCache>
                <c:ptCount val="20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EnronCredit.com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Non Region Specific</c:v>
                </c:pt>
                <c:pt idx="16">
                  <c:v>RECHARGE</c:v>
                </c:pt>
                <c:pt idx="17">
                  <c:v>EES (50%) - non-EEL</c:v>
                </c:pt>
                <c:pt idx="18">
                  <c:v>Global Markets</c:v>
                </c:pt>
                <c:pt idx="19">
                  <c:v>EBS</c:v>
                </c:pt>
              </c:strCache>
            </c:strRef>
          </c:cat>
          <c:val>
            <c:numRef>
              <c:f>'Alloc out by CC (IO)'!$F$7:$F$32</c:f>
              <c:numCache>
                <c:formatCode>0%</c:formatCode>
                <c:ptCount val="18"/>
                <c:pt idx="0">
                  <c:v>0.20686274509803904</c:v>
                </c:pt>
                <c:pt idx="1">
                  <c:v>3.2352941176470584E-2</c:v>
                </c:pt>
                <c:pt idx="2">
                  <c:v>0.20745098039215704</c:v>
                </c:pt>
                <c:pt idx="3">
                  <c:v>3.5882352941176469E-2</c:v>
                </c:pt>
                <c:pt idx="4">
                  <c:v>2.1372549019607841E-2</c:v>
                </c:pt>
                <c:pt idx="5">
                  <c:v>7.1764705882352939E-2</c:v>
                </c:pt>
                <c:pt idx="6">
                  <c:v>2.0392156862745096E-2</c:v>
                </c:pt>
                <c:pt idx="7">
                  <c:v>2.0784313725490187E-2</c:v>
                </c:pt>
                <c:pt idx="8">
                  <c:v>1.5686274509803927E-3</c:v>
                </c:pt>
                <c:pt idx="9">
                  <c:v>2.4313725490196073E-2</c:v>
                </c:pt>
                <c:pt idx="10">
                  <c:v>1.156862745098039E-2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3.2941176470588231E-2</c:v>
                </c:pt>
                <c:pt idx="14">
                  <c:v>1.9607843137254893E-3</c:v>
                </c:pt>
                <c:pt idx="15">
                  <c:v>7.0588235294117624E-3</c:v>
                </c:pt>
                <c:pt idx="16">
                  <c:v>6.5882352941176475E-2</c:v>
                </c:pt>
                <c:pt idx="17">
                  <c:v>3.2941176470588231E-2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403552"/>
        <c:axId val="144404112"/>
        <c:axId val="0"/>
      </c:bar3DChart>
      <c:catAx>
        <c:axId val="1444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0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13239857740578581"/>
              <c:y val="0.3267218073553385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3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Allocations out</a:t>
            </a:r>
          </a:p>
        </c:rich>
      </c:tx>
      <c:layout>
        <c:manualLayout>
          <c:xMode val="edge"/>
          <c:yMode val="edge"/>
          <c:x val="0.39719573221735738"/>
          <c:y val="3.5399332697515648E-2"/>
        </c:manualLayout>
      </c:layout>
      <c:overlay val="0"/>
      <c:spPr>
        <a:noFill/>
        <a:ln w="3175">
          <a:solidFill>
            <a:srgbClr val="800080"/>
          </a:solidFill>
          <a:prstDash val="solid"/>
        </a:ln>
      </c:spPr>
    </c:title>
    <c:autoTitleDeleted val="0"/>
    <c:view3D>
      <c:rotX val="15"/>
      <c:hPercent val="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2253910887556771"/>
          <c:y val="0.16224694153028005"/>
          <c:w val="0.86481623965055832"/>
          <c:h val="0.45429143628478413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cat>
            <c:strRef>
              <c:f>'Alloc out by CC (HC)'!$B$7:$B$33</c:f>
              <c:strCache>
                <c:ptCount val="19"/>
                <c:pt idx="0">
                  <c:v>UK</c:v>
                </c:pt>
                <c:pt idx="1">
                  <c:v>Teesside</c:v>
                </c:pt>
                <c:pt idx="2">
                  <c:v>Metals</c:v>
                </c:pt>
                <c:pt idx="3">
                  <c:v>Credit Markets Group</c:v>
                </c:pt>
                <c:pt idx="4">
                  <c:v>Spain/Portugal</c:v>
                </c:pt>
                <c:pt idx="5">
                  <c:v>Scandinavia</c:v>
                </c:pt>
                <c:pt idx="6">
                  <c:v>German Speaking</c:v>
                </c:pt>
                <c:pt idx="7">
                  <c:v>Central Europe</c:v>
                </c:pt>
                <c:pt idx="8">
                  <c:v>Continental Power</c:v>
                </c:pt>
                <c:pt idx="9">
                  <c:v>Italy</c:v>
                </c:pt>
                <c:pt idx="10">
                  <c:v>Benelux/France</c:v>
                </c:pt>
                <c:pt idx="11">
                  <c:v>Poland</c:v>
                </c:pt>
                <c:pt idx="12">
                  <c:v>FSU</c:v>
                </c:pt>
                <c:pt idx="13">
                  <c:v>EES (50%)</c:v>
                </c:pt>
                <c:pt idx="14">
                  <c:v>IT Origination</c:v>
                </c:pt>
                <c:pt idx="15">
                  <c:v>RECHARGE</c:v>
                </c:pt>
                <c:pt idx="16">
                  <c:v>EES (50%) - non-EEL</c:v>
                </c:pt>
                <c:pt idx="17">
                  <c:v>Global Markets</c:v>
                </c:pt>
                <c:pt idx="18">
                  <c:v>EBS</c:v>
                </c:pt>
              </c:strCache>
            </c:strRef>
          </c:cat>
          <c:val>
            <c:numRef>
              <c:f>'Alloc out by CC (HC)'!$F$7:$F$31</c:f>
              <c:numCache>
                <c:formatCode>0%</c:formatCode>
                <c:ptCount val="17"/>
                <c:pt idx="0">
                  <c:v>0.16215686274509802</c:v>
                </c:pt>
                <c:pt idx="1">
                  <c:v>3.2352941176470584E-2</c:v>
                </c:pt>
                <c:pt idx="2">
                  <c:v>0.2533333333333333</c:v>
                </c:pt>
                <c:pt idx="3">
                  <c:v>1.1372549019607842E-2</c:v>
                </c:pt>
                <c:pt idx="4">
                  <c:v>3.1176470588235295E-2</c:v>
                </c:pt>
                <c:pt idx="5">
                  <c:v>8.156862745098041E-2</c:v>
                </c:pt>
                <c:pt idx="6">
                  <c:v>3.666666666666666E-2</c:v>
                </c:pt>
                <c:pt idx="7">
                  <c:v>2.0784313725490187E-2</c:v>
                </c:pt>
                <c:pt idx="8">
                  <c:v>5.0588235294117642E-2</c:v>
                </c:pt>
                <c:pt idx="9">
                  <c:v>2.4313725490196073E-2</c:v>
                </c:pt>
                <c:pt idx="10">
                  <c:v>0.02</c:v>
                </c:pt>
                <c:pt idx="11">
                  <c:v>2.3529411764705879E-2</c:v>
                </c:pt>
                <c:pt idx="12">
                  <c:v>3.5294117647058812E-3</c:v>
                </c:pt>
                <c:pt idx="13">
                  <c:v>3.1372549019607843E-2</c:v>
                </c:pt>
                <c:pt idx="14">
                  <c:v>7.8431372549019572E-3</c:v>
                </c:pt>
                <c:pt idx="15">
                  <c:v>5.0196078431372547E-2</c:v>
                </c:pt>
                <c:pt idx="16">
                  <c:v>3.1372549019607843E-2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400752"/>
        <c:axId val="144401312"/>
        <c:axId val="0"/>
      </c:bar3DChart>
      <c:catAx>
        <c:axId val="14440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0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Heads</a:t>
                </a:r>
              </a:p>
            </c:rich>
          </c:tx>
          <c:layout>
            <c:manualLayout>
              <c:xMode val="edge"/>
              <c:yMode val="edge"/>
              <c:x val="0.21127432564753054"/>
              <c:y val="0.2359955513167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0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Budget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Total All Regions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HC 2001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Year 2000 Comparison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HC 2000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HC 2000"/>
  </itemLst>
</formControlPr>
</file>

<file path=xl/ctrlProps/ctrlProp7.xml><?xml version="1.0" encoding="utf-8"?>
<formControlPr xmlns="http://schemas.microsoft.com/office/spreadsheetml/2009/9/main" objectType="Drop" dropStyle="combo" dx="22" sel="182" val="176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Iberian Power Trading"/>
    <item val="EEL Spain Office &amp; Support"/>
    <item val="EEL Spain/Portugal Origination"/>
    <item val="Spain Region"/>
    <item val="EEL Frankfurt Office Support"/>
    <item val="EEL German Speaking Origination"/>
    <item val="EEL Switzerland/Austria Origination"/>
    <item val="German Speaking Region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Poland Office Support"/>
    <item val="EEL Poland Origination"/>
    <item val="EEL Polish Trading"/>
    <item val="Poland Region"/>
    <item val="EEL Enron Eurasia"/>
    <item val="Former Soviet Union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EEL Corporate Development"/>
    <item val="EEL Asset Management"/>
    <item val="EEL Engineering"/>
    <item val="EEL Global Finance"/>
    <item val="EEL Enron Online Marketing for Europ"/>
    <item val="EEL Asset Development"/>
    <item val="EEL New Ventures"/>
    <item val="Non Region Specific"/>
    <item val=".Region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EEL Income Opportunities"/>
    <item val="EEL Transaction Support"/>
    <item val="EEL Regional Support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ance &amp; Support Services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Product Marketing"/>
    <item val="EBS Nordics"/>
    <item val="EBS Enterprise Origination"/>
    <item val="EBS Facilities (BWT)"/>
    <item val="EBS Field Operations"/>
    <item val="EBS Project Management"/>
    <item val="EBS Sales and Marketing"/>
    <item val="EBS General Overhead"/>
    <item val="EBS General Region"/>
    <item val="EBS Distribution PTT"/>
    <item val="EBS Distribution ISP"/>
    <item val="EBS International Implementation"/>
    <item val="EBS International Provisioning"/>
    <item val="EBS Global Finance"/>
    <item val="EBS Business Development"/>
    <item val="EBS Content Origination"/>
    <item val="EBS Technical Support"/>
    <item val="EBS Ventures"/>
    <item val="Broadband Services"/>
    <item val="EBS Executive"/>
    <item val="EBS Finance &amp; Cash Management (BWT)"/>
    <item val="EBS Implementation and Provisioning"/>
    <item val="EBS General Overhead (BWT)"/>
    <item val="EBS Global Network Development"/>
    <item val="EBS BWT Commercial Evaluation"/>
    <item val="EBS BWT Wholesale"/>
    <item val="EBS BWT Origination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TOTAL G&amp;A"/>
  </itemLst>
</formControlPr>
</file>

<file path=xl/ctrlProps/ctrlProp9.xml><?xml version="1.0" encoding="utf-8"?>
<formControlPr xmlns="http://schemas.microsoft.com/office/spreadsheetml/2009/9/main" objectType="Drop" dropStyle="combo" dx="22" sel="182" val="178">
  <itemLst>
    <item val="EEL Analytics for Power Trading UK"/>
    <item val="EEL Gas Trading UK"/>
    <item val="EEL Power Trading UK"/>
    <item val="EEL UK &amp; Cont Gas Analytics"/>
    <item val="EEL UK Origination"/>
    <item val="EEL Asset Risk Management"/>
    <item val="EEL Energy Operation"/>
    <item val="PERM"/>
    <item val="EEL UK Management"/>
    <item val="UK Region"/>
    <item val="EEL EELP Liquids Plant"/>
    <item val="EEL Gas Plant"/>
    <item val="EEL Teesside Stockton Office"/>
    <item val="Teesside Region"/>
    <item val="EEL Metals Business HC"/>
    <item val="EEL Metals Support"/>
    <item val="EEL Metals Business"/>
    <item val="Metals Region"/>
    <item val="EEL Debt Trading"/>
    <item val="EEL Enron Credit.com E Marketing"/>
    <item val="EEL Enron Credit.com Enron Credit"/>
    <item val="EEL Enron Credit.com Executive"/>
    <item val="EEL Enron Credit.com Sales &amp; Marketing"/>
    <item val="EEL Enroncredit.com Credit"/>
    <item val="EEL Enroncredit.com Syndication"/>
    <item val="EEL Enron Credit.com Pricing"/>
    <item val="EEL Enroncredit.com Trading"/>
    <item val="Enron Credit.com"/>
    <item val="Enron Credit.com &amp; Debt Trading"/>
    <item val="EEL Iberian Power Trading"/>
    <item val="EEL Spain Office &amp; Support"/>
    <item val="EEL Spain/Portugal Origination"/>
    <item val="Spain Region"/>
    <item val="EEL Helsinki Office Support"/>
    <item val="EEL Helsinki Originations"/>
    <item val="EEL Helsinki Support"/>
    <item val="EEL Helsinki Trading"/>
    <item val="Finland Power"/>
    <item val="Finland"/>
    <item val="EEL Oslo Office Support"/>
    <item val="EEL Oslo Originations"/>
    <item val="EEL Oslo Support"/>
    <item val="EEL Oslo Trading"/>
    <item val="Norway Power"/>
    <item val="Norway"/>
    <item val="EEL Stockholm Office Support"/>
    <item val="EEL Stockholm Originations"/>
    <item val="EEL Stockholm Support"/>
    <item val="Sweden Power"/>
    <item val="Sweden"/>
    <item val="Scandinavia Region"/>
    <item val="EEL Frankfurt Office Support"/>
    <item val="EEL German Speaking Origination"/>
    <item val="EEL Switzerland/Austria Origination"/>
    <item val="German Speaking Region"/>
    <item val="EEL Central Europe Origination"/>
    <item val="EEL Croatia   Jertovec"/>
    <item val="EEL Energovill"/>
    <item val="EEL Petrom JV(PEGAS)"/>
    <item val="Romania Origination"/>
    <item val="EEL Istanbul Office"/>
    <item val="EEL Trakya O&amp;M (GUC Santrallari)"/>
    <item val="EEL Turkey Origination"/>
    <item val="Turkey Region"/>
    <item val="Central Europe Region"/>
    <item val="EEL Cont Pwr Tr Bilateral Power Trad"/>
    <item val="EEL Cont Pwr Tr Pool Based Trad"/>
    <item val="EEL Mgmt Continental Energy Trad &amp; O"/>
    <item val="EEL Special Projects"/>
    <item val="Continental Power"/>
    <item val="EEL European Gas Trading"/>
    <item val="Continental Gas"/>
    <item val="EEL Italy Office Support"/>
    <item val="EEL Italy Origination"/>
    <item val="EEL Italy Power Trading"/>
    <item val="Italy Region"/>
    <item val="EEL Benelux &amp; France Origination"/>
    <item val="Benelux &amp; France Region"/>
    <item val="EEL Poland Office Support"/>
    <item val="EEL Poland Origination"/>
    <item val="EEL Polish Trading"/>
    <item val="Poland Region"/>
    <item val="EEL Enron Eurasia"/>
    <item val="Former Soviet Union Region"/>
    <item val="EEL EES Enron Energy Services Execut"/>
    <item val="EES Executive"/>
    <item val="EES Middle Market"/>
    <item val="EEL Enron Direct Business Developmen"/>
    <item val="EEL Enron Direct"/>
    <item val="EES Enron Directo"/>
    <item val="EES Erpag"/>
    <item val="EES Mid Market Commodity"/>
    <item val="EEL ETOL"/>
    <item val="EES Heavy Ind Services"/>
    <item val="EES Industrial Services"/>
    <item val="EEL EES UK Commercial Team"/>
    <item val="EEL EES Structuring"/>
    <item val="EEL EES Germanic Commercial Team"/>
    <item val="EEL EES Nordic Commercial Team"/>
    <item val="EEL EES Benelux Commercial Team"/>
    <item val="EEL EES Holland Commercial Team"/>
    <item val="EES New Markets"/>
    <item val="EES Retail Origination/Commercial Teams"/>
    <item val="EES Outsourcing"/>
    <item val="EEL EES Marketing &amp; Communications"/>
    <item val="EEL EES EAM Systems"/>
    <item val="EEL EES Commodity Risk Management"/>
    <item val="EEL EES Energy Asset Management"/>
    <item val="EES EAM Development"/>
    <item val="EEL EES Delivery Management"/>
    <item val="EEL EES Account Management"/>
    <item val="EEL EES Project Management"/>
    <item val="EEL EES Project Development"/>
    <item val="EEL EES Process Management"/>
    <item val="EEL EES Business Integration/AIP"/>
    <item val="EEL EES Project Office"/>
    <item val="EEL EES FM Operations"/>
    <item val="EEL EES Operations"/>
    <item val="EEL EES Torpy"/>
    <item val="EES Total Outsourcing"/>
    <item val="EEL EES Financial Operations"/>
    <item val="EEL EES IT"/>
    <item val="EEL EES IT Outsourcing"/>
    <item val="EES Commercial Support"/>
    <item val="Enron Energy Services 50%"/>
    <item val="EEL E Clear"/>
    <item val="EEL Euro E Business"/>
    <item val="EEL EnergyDesk.com"/>
    <item val="EEL Finland Jappro Commercial"/>
    <item val="Finland Jappro Helsinki"/>
    <item val="EEL Sweden Jappro Commercial"/>
    <item val="EEL Sweden Jappro Support"/>
    <item val="Sweden Jappro Stockholm"/>
    <item val="Jappro"/>
    <item val="EEL E Commerce Europe Sales"/>
    <item val="EnergyDesk"/>
    <item val="IT Origination"/>
    <item val="EEL Corp Finance Origination"/>
    <item val="Corporate Finance Origination"/>
    <item val="EEL Executive"/>
    <item val="EEL Executive Power &amp; Gas Trading"/>
    <item val="Non Region Specific"/>
    <item val=".Regions"/>
    <item val="EEL Corporate Development"/>
    <item val="EEL Asset Management"/>
    <item val="EEL Engineering"/>
    <item val="EEL Global Finance"/>
    <item val="EEL Asset Development"/>
    <item val="EEL New Ventures"/>
    <item val="..Other Commercial"/>
    <item val="EEL Allocation Adjustments"/>
    <item val="EEL Bonus"/>
    <item val="EEL CORP G&amp;A ALLOCATIONS"/>
    <item val="EEL ECT NA G&amp;A ALLOCATIONS"/>
    <item val="Bonus &amp; Allocations"/>
    <item val="EEL Treasury"/>
    <item val="EEL Insurance"/>
    <item val="EEL Electronic Trading Support"/>
    <item val="EEL Enron Online Marketing for Europ"/>
    <item val="EEL European Govt Affairs"/>
    <item val="EEL Legal"/>
    <item val="EEL Public Relations"/>
    <item val="EEL Graphics"/>
    <item val="EEL eBUSINESS"/>
    <item val="EEL European Back Office Systems"/>
    <item val="EEL IT Back Office"/>
    <item val="EEL IT Credit"/>
    <item val="EEL IT Executive"/>
    <item val="EEL IT Front Office"/>
    <item val="EEL IT Operations"/>
    <item val="EEL IT Strategic Projects"/>
    <item val="EEL EGM IT"/>
    <item val="EEL IT Metals"/>
    <item val="EEL IT Remote Offices"/>
    <item val="EEL Y2K"/>
    <item val="EEL IT Architecture &amp; Integration"/>
    <item val="Information Technology"/>
    <item val="EEL Credit Risk Management"/>
    <item val="EEL Executive RAC"/>
    <item val="EEL Market Risk Management"/>
    <item val="EEL Underwriting"/>
    <item val="Risk Assessment &amp; Control"/>
    <item val="EEL Occupancy"/>
    <item val="EEL Real Estate &amp; Facilities"/>
    <item val="Real Estate &amp; Facilities"/>
    <item val="EEL HR SAP"/>
    <item val="EEL HR SAP Capitalisation"/>
    <item val="EEL HR A&amp;A"/>
    <item val="EEL HR Executive"/>
    <item val="EEL HR General"/>
    <item val="EEL HR T&amp;D"/>
    <item val="EEL HR UK Generalist"/>
    <item val="EEL HR Remote Generalist"/>
    <item val="EEL HR Compensation &amp; Benefits"/>
    <item val="EEL HR HRIS"/>
    <item val="Human Resources Review"/>
    <item val="Human Resources"/>
    <item val="EEL Research &amp; Trading Controls"/>
    <item val="EEL Structuring"/>
    <item val="Structuring"/>
    <item val="EEL Finance &amp; Support Services"/>
    <item val="EEL Income Opportunities"/>
    <item val="EEL Transaction Support"/>
    <item val="EEL Fin Ops Processes / Operational"/>
    <item val="EEL Deal Capture"/>
    <item val="EEL Documentation &amp; Deal Capture"/>
    <item val="EEL Head of Risk Management Operatio"/>
    <item val="EEL Risk Management"/>
    <item val="EEL Settlement and Contract Manageme"/>
    <item val="EEL Trade Accounting"/>
    <item val="EEL Strategic Initiatives"/>
    <item val="European Trading Support"/>
    <item val="EEL Fin Ops Accounting &amp; Compliance"/>
    <item val="EEL Fin Ops Cashflow / Balance Sheet"/>
    <item val="EEL Fin Ops External Reporting"/>
    <item val="EEL Fin Ops FP&amp;A Income"/>
    <item val="EEL Fin Ops P2P"/>
    <item val="EEL Fin Ops Global Counterparties"/>
    <item val="EEL Fin Ops Global Contract Management"/>
    <item val="EEL Finance Houston"/>
    <item val="EEL Financial Operations Executive"/>
    <item val="EEL Project Apollo"/>
    <item val="Financial Operations"/>
    <item val="EEL US Tax"/>
    <item val="EEL Tax Asset Devel and Finance"/>
    <item val="EEL Tax Trading"/>
    <item val="EEL Tax Reporting and Analysis"/>
    <item val="EEL EES Tax"/>
    <item val="EEL European Tax"/>
    <item val="Tax"/>
    <item val="Chief Accounting Officer"/>
    <item val="...Indirect Support"/>
    <item val=".Enron Europe"/>
    <item val="EEL EMC Operations"/>
    <item val="EEL Gas Logistics"/>
    <item val="EEL Gas Management"/>
    <item val="EEL Inflation Trading"/>
    <item val="EEL Stockholm Trading"/>
    <item val="Outside charges"/>
    <item val="EBS Administration"/>
    <item val="EBS Corporate Development"/>
    <item val="EBS Engineering"/>
    <item val="EBS Enterprise"/>
    <item val="EBS Facilities"/>
    <item val="EBS Field Operations"/>
    <item val="EBS Finance &amp; Cash Management"/>
    <item val="EBS Financial Operations"/>
    <item val="EBS General Overhead"/>
    <item val="EBS General Region"/>
    <item val="EBS Global Network Development"/>
    <item val="EBS Global Network Implementation"/>
    <item val="EBS International Implementation"/>
    <item val="EBS International Provisioning"/>
    <item val="EBS Legal"/>
    <item val="EBS Operations/ Development"/>
    <item val="EBS Service Delivery Systems"/>
    <item val="EBS Technical Support"/>
    <item val="EBS Ventures"/>
    <item val="Broadband Services"/>
    <item val="EBS Facilities (BWT)"/>
    <item val="EBS Finance &amp; Cash Management (BWT)"/>
    <item val="EBS Financial Operations (BWT)"/>
    <item val="EBS General Overhead (BWT)"/>
    <item val="EBS Human Resources"/>
    <item val="EBS Legal (BWT)"/>
    <item val="EBS Risk Management"/>
    <item val="EBS Settlements"/>
    <item val="EBS Tax"/>
    <item val="EBS Trading"/>
    <item val="EBS Trading Operations Support"/>
    <item val="Broadband Trading"/>
    <item val="Enron Broadband Services"/>
    <item val="EEL Coal Trade Support"/>
    <item val="EEL Coal Trading"/>
    <item val="Coal Trading"/>
    <item val="EEL Currency Trading"/>
    <item val="EEL Paper and Pulp Business"/>
    <item val="Paper &amp; Pulp"/>
    <item val="EEL Weather Trading"/>
    <item val="EEL Liquids Trading   Singapore"/>
    <item val="GP Sing Crude Trading"/>
    <item val="GP Sing Global Fuel Originations"/>
    <item val="GP Sing Logistics"/>
    <item val="GP Sing Petchems Trading"/>
    <item val="GP Sing Products Trading"/>
    <item val="Global Fuels Asia Commercial"/>
    <item val="EEL BTX Trading"/>
    <item val="EEL Global Logistics Commercial"/>
    <item val="EEL Liquids Trading   Helsinki"/>
    <item val="EEL Liquids Trading London   Fuel"/>
    <item val="EEL Liquids Trading London   Gasoil"/>
    <item val="EEL Liquids Trading London   LPG"/>
    <item val="EEL Liquids Trading London   Managem"/>
    <item val="EEL London Crude Oil"/>
    <item val="EEL Trading MTBE"/>
    <item val="EEL Trading Petro chemicals"/>
    <item val="Global Fuels Europe Commercial"/>
    <item val="EEL Logistics Singapore"/>
    <item val="EEL Singapore Support"/>
    <item val="GP Sing Reporting"/>
    <item val="Global Fuels Asia Support"/>
    <item val="EEL Global   Coordination"/>
    <item val="EEL Global   Risk management"/>
    <item val="EEL Global   Trading Support"/>
    <item val="EEL Global   Transaction Clearing"/>
    <item val="EEL Global Logistics"/>
    <item val="EEL Helsinki Support Global"/>
    <item val="Global Fuels Europe Support"/>
    <item val="Global Fuels Support"/>
    <item val="Global Fuels Region"/>
    <item val="EEL Online Production"/>
    <item val="On Line"/>
    <item val="EEL Enron Wind"/>
    <item val="EEL Trading Recharge"/>
    <item val="EEL Equity Trading"/>
    <item val="EEL Softs Business"/>
    <item val="EES (Remaining 50%)"/>
    <item val="..Non EEL or Closed"/>
    <item val="Reconciling items"/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4</xdr:row>
      <xdr:rowOff>66675</xdr:rowOff>
    </xdr:to>
    <xdr:pic>
      <xdr:nvPicPr>
        <xdr:cNvPr id="1024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81438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0</xdr:row>
      <xdr:rowOff>161925</xdr:rowOff>
    </xdr:from>
    <xdr:to>
      <xdr:col>4</xdr:col>
      <xdr:colOff>600075</xdr:colOff>
      <xdr:row>1</xdr:row>
      <xdr:rowOff>266700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3</xdr:col>
      <xdr:colOff>0</xdr:colOff>
      <xdr:row>1</xdr:row>
      <xdr:rowOff>209550</xdr:rowOff>
    </xdr:to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285750" y="219075"/>
          <a:ext cx="3162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Summary</a:t>
          </a:r>
        </a:p>
      </xdr:txBody>
    </xdr:sp>
    <xdr:clientData/>
  </xdr:twoCellAnchor>
  <xdr:twoCellAnchor>
    <xdr:from>
      <xdr:col>0</xdr:col>
      <xdr:colOff>295275</xdr:colOff>
      <xdr:row>2</xdr:row>
      <xdr:rowOff>47625</xdr:rowOff>
    </xdr:from>
    <xdr:to>
      <xdr:col>3</xdr:col>
      <xdr:colOff>0</xdr:colOff>
      <xdr:row>3</xdr:row>
      <xdr:rowOff>38100</xdr:rowOff>
    </xdr:to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295275" y="638175"/>
          <a:ext cx="31527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5</xdr:row>
      <xdr:rowOff>0</xdr:rowOff>
    </xdr:to>
    <xdr:pic>
      <xdr:nvPicPr>
        <xdr:cNvPr id="921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9822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0</xdr:row>
      <xdr:rowOff>76200</xdr:rowOff>
    </xdr:from>
    <xdr:to>
      <xdr:col>20</xdr:col>
      <xdr:colOff>9525</xdr:colOff>
      <xdr:row>1</xdr:row>
      <xdr:rowOff>57150</xdr:rowOff>
    </xdr:to>
    <xdr:sp macro="" textlink="">
      <xdr:nvSpPr>
        <xdr:cNvPr id="9218" name="Text Box 2"/>
        <xdr:cNvSpPr txBox="1">
          <a:spLocks noChangeArrowheads="1"/>
        </xdr:cNvSpPr>
      </xdr:nvSpPr>
      <xdr:spPr bwMode="auto">
        <a:xfrm>
          <a:off x="304800" y="76200"/>
          <a:ext cx="32318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Direct Costs</a:t>
          </a:r>
        </a:p>
      </xdr:txBody>
    </xdr:sp>
    <xdr:clientData/>
  </xdr:twoCellAnchor>
  <xdr:twoCellAnchor editAs="oneCell">
    <xdr:from>
      <xdr:col>5</xdr:col>
      <xdr:colOff>352425</xdr:colOff>
      <xdr:row>0</xdr:row>
      <xdr:rowOff>228600</xdr:rowOff>
    </xdr:from>
    <xdr:to>
      <xdr:col>5</xdr:col>
      <xdr:colOff>895350</xdr:colOff>
      <xdr:row>2</xdr:row>
      <xdr:rowOff>19050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2286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</xdr:row>
      <xdr:rowOff>47625</xdr:rowOff>
    </xdr:from>
    <xdr:to>
      <xdr:col>1</xdr:col>
      <xdr:colOff>2533650</xdr:colOff>
      <xdr:row>2</xdr:row>
      <xdr:rowOff>28575</xdr:rowOff>
    </xdr:to>
    <xdr:sp macro="" textlink="">
      <xdr:nvSpPr>
        <xdr:cNvPr id="9220" name="Text Box 4"/>
        <xdr:cNvSpPr txBox="1">
          <a:spLocks noChangeArrowheads="1"/>
        </xdr:cNvSpPr>
      </xdr:nvSpPr>
      <xdr:spPr bwMode="auto">
        <a:xfrm>
          <a:off x="295275" y="352425"/>
          <a:ext cx="26098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228600</xdr:rowOff>
        </xdr:to>
        <xdr:sp macro="" textlink="">
          <xdr:nvSpPr>
            <xdr:cNvPr id="9222" name="adaytum_page_2_drop_1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228600</xdr:rowOff>
        </xdr:to>
        <xdr:sp macro="" textlink="">
          <xdr:nvSpPr>
            <xdr:cNvPr id="9224" name="adaytum_page_2_drop_2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29</xdr:row>
          <xdr:rowOff>142875</xdr:rowOff>
        </xdr:to>
        <xdr:sp macro="" textlink="">
          <xdr:nvSpPr>
            <xdr:cNvPr id="9328" name="adaytum_page_3_drop_1" hidden="1">
              <a:extLst>
                <a:ext uri="{63B3BB69-23CF-44E3-9099-C40C66FF867C}">
                  <a14:compatExt spid="_x0000_s9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29</xdr:row>
          <xdr:rowOff>76200</xdr:rowOff>
        </xdr:to>
        <xdr:sp macro="" textlink="">
          <xdr:nvSpPr>
            <xdr:cNvPr id="9367" name="adaytum_page_1_drop_1" hidden="1">
              <a:extLst>
                <a:ext uri="{63B3BB69-23CF-44E3-9099-C40C66FF867C}">
                  <a14:compatExt spid="_x0000_s9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47</xdr:row>
          <xdr:rowOff>228600</xdr:rowOff>
        </xdr:to>
        <xdr:sp macro="" textlink="">
          <xdr:nvSpPr>
            <xdr:cNvPr id="9415" name="adaytum_page_4_drop_1" hidden="1">
              <a:extLst>
                <a:ext uri="{63B3BB69-23CF-44E3-9099-C40C66FF867C}">
                  <a14:compatExt spid="_x0000_s9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0</xdr:colOff>
          <xdr:row>63</xdr:row>
          <xdr:rowOff>38100</xdr:rowOff>
        </xdr:to>
        <xdr:sp macro="" textlink="">
          <xdr:nvSpPr>
            <xdr:cNvPr id="9527" name="adaytum_page_4_drop_1" hidden="1">
              <a:extLst>
                <a:ext uri="{63B3BB69-23CF-44E3-9099-C40C66FF867C}">
                  <a14:compatExt spid="_x0000_s9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390525</xdr:colOff>
      <xdr:row>2</xdr:row>
      <xdr:rowOff>66675</xdr:rowOff>
    </xdr:to>
    <xdr:pic>
      <xdr:nvPicPr>
        <xdr:cNvPr id="1228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95631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7</xdr:col>
      <xdr:colOff>514350</xdr:colOff>
      <xdr:row>1</xdr:row>
      <xdr:rowOff>200025</xdr:rowOff>
    </xdr:to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514350" y="152400"/>
          <a:ext cx="53340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2001 Budget Analysis Template - $US </a:t>
          </a:r>
        </a:p>
      </xdr:txBody>
    </xdr:sp>
    <xdr:clientData/>
  </xdr:twoCellAnchor>
  <xdr:twoCellAnchor editAs="oneCell">
    <xdr:from>
      <xdr:col>7</xdr:col>
      <xdr:colOff>1609725</xdr:colOff>
      <xdr:row>0</xdr:row>
      <xdr:rowOff>104775</xdr:rowOff>
    </xdr:from>
    <xdr:to>
      <xdr:col>7</xdr:col>
      <xdr:colOff>2152650</xdr:colOff>
      <xdr:row>1</xdr:row>
      <xdr:rowOff>266700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0477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16" name="Picture 4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18" name="Text Box 6"/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Plan 2001 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22" name="Picture 10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2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24" name="Text Box 12"/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0" y="885825"/>
          <a:ext cx="59340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21</xdr:col>
      <xdr:colOff>0</xdr:colOff>
      <xdr:row>20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0" y="1381125"/>
          <a:ext cx="5934075" cy="3543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37</xdr:row>
      <xdr:rowOff>0</xdr:rowOff>
    </xdr:from>
    <xdr:to>
      <xdr:col>21</xdr:col>
      <xdr:colOff>0</xdr:colOff>
      <xdr:row>38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0" y="8820150"/>
          <a:ext cx="5934075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kx="2453608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0</xdr:colOff>
      <xdr:row>2</xdr:row>
      <xdr:rowOff>238125</xdr:rowOff>
    </xdr:to>
    <xdr:pic>
      <xdr:nvPicPr>
        <xdr:cNvPr id="13328" name="Picture 16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68580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66675</xdr:colOff>
      <xdr:row>0</xdr:row>
      <xdr:rowOff>161925</xdr:rowOff>
    </xdr:from>
    <xdr:to>
      <xdr:col>22</xdr:col>
      <xdr:colOff>409575</xdr:colOff>
      <xdr:row>1</xdr:row>
      <xdr:rowOff>266700</xdr:rowOff>
    </xdr:to>
    <xdr:pic>
      <xdr:nvPicPr>
        <xdr:cNvPr id="1332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13</xdr:col>
      <xdr:colOff>19050</xdr:colOff>
      <xdr:row>1</xdr:row>
      <xdr:rowOff>209550</xdr:rowOff>
    </xdr:to>
    <xdr:sp macro="" textlink="">
      <xdr:nvSpPr>
        <xdr:cNvPr id="13330" name="Text Box 18"/>
        <xdr:cNvSpPr txBox="1">
          <a:spLocks noChangeArrowheads="1"/>
        </xdr:cNvSpPr>
      </xdr:nvSpPr>
      <xdr:spPr bwMode="auto">
        <a:xfrm>
          <a:off x="285750" y="219075"/>
          <a:ext cx="28289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Headcount Analysis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123825</xdr:rowOff>
    </xdr:to>
    <xdr:pic>
      <xdr:nvPicPr>
        <xdr:cNvPr id="204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3628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104775</xdr:colOff>
      <xdr:row>0</xdr:row>
      <xdr:rowOff>104775</xdr:rowOff>
    </xdr:from>
    <xdr:to>
      <xdr:col>5</xdr:col>
      <xdr:colOff>657225</xdr:colOff>
      <xdr:row>1</xdr:row>
      <xdr:rowOff>209550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10477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180975</xdr:rowOff>
    </xdr:from>
    <xdr:to>
      <xdr:col>5</xdr:col>
      <xdr:colOff>1295400</xdr:colOff>
      <xdr:row>1</xdr:row>
      <xdr:rowOff>171450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0" y="18097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Costs Allocated Out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6</xdr:col>
      <xdr:colOff>0</xdr:colOff>
      <xdr:row>68</xdr:row>
      <xdr:rowOff>104775</xdr:rowOff>
    </xdr:to>
    <xdr:graphicFrame macro="">
      <xdr:nvGraphicFramePr>
        <xdr:cNvPr id="2477" name="Chart 4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2497" name="adaytum_page_1_drop_1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1276350</xdr:colOff>
          <xdr:row>5</xdr:row>
          <xdr:rowOff>0</xdr:rowOff>
        </xdr:to>
        <xdr:sp macro="" textlink="">
          <xdr:nvSpPr>
            <xdr:cNvPr id="2499" name="adaytum_page_1_drop_2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1</xdr:row>
      <xdr:rowOff>228600</xdr:rowOff>
    </xdr:from>
    <xdr:to>
      <xdr:col>5</xdr:col>
      <xdr:colOff>1295400</xdr:colOff>
      <xdr:row>2</xdr:row>
      <xdr:rowOff>219075</xdr:rowOff>
    </xdr:to>
    <xdr:sp macro="" textlink="">
      <xdr:nvSpPr>
        <xdr:cNvPr id="2579" name="Text Box 531"/>
        <xdr:cNvSpPr txBox="1">
          <a:spLocks noChangeArrowheads="1"/>
        </xdr:cNvSpPr>
      </xdr:nvSpPr>
      <xdr:spPr bwMode="auto">
        <a:xfrm>
          <a:off x="0" y="52387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RAC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123825</xdr:rowOff>
    </xdr:to>
    <xdr:pic>
      <xdr:nvPicPr>
        <xdr:cNvPr id="7169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73628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0</xdr:row>
      <xdr:rowOff>104775</xdr:rowOff>
    </xdr:from>
    <xdr:to>
      <xdr:col>5</xdr:col>
      <xdr:colOff>695325</xdr:colOff>
      <xdr:row>1</xdr:row>
      <xdr:rowOff>209550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10477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200025</xdr:rowOff>
    </xdr:from>
    <xdr:to>
      <xdr:col>5</xdr:col>
      <xdr:colOff>1295400</xdr:colOff>
      <xdr:row>1</xdr:row>
      <xdr:rowOff>190500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0" y="200025"/>
          <a:ext cx="7067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Support Cost Centre</a:t>
          </a: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54</xdr:row>
      <xdr:rowOff>152400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7174" name="adaytum_page_1_drop_1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1276350</xdr:colOff>
          <xdr:row>5</xdr:row>
          <xdr:rowOff>0</xdr:rowOff>
        </xdr:to>
        <xdr:sp macro="" textlink="">
          <xdr:nvSpPr>
            <xdr:cNvPr id="7176" name="adaytum_page_1_drop_2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</xdr:row>
      <xdr:rowOff>66675</xdr:rowOff>
    </xdr:to>
    <xdr:pic>
      <xdr:nvPicPr>
        <xdr:cNvPr id="11265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45624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638175</xdr:colOff>
      <xdr:row>0</xdr:row>
      <xdr:rowOff>85725</xdr:rowOff>
    </xdr:from>
    <xdr:to>
      <xdr:col>3</xdr:col>
      <xdr:colOff>28575</xdr:colOff>
      <xdr:row>1</xdr:row>
      <xdr:rowOff>190500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5725"/>
          <a:ext cx="5524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4</xdr:col>
      <xdr:colOff>0</xdr:colOff>
      <xdr:row>1</xdr:row>
      <xdr:rowOff>209550</xdr:rowOff>
    </xdr:to>
    <xdr:sp macro="" textlink="">
      <xdr:nvSpPr>
        <xdr:cNvPr id="11267" name="Text Box 3"/>
        <xdr:cNvSpPr txBox="1">
          <a:spLocks noChangeArrowheads="1"/>
        </xdr:cNvSpPr>
      </xdr:nvSpPr>
      <xdr:spPr bwMode="auto">
        <a:xfrm>
          <a:off x="285750" y="219075"/>
          <a:ext cx="40195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Total Allocations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1274" name="adaytum_page_1_drop_1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752475</xdr:colOff>
          <xdr:row>4</xdr:row>
          <xdr:rowOff>0</xdr:rowOff>
        </xdr:to>
        <xdr:sp macro="" textlink="">
          <xdr:nvSpPr>
            <xdr:cNvPr id="11276" name="adaytum_page_1_drop_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</xdr:row>
      <xdr:rowOff>104775</xdr:rowOff>
    </xdr:to>
    <xdr:pic>
      <xdr:nvPicPr>
        <xdr:cNvPr id="3073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578167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0</xdr:row>
      <xdr:rowOff>161925</xdr:rowOff>
    </xdr:from>
    <xdr:to>
      <xdr:col>5</xdr:col>
      <xdr:colOff>600075</xdr:colOff>
      <xdr:row>1</xdr:row>
      <xdr:rowOff>266700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5</xdr:col>
      <xdr:colOff>0</xdr:colOff>
      <xdr:row>1</xdr:row>
      <xdr:rowOff>209550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285750" y="219075"/>
          <a:ext cx="42576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082" name="adaytum_page_1_drop_1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084" name="adaytum_page_1_drop_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</xdr:row>
      <xdr:rowOff>66675</xdr:rowOff>
    </xdr:to>
    <xdr:pic>
      <xdr:nvPicPr>
        <xdr:cNvPr id="4097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70" t="24545" b="-3636"/>
        <a:stretch>
          <a:fillRect/>
        </a:stretch>
      </xdr:blipFill>
      <xdr:spPr bwMode="auto">
        <a:xfrm>
          <a:off x="0" y="0"/>
          <a:ext cx="185832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57150</xdr:colOff>
      <xdr:row>0</xdr:row>
      <xdr:rowOff>161925</xdr:rowOff>
    </xdr:from>
    <xdr:to>
      <xdr:col>20</xdr:col>
      <xdr:colOff>600075</xdr:colOff>
      <xdr:row>1</xdr:row>
      <xdr:rowOff>266700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2175" y="161925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285750</xdr:colOff>
      <xdr:row>0</xdr:row>
      <xdr:rowOff>219075</xdr:rowOff>
    </xdr:from>
    <xdr:to>
      <xdr:col>9</xdr:col>
      <xdr:colOff>752475</xdr:colOff>
      <xdr:row>1</xdr:row>
      <xdr:rowOff>209550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285750" y="219075"/>
          <a:ext cx="90201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Allocations out of Cost Centre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Financial%20Planning%20and%20Analysis/Management%20Reporting/Jons%20File/Regional%20Reporting/Chief%20Accounting%20Officer/FinOps/FinOps%20Net%20G&amp;A%20$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W"/>
      <sheetName val="G&amp;A by Category"/>
      <sheetName val="S&amp;WGCP2"/>
      <sheetName val="HC Summary 2"/>
      <sheetName val="Revised Total S&amp;W"/>
      <sheetName val="Revised Summary G&amp;A"/>
      <sheetName val="HC Summary"/>
      <sheetName val="Total S&amp;W"/>
      <sheetName val="S&amp;W Acc &amp; Compliance"/>
      <sheetName val="S&amp;W Cashflow &amp; Balance Sheet"/>
      <sheetName val="S&amp;W External Reporting"/>
      <sheetName val="S&amp;W FPA &amp; Income"/>
      <sheetName val="S&amp;W P2P"/>
      <sheetName val="S&amp;W Global Counterparties"/>
      <sheetName val="S&amp;W Process &amp; Operational"/>
      <sheetName val="S&amp;W Executive"/>
      <sheetName val="By Region"/>
      <sheetName val="G&amp;A Summary"/>
      <sheetName val="Exec"/>
      <sheetName val="Acc &amp; Comp"/>
      <sheetName val="Cashflow"/>
      <sheetName val="External Reporting"/>
      <sheetName val="Income"/>
      <sheetName val="P2P"/>
      <sheetName val="Global Counterparties"/>
      <sheetName val="Processes &amp; Operational"/>
    </sheetNames>
    <sheetDataSet>
      <sheetData sheetId="0" refreshError="1"/>
      <sheetData sheetId="1" refreshError="1"/>
      <sheetData sheetId="2" refreshError="1"/>
      <sheetData sheetId="3" refreshError="1">
        <row r="22">
          <cell r="D22" t="str">
            <v>Junior Professional</v>
          </cell>
          <cell r="E22">
            <v>5</v>
          </cell>
        </row>
        <row r="23">
          <cell r="D23" t="str">
            <v>Junior Support</v>
          </cell>
          <cell r="E23">
            <v>1</v>
          </cell>
        </row>
        <row r="24">
          <cell r="D24" t="str">
            <v>Senior Clerk</v>
          </cell>
          <cell r="E24">
            <v>6</v>
          </cell>
        </row>
        <row r="25">
          <cell r="D25" t="str">
            <v>Temporary</v>
          </cell>
          <cell r="E25">
            <v>1</v>
          </cell>
        </row>
        <row r="26">
          <cell r="D26" t="str">
            <v>Entry Professional</v>
          </cell>
          <cell r="E26">
            <v>1</v>
          </cell>
        </row>
        <row r="27">
          <cell r="D27" t="str">
            <v>Clerk</v>
          </cell>
          <cell r="E27">
            <v>2</v>
          </cell>
        </row>
      </sheetData>
      <sheetData sheetId="4" refreshError="1"/>
      <sheetData sheetId="5" refreshError="1"/>
      <sheetData sheetId="6" refreshError="1">
        <row r="6">
          <cell r="B6">
            <v>1</v>
          </cell>
          <cell r="E6">
            <v>1</v>
          </cell>
          <cell r="H6">
            <v>5</v>
          </cell>
          <cell r="K6">
            <v>1</v>
          </cell>
        </row>
        <row r="7">
          <cell r="B7">
            <v>15</v>
          </cell>
          <cell r="E7">
            <v>2</v>
          </cell>
          <cell r="H7">
            <v>5</v>
          </cell>
          <cell r="K7">
            <v>7</v>
          </cell>
        </row>
        <row r="8">
          <cell r="B8">
            <v>5</v>
          </cell>
          <cell r="E8">
            <v>1</v>
          </cell>
          <cell r="H8">
            <v>3</v>
          </cell>
          <cell r="K8">
            <v>3</v>
          </cell>
        </row>
        <row r="9">
          <cell r="B9">
            <v>1</v>
          </cell>
          <cell r="E9">
            <v>1</v>
          </cell>
          <cell r="H9">
            <v>2</v>
          </cell>
          <cell r="K9">
            <v>1</v>
          </cell>
        </row>
        <row r="10">
          <cell r="B10">
            <v>4</v>
          </cell>
          <cell r="E10">
            <v>2</v>
          </cell>
          <cell r="K10">
            <v>9</v>
          </cell>
        </row>
        <row r="11">
          <cell r="B11">
            <v>1</v>
          </cell>
          <cell r="K11">
            <v>1</v>
          </cell>
        </row>
        <row r="12">
          <cell r="K12">
            <v>4</v>
          </cell>
        </row>
        <row r="22">
          <cell r="B22">
            <v>4</v>
          </cell>
          <cell r="H22">
            <v>1</v>
          </cell>
        </row>
        <row r="23">
          <cell r="B23">
            <v>3</v>
          </cell>
          <cell r="H23">
            <v>1</v>
          </cell>
        </row>
        <row r="24">
          <cell r="B24">
            <v>2</v>
          </cell>
          <cell r="H24">
            <v>1</v>
          </cell>
          <cell r="K24">
            <v>2</v>
          </cell>
        </row>
        <row r="25">
          <cell r="B25">
            <v>4</v>
          </cell>
          <cell r="K25">
            <v>3</v>
          </cell>
        </row>
        <row r="26">
          <cell r="B26">
            <v>1</v>
          </cell>
          <cell r="K26">
            <v>5</v>
          </cell>
        </row>
        <row r="27">
          <cell r="B27">
            <v>1</v>
          </cell>
          <cell r="K27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4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mments" Target="../comments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3">
    <pageSetUpPr fitToPage="1"/>
  </sheetPr>
  <dimension ref="A1:H25"/>
  <sheetViews>
    <sheetView zoomScale="95" zoomScaleNormal="95" workbookViewId="0">
      <pane xSplit="1" ySplit="6" topLeftCell="B7" activePane="bottomRight" state="frozen"/>
      <selection activeCell="E5" sqref="E5"/>
      <selection pane="topRight" activeCell="E5" sqref="E5"/>
      <selection pane="bottomLeft" activeCell="E5" sqref="E5"/>
      <selection pane="bottomRight" activeCell="D19" sqref="D19"/>
    </sheetView>
  </sheetViews>
  <sheetFormatPr defaultRowHeight="12.75"/>
  <cols>
    <col min="1" max="1" width="5.5703125" customWidth="1"/>
    <col min="2" max="2" width="40.42578125" customWidth="1"/>
    <col min="3" max="3" width="5.7109375" customWidth="1"/>
    <col min="4" max="4" width="23.140625" customWidth="1"/>
    <col min="5" max="5" width="18.5703125" customWidth="1"/>
    <col min="6" max="6" width="28.7109375" bestFit="1" customWidth="1"/>
    <col min="7" max="7" width="3.7109375" customWidth="1"/>
    <col min="8" max="8" width="45.85546875" customWidth="1"/>
    <col min="9" max="9" width="14.5703125" bestFit="1" customWidth="1"/>
  </cols>
  <sheetData>
    <row r="1" spans="1:8" s="3" customFormat="1" ht="23.25" customHeight="1">
      <c r="A1" s="2"/>
      <c r="B1" s="2"/>
      <c r="C1" s="2"/>
      <c r="D1" s="2"/>
      <c r="E1" s="2"/>
      <c r="F1" s="2"/>
    </row>
    <row r="2" spans="1:8" s="3" customFormat="1" ht="23.25" customHeight="1">
      <c r="A2" s="2"/>
      <c r="B2" s="2"/>
      <c r="C2" s="2"/>
      <c r="D2" s="2"/>
      <c r="E2" s="2"/>
      <c r="F2" s="2"/>
    </row>
    <row r="3" spans="1:8" s="3" customFormat="1" ht="23.25" customHeight="1">
      <c r="A3" s="4"/>
      <c r="B3" s="4"/>
      <c r="C3" s="4"/>
      <c r="D3" s="4"/>
      <c r="E3" s="4"/>
      <c r="F3" s="4"/>
    </row>
    <row r="4" spans="1:8" s="3" customFormat="1" ht="18">
      <c r="A4" s="5"/>
      <c r="B4" s="4"/>
      <c r="C4" s="4"/>
      <c r="D4" s="4"/>
      <c r="E4" s="4"/>
      <c r="F4" s="4"/>
    </row>
    <row r="5" spans="1:8" ht="18">
      <c r="A5" s="4"/>
      <c r="B5" s="4"/>
      <c r="C5" s="4"/>
      <c r="D5" s="4"/>
      <c r="F5" s="4"/>
    </row>
    <row r="6" spans="1:8" s="9" customFormat="1" ht="46.5" customHeight="1" thickBot="1">
      <c r="A6" s="1" t="s">
        <v>81</v>
      </c>
      <c r="B6" s="6"/>
      <c r="C6" s="7"/>
      <c r="D6" s="7">
        <v>2001</v>
      </c>
      <c r="E6" s="7">
        <v>2000</v>
      </c>
      <c r="F6" s="8"/>
      <c r="H6" s="7" t="s">
        <v>72</v>
      </c>
    </row>
    <row r="7" spans="1:8" ht="18" customHeight="1">
      <c r="A7" s="212"/>
      <c r="B7" s="10"/>
      <c r="C7" s="11"/>
      <c r="D7" s="11"/>
      <c r="E7" s="11"/>
      <c r="F7" s="14"/>
    </row>
    <row r="8" spans="1:8" ht="18" customHeight="1">
      <c r="A8" s="212"/>
      <c r="B8" s="10" t="s">
        <v>56</v>
      </c>
      <c r="C8" s="62"/>
      <c r="D8" s="62">
        <f>Direct!G19</f>
        <v>51</v>
      </c>
      <c r="E8" s="62">
        <f>Direct!G48</f>
        <v>37</v>
      </c>
      <c r="F8" s="14"/>
      <c r="H8" t="s">
        <v>73</v>
      </c>
    </row>
    <row r="9" spans="1:8" ht="39" customHeight="1">
      <c r="A9" s="212"/>
      <c r="B9" s="10"/>
      <c r="C9" s="11"/>
      <c r="D9" s="11"/>
      <c r="E9" s="11"/>
      <c r="F9" s="14"/>
    </row>
    <row r="10" spans="1:8" ht="18" customHeight="1">
      <c r="A10" s="212"/>
      <c r="B10" s="63" t="s">
        <v>66</v>
      </c>
      <c r="C10" s="11"/>
      <c r="D10" s="11">
        <f>Direct!G17</f>
        <v>7449917.5839552237</v>
      </c>
      <c r="E10" s="11">
        <f>Direct!G40</f>
        <v>5080976.3099999996</v>
      </c>
      <c r="F10" s="14"/>
      <c r="H10" t="s">
        <v>73</v>
      </c>
    </row>
    <row r="11" spans="1:8" ht="17.25" customHeight="1">
      <c r="A11" s="212"/>
      <c r="B11" s="63"/>
      <c r="C11" s="11"/>
      <c r="D11" s="11"/>
      <c r="E11" s="11"/>
      <c r="F11" s="14"/>
    </row>
    <row r="12" spans="1:8" ht="0.75" hidden="1" customHeight="1">
      <c r="A12" s="212"/>
      <c r="B12" s="63" t="s">
        <v>67</v>
      </c>
      <c r="C12" s="11"/>
      <c r="D12" s="11">
        <v>0</v>
      </c>
      <c r="E12" s="11"/>
      <c r="F12" s="14" t="s">
        <v>70</v>
      </c>
      <c r="H12" t="s">
        <v>74</v>
      </c>
    </row>
    <row r="13" spans="1:8" ht="18" customHeight="1">
      <c r="A13" s="212"/>
      <c r="B13" s="63"/>
      <c r="C13" s="11"/>
      <c r="D13" s="11"/>
      <c r="E13" s="11"/>
      <c r="F13" s="14"/>
    </row>
    <row r="14" spans="1:8" ht="18" customHeight="1">
      <c r="A14" s="212"/>
      <c r="B14" s="63" t="s">
        <v>82</v>
      </c>
      <c r="C14" s="11"/>
      <c r="D14" s="11">
        <f>-'Alloc out by CC (IO)'!C36</f>
        <v>-7449917.5839552237</v>
      </c>
      <c r="E14" s="11"/>
      <c r="F14" s="14" t="s">
        <v>70</v>
      </c>
      <c r="H14" t="s">
        <v>76</v>
      </c>
    </row>
    <row r="15" spans="1:8" ht="18" customHeight="1">
      <c r="A15" s="212"/>
      <c r="B15" s="63"/>
      <c r="C15" s="11"/>
      <c r="D15" s="11"/>
      <c r="E15" s="11"/>
      <c r="F15" s="14"/>
    </row>
    <row r="16" spans="1:8" ht="18" hidden="1" customHeight="1">
      <c r="A16" s="212"/>
      <c r="B16" s="63" t="s">
        <v>68</v>
      </c>
      <c r="C16" s="11"/>
      <c r="D16" s="11">
        <v>0</v>
      </c>
      <c r="E16" s="11"/>
      <c r="F16" s="14" t="s">
        <v>70</v>
      </c>
      <c r="H16" t="s">
        <v>75</v>
      </c>
    </row>
    <row r="17" spans="1:8" ht="18" customHeight="1">
      <c r="A17" s="212"/>
      <c r="B17" s="63"/>
      <c r="C17" s="11"/>
      <c r="D17" s="11"/>
      <c r="E17" s="11"/>
      <c r="F17" s="14"/>
    </row>
    <row r="18" spans="1:8" ht="18" customHeight="1">
      <c r="A18" s="212"/>
      <c r="B18" s="63" t="s">
        <v>80</v>
      </c>
      <c r="C18" s="11"/>
      <c r="D18" s="11">
        <v>2083000</v>
      </c>
      <c r="E18" s="11">
        <v>1597000</v>
      </c>
      <c r="F18" s="14"/>
      <c r="H18" t="s">
        <v>77</v>
      </c>
    </row>
    <row r="19" spans="1:8" ht="18" customHeight="1">
      <c r="A19" s="212"/>
      <c r="B19" s="10"/>
      <c r="C19" s="11"/>
      <c r="D19" s="11"/>
      <c r="E19" s="11"/>
      <c r="F19" s="14"/>
    </row>
    <row r="20" spans="1:8" ht="18" customHeight="1" thickBot="1">
      <c r="A20" s="213"/>
      <c r="B20" s="15" t="s">
        <v>69</v>
      </c>
      <c r="C20" s="16"/>
      <c r="D20" s="16">
        <f>SUM(D9:D19)</f>
        <v>2083000</v>
      </c>
      <c r="E20" s="61" t="s">
        <v>71</v>
      </c>
      <c r="F20" s="17"/>
      <c r="H20" t="s">
        <v>78</v>
      </c>
    </row>
    <row r="23" spans="1:8">
      <c r="H23" t="s">
        <v>79</v>
      </c>
    </row>
    <row r="25" spans="1:8">
      <c r="H25" s="66" t="s">
        <v>84</v>
      </c>
    </row>
  </sheetData>
  <mergeCells count="1">
    <mergeCell ref="A6:A2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0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F63"/>
  <sheetViews>
    <sheetView tabSelected="1" zoomScale="95" zoomScaleNormal="95" workbookViewId="0">
      <pane xSplit="2" ySplit="7" topLeftCell="C8" activePane="bottomRight" state="frozen"/>
      <selection activeCell="H75" sqref="H75"/>
      <selection pane="topRight" activeCell="H75" sqref="H75"/>
      <selection pane="bottomLeft" activeCell="H75" sqref="H75"/>
      <selection pane="bottomRight" activeCell="B3" sqref="B3"/>
    </sheetView>
  </sheetViews>
  <sheetFormatPr defaultRowHeight="12.75" outlineLevelRow="1"/>
  <cols>
    <col min="1" max="1" width="5.5703125" customWidth="1"/>
    <col min="2" max="2" width="41.5703125" customWidth="1"/>
    <col min="3" max="3" width="21.140625" customWidth="1"/>
    <col min="4" max="4" width="18" customWidth="1"/>
    <col min="5" max="7" width="21.140625" customWidth="1"/>
    <col min="8" max="8" width="20.5703125" customWidth="1"/>
    <col min="9" max="9" width="23.5703125" customWidth="1"/>
    <col min="10" max="10" width="24.7109375" customWidth="1"/>
    <col min="11" max="11" width="35.28515625" customWidth="1"/>
    <col min="12" max="12" width="29" customWidth="1"/>
    <col min="13" max="13" width="25.140625" customWidth="1"/>
    <col min="14" max="14" width="16.7109375" customWidth="1"/>
    <col min="15" max="15" width="31.7109375" customWidth="1"/>
    <col min="16" max="16" width="38.28515625" customWidth="1"/>
    <col min="17" max="17" width="34" customWidth="1"/>
    <col min="18" max="27" width="20.140625" customWidth="1"/>
    <col min="28" max="28" width="20.140625" customWidth="1" collapsed="1"/>
    <col min="29" max="29" width="19.7109375" customWidth="1"/>
    <col min="30" max="30" width="19" bestFit="1" customWidth="1"/>
    <col min="31" max="31" width="12.5703125" customWidth="1"/>
    <col min="32" max="32" width="30.85546875" bestFit="1" customWidth="1" collapsed="1"/>
    <col min="33" max="33" width="15.42578125" bestFit="1" customWidth="1"/>
    <col min="34" max="34" width="29.28515625" bestFit="1" customWidth="1"/>
    <col min="35" max="35" width="13.28515625" bestFit="1" customWidth="1"/>
    <col min="36" max="36" width="17.42578125" bestFit="1" customWidth="1"/>
    <col min="37" max="37" width="12.5703125" bestFit="1" customWidth="1"/>
    <col min="38" max="38" width="22" bestFit="1" customWidth="1"/>
    <col min="186" max="186" width="9" customWidth="1"/>
  </cols>
  <sheetData>
    <row r="1" spans="1:7" ht="24" customHeight="1">
      <c r="A1" s="2"/>
      <c r="B1" s="2"/>
      <c r="C1" s="2"/>
      <c r="D1" s="2"/>
      <c r="E1" s="2"/>
      <c r="F1" s="2"/>
      <c r="G1" s="2"/>
    </row>
    <row r="2" spans="1:7" ht="24" customHeight="1">
      <c r="A2" s="2"/>
      <c r="B2" s="2"/>
      <c r="C2" s="2"/>
      <c r="D2" s="2"/>
      <c r="E2" s="2"/>
      <c r="F2" s="2"/>
      <c r="G2" s="2"/>
    </row>
    <row r="3" spans="1:7" ht="18">
      <c r="A3" s="39"/>
      <c r="B3" s="39"/>
      <c r="C3" s="39"/>
      <c r="D3" s="39"/>
      <c r="E3" s="39"/>
      <c r="F3" s="39"/>
      <c r="G3" s="39"/>
    </row>
    <row r="4" spans="1:7" ht="18" hidden="1" outlineLevel="1">
      <c r="A4" s="39"/>
      <c r="B4" s="27" t="s">
        <v>1</v>
      </c>
      <c r="C4" s="39"/>
      <c r="D4" s="39"/>
      <c r="E4" s="39"/>
      <c r="F4" s="39"/>
      <c r="G4" s="39"/>
    </row>
    <row r="5" spans="1:7" ht="18" hidden="1" customHeight="1" outlineLevel="1">
      <c r="A5" s="39"/>
      <c r="B5" s="28" t="s">
        <v>60</v>
      </c>
      <c r="C5" s="23" t="s">
        <v>61</v>
      </c>
      <c r="D5" s="39"/>
      <c r="E5" s="23"/>
      <c r="F5" s="23"/>
      <c r="G5" s="23"/>
    </row>
    <row r="6" spans="1:7" ht="20.25" customHeight="1" collapsed="1" thickBot="1">
      <c r="A6" s="39"/>
      <c r="B6" s="39"/>
      <c r="C6" s="39"/>
      <c r="D6" s="39"/>
      <c r="E6" s="39"/>
      <c r="F6" s="39"/>
      <c r="G6" s="39"/>
    </row>
    <row r="7" spans="1:7" s="40" customFormat="1" ht="40.5" customHeight="1" thickBot="1">
      <c r="A7" s="214" t="s">
        <v>18</v>
      </c>
      <c r="B7" s="193" t="s">
        <v>58</v>
      </c>
      <c r="C7" s="193" t="s">
        <v>145</v>
      </c>
      <c r="D7" s="193" t="s">
        <v>156</v>
      </c>
      <c r="E7" s="193" t="s">
        <v>157</v>
      </c>
      <c r="F7" s="193" t="s">
        <v>178</v>
      </c>
      <c r="G7" s="193" t="s">
        <v>11</v>
      </c>
    </row>
    <row r="8" spans="1:7" ht="18" customHeight="1">
      <c r="A8" s="215"/>
      <c r="B8" s="194" t="s">
        <v>47</v>
      </c>
      <c r="C8" s="195">
        <v>2383231.7319651744</v>
      </c>
      <c r="D8" s="195">
        <v>1054317.7705223879</v>
      </c>
      <c r="E8" s="195">
        <v>1283175.3109452734</v>
      </c>
      <c r="F8" s="195">
        <v>878470.38246268639</v>
      </c>
      <c r="G8" s="210">
        <v>5599195.1958955228</v>
      </c>
    </row>
    <row r="9" spans="1:7" ht="18" customHeight="1">
      <c r="A9" s="215"/>
      <c r="B9" s="194" t="s">
        <v>48</v>
      </c>
      <c r="C9" s="195">
        <v>369331.34328358195</v>
      </c>
      <c r="D9" s="195">
        <v>84800.000000000073</v>
      </c>
      <c r="E9" s="195">
        <v>284740.29850746226</v>
      </c>
      <c r="F9" s="195">
        <v>117062.68656716411</v>
      </c>
      <c r="G9" s="210">
        <v>855934.32835820829</v>
      </c>
    </row>
    <row r="10" spans="1:7" ht="18" customHeight="1">
      <c r="A10" s="215"/>
      <c r="B10" s="194" t="s">
        <v>49</v>
      </c>
      <c r="C10" s="195">
        <v>40597.014925373122</v>
      </c>
      <c r="D10" s="195">
        <v>3582.0895522388014</v>
      </c>
      <c r="E10" s="195">
        <v>7164.1791044776182</v>
      </c>
      <c r="F10" s="195">
        <v>2686.5671641791096</v>
      </c>
      <c r="G10" s="210">
        <v>54029.850746268654</v>
      </c>
    </row>
    <row r="11" spans="1:7" ht="18" customHeight="1">
      <c r="A11" s="215"/>
      <c r="B11" s="194" t="s">
        <v>50</v>
      </c>
      <c r="C11" s="195">
        <v>0</v>
      </c>
      <c r="D11" s="195">
        <v>0</v>
      </c>
      <c r="E11" s="195">
        <v>0</v>
      </c>
      <c r="F11" s="195">
        <v>12537.313432835819</v>
      </c>
      <c r="G11" s="210">
        <v>12537.313432835819</v>
      </c>
    </row>
    <row r="12" spans="1:7" ht="18" customHeight="1">
      <c r="A12" s="215"/>
      <c r="B12" s="194" t="s">
        <v>51</v>
      </c>
      <c r="C12" s="195">
        <v>525367.16417910485</v>
      </c>
      <c r="D12" s="195">
        <v>22382.089552238784</v>
      </c>
      <c r="E12" s="195">
        <v>0</v>
      </c>
      <c r="F12" s="195">
        <v>0</v>
      </c>
      <c r="G12" s="210">
        <v>547749.25373134355</v>
      </c>
    </row>
    <row r="13" spans="1:7" ht="18" customHeight="1">
      <c r="A13" s="215"/>
      <c r="B13" s="194" t="s">
        <v>52</v>
      </c>
      <c r="C13" s="195">
        <v>0</v>
      </c>
      <c r="D13" s="195">
        <v>0</v>
      </c>
      <c r="E13" s="195">
        <v>0</v>
      </c>
      <c r="F13" s="195">
        <v>0</v>
      </c>
      <c r="G13" s="210">
        <v>0</v>
      </c>
    </row>
    <row r="14" spans="1:7" ht="18" customHeight="1">
      <c r="A14" s="215"/>
      <c r="B14" s="194" t="s">
        <v>53</v>
      </c>
      <c r="C14" s="195">
        <v>183564.1791044776</v>
      </c>
      <c r="D14" s="195">
        <v>105026.8656716418</v>
      </c>
      <c r="E14" s="195">
        <v>35426.865671641761</v>
      </c>
      <c r="F14" s="195">
        <v>38543.283582089527</v>
      </c>
      <c r="G14" s="210">
        <v>362561.19402985071</v>
      </c>
    </row>
    <row r="15" spans="1:7" ht="18" customHeight="1">
      <c r="A15" s="215"/>
      <c r="B15" s="194" t="s">
        <v>54</v>
      </c>
      <c r="C15" s="195">
        <v>3582.0895522388041</v>
      </c>
      <c r="D15" s="195">
        <v>4477.6119402985078</v>
      </c>
      <c r="E15" s="195">
        <v>5373.1343283582119</v>
      </c>
      <c r="F15" s="195">
        <v>4477.6119402985078</v>
      </c>
      <c r="G15" s="210">
        <v>17910.447761194031</v>
      </c>
    </row>
    <row r="16" spans="1:7" ht="18" customHeight="1">
      <c r="A16" s="215"/>
      <c r="B16" s="194" t="s">
        <v>55</v>
      </c>
      <c r="C16" s="195">
        <v>0</v>
      </c>
      <c r="D16" s="195">
        <v>0</v>
      </c>
      <c r="E16" s="195">
        <f>SUM(C16:D16)</f>
        <v>0</v>
      </c>
      <c r="F16" s="195">
        <v>0</v>
      </c>
      <c r="G16" s="210">
        <v>0</v>
      </c>
    </row>
    <row r="17" spans="1:29" ht="18" customHeight="1" thickBot="1">
      <c r="A17" s="216"/>
      <c r="B17" s="41" t="s">
        <v>3</v>
      </c>
      <c r="C17" s="42">
        <f>SUM(C8:C16)</f>
        <v>3505673.5230099508</v>
      </c>
      <c r="D17" s="42">
        <f>SUM(D8:D16)</f>
        <v>1274586.4272388059</v>
      </c>
      <c r="E17" s="42">
        <f>SUM(E8:E16)</f>
        <v>1615879.788557213</v>
      </c>
      <c r="F17" s="42">
        <v>1053777.8451492535</v>
      </c>
      <c r="G17" s="197">
        <v>7449917.5839552237</v>
      </c>
    </row>
    <row r="18" spans="1:29" ht="8.25" customHeight="1">
      <c r="A18" s="43"/>
      <c r="B18" s="44"/>
      <c r="C18" s="45"/>
      <c r="D18" s="45"/>
      <c r="E18" s="45"/>
      <c r="F18" s="45"/>
      <c r="G18" s="45"/>
    </row>
    <row r="19" spans="1:29" ht="33" customHeight="1">
      <c r="A19" s="43"/>
      <c r="B19" s="47" t="s">
        <v>56</v>
      </c>
      <c r="C19" s="48">
        <f>C25</f>
        <v>25</v>
      </c>
      <c r="D19" s="48">
        <f>D25</f>
        <v>8</v>
      </c>
      <c r="E19" s="48">
        <f>E25</f>
        <v>10</v>
      </c>
      <c r="F19" s="48">
        <f>F25</f>
        <v>8</v>
      </c>
      <c r="G19" s="48">
        <f>G25</f>
        <v>51</v>
      </c>
    </row>
    <row r="20" spans="1:29" ht="32.25" customHeight="1">
      <c r="A20" s="43"/>
      <c r="B20" s="44"/>
      <c r="C20" s="44"/>
      <c r="D20" s="46"/>
      <c r="E20" s="44"/>
      <c r="F20" s="44"/>
      <c r="G20" s="44"/>
    </row>
    <row r="21" spans="1:29" ht="24" hidden="1" customHeight="1" outlineLevel="1">
      <c r="A21" s="43"/>
      <c r="B21" s="27" t="s">
        <v>1</v>
      </c>
      <c r="C21" s="46"/>
      <c r="D21" s="46"/>
      <c r="E21" s="46"/>
      <c r="F21" s="46"/>
      <c r="G21" s="46"/>
    </row>
    <row r="22" spans="1:29" ht="24" hidden="1" customHeight="1" outlineLevel="1">
      <c r="B22" s="28" t="s">
        <v>65</v>
      </c>
      <c r="C22" s="46"/>
      <c r="D22" s="46"/>
      <c r="E22" s="46"/>
      <c r="F22" s="46"/>
      <c r="G22" s="46"/>
    </row>
    <row r="23" spans="1:29" ht="24" hidden="1" customHeight="1" outlineLevel="1">
      <c r="C23" s="46"/>
      <c r="D23" s="46"/>
      <c r="E23" s="46"/>
      <c r="F23" s="46"/>
      <c r="G23" s="46"/>
    </row>
    <row r="24" spans="1:29" ht="24" hidden="1" customHeight="1" outlineLevel="1">
      <c r="A24" s="44"/>
      <c r="C24" s="20" t="s">
        <v>145</v>
      </c>
      <c r="D24" s="20" t="s">
        <v>156</v>
      </c>
      <c r="E24" s="20" t="s">
        <v>157</v>
      </c>
      <c r="F24" s="20" t="s">
        <v>178</v>
      </c>
      <c r="G24" s="36" t="s">
        <v>11</v>
      </c>
    </row>
    <row r="25" spans="1:29" ht="24" hidden="1" customHeight="1" outlineLevel="1">
      <c r="A25" s="44"/>
      <c r="B25" s="36" t="s">
        <v>3</v>
      </c>
      <c r="C25" s="57">
        <v>25</v>
      </c>
      <c r="D25" s="57">
        <v>8</v>
      </c>
      <c r="E25" s="57">
        <v>10</v>
      </c>
      <c r="F25" s="57">
        <v>8</v>
      </c>
      <c r="G25" s="57">
        <v>51</v>
      </c>
    </row>
    <row r="26" spans="1:29" ht="24" hidden="1" customHeight="1" outlineLevel="1"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6.5" hidden="1" customHeight="1" outlineLevel="1" collapsed="1">
      <c r="A27" s="43"/>
      <c r="B27" s="27" t="s">
        <v>1</v>
      </c>
      <c r="C27" s="48"/>
      <c r="D27" s="48"/>
      <c r="E27" s="48"/>
      <c r="F27" s="48"/>
      <c r="G27" s="48"/>
    </row>
    <row r="28" spans="1:29" ht="18.75" hidden="1" customHeight="1" outlineLevel="1">
      <c r="A28" s="43"/>
      <c r="B28" s="28" t="s">
        <v>62</v>
      </c>
      <c r="C28" s="48"/>
      <c r="D28" s="48"/>
      <c r="E28" s="48"/>
      <c r="F28" s="48"/>
      <c r="G28" s="48"/>
    </row>
    <row r="29" spans="1:29" ht="12.75" customHeight="1" collapsed="1" thickBot="1">
      <c r="A29" s="43"/>
      <c r="B29" s="50"/>
      <c r="C29" s="50"/>
      <c r="D29" s="50"/>
      <c r="E29" s="50"/>
      <c r="F29" s="50"/>
      <c r="G29" s="50"/>
    </row>
    <row r="30" spans="1:29" s="40" customFormat="1" ht="36.75" customHeight="1" thickBot="1">
      <c r="A30" s="217">
        <v>2000</v>
      </c>
      <c r="B30" s="198" t="s">
        <v>58</v>
      </c>
      <c r="C30" s="193" t="s">
        <v>145</v>
      </c>
      <c r="D30" s="193" t="s">
        <v>156</v>
      </c>
      <c r="E30" s="193" t="s">
        <v>157</v>
      </c>
      <c r="F30" s="193" t="s">
        <v>178</v>
      </c>
      <c r="G30" s="196" t="s">
        <v>11</v>
      </c>
    </row>
    <row r="31" spans="1:29" ht="19.5" customHeight="1">
      <c r="A31" s="218"/>
      <c r="B31" s="199" t="s">
        <v>47</v>
      </c>
      <c r="C31" s="209">
        <v>1536775</v>
      </c>
      <c r="D31" s="209">
        <f>+(867544/10)*12</f>
        <v>1041052.7999999999</v>
      </c>
      <c r="E31" s="209">
        <v>566126</v>
      </c>
      <c r="F31" s="209">
        <v>895261</v>
      </c>
      <c r="G31" s="210">
        <f>SUM(C31:F31)</f>
        <v>4039214.8</v>
      </c>
    </row>
    <row r="32" spans="1:29" ht="18" customHeight="1">
      <c r="A32" s="218"/>
      <c r="B32" s="199" t="s">
        <v>48</v>
      </c>
      <c r="C32" s="209">
        <v>84367</v>
      </c>
      <c r="D32" s="209">
        <f>+(54983/10)*12</f>
        <v>65979.600000000006</v>
      </c>
      <c r="E32" s="209">
        <v>36464</v>
      </c>
      <c r="F32" s="209">
        <v>12432</v>
      </c>
      <c r="G32" s="210">
        <f t="shared" ref="G32:G39" si="0">SUM(C32:F32)</f>
        <v>199242.6</v>
      </c>
    </row>
    <row r="33" spans="1:29" ht="18" customHeight="1">
      <c r="A33" s="218"/>
      <c r="B33" s="199" t="s">
        <v>49</v>
      </c>
      <c r="C33" s="209">
        <v>39214</v>
      </c>
      <c r="D33" s="209">
        <f>+(17217/10)*12</f>
        <v>20660.400000000001</v>
      </c>
      <c r="E33" s="209">
        <v>27774</v>
      </c>
      <c r="F33" s="209">
        <v>16218</v>
      </c>
      <c r="G33" s="210">
        <f t="shared" si="0"/>
        <v>103866.4</v>
      </c>
    </row>
    <row r="34" spans="1:29" ht="18" customHeight="1">
      <c r="A34" s="218"/>
      <c r="B34" s="199" t="s">
        <v>50</v>
      </c>
      <c r="C34" s="209">
        <v>9528</v>
      </c>
      <c r="D34" s="209">
        <v>978.44</v>
      </c>
      <c r="E34" s="209">
        <v>0</v>
      </c>
      <c r="F34" s="209">
        <v>978.44</v>
      </c>
      <c r="G34" s="210">
        <f t="shared" si="0"/>
        <v>11484.880000000001</v>
      </c>
    </row>
    <row r="35" spans="1:29" ht="18" customHeight="1">
      <c r="A35" s="218"/>
      <c r="B35" s="199" t="s">
        <v>51</v>
      </c>
      <c r="C35" s="209">
        <v>446771</v>
      </c>
      <c r="D35" s="209">
        <f>+(959.6)*12</f>
        <v>11515.2</v>
      </c>
      <c r="E35" s="209">
        <v>66185</v>
      </c>
      <c r="F35" s="209">
        <v>10270</v>
      </c>
      <c r="G35" s="210">
        <f t="shared" si="0"/>
        <v>534741.19999999995</v>
      </c>
    </row>
    <row r="36" spans="1:29" ht="18" customHeight="1">
      <c r="A36" s="218"/>
      <c r="B36" s="199" t="s">
        <v>52</v>
      </c>
      <c r="C36" s="209">
        <v>0</v>
      </c>
      <c r="D36" s="209">
        <v>482.81</v>
      </c>
      <c r="E36" s="209">
        <v>3570</v>
      </c>
      <c r="F36" s="209">
        <v>5689</v>
      </c>
      <c r="G36" s="210">
        <f t="shared" si="0"/>
        <v>9741.81</v>
      </c>
    </row>
    <row r="37" spans="1:29" ht="18" customHeight="1">
      <c r="A37" s="218"/>
      <c r="B37" s="199" t="s">
        <v>53</v>
      </c>
      <c r="C37" s="209">
        <v>145937</v>
      </c>
      <c r="D37" s="209">
        <v>1361.4199999999946</v>
      </c>
      <c r="E37" s="209">
        <v>9932</v>
      </c>
      <c r="F37" s="209">
        <v>10469</v>
      </c>
      <c r="G37" s="210">
        <f t="shared" si="0"/>
        <v>167699.41999999998</v>
      </c>
    </row>
    <row r="38" spans="1:29" ht="18" customHeight="1">
      <c r="A38" s="218"/>
      <c r="B38" s="199" t="s">
        <v>54</v>
      </c>
      <c r="C38" s="209">
        <v>3511</v>
      </c>
      <c r="D38" s="209">
        <f>+(395.6)*12</f>
        <v>4747.2000000000007</v>
      </c>
      <c r="E38" s="209">
        <v>6082</v>
      </c>
      <c r="F38" s="209">
        <f>293+150</f>
        <v>443</v>
      </c>
      <c r="G38" s="210">
        <f t="shared" si="0"/>
        <v>14783.2</v>
      </c>
    </row>
    <row r="39" spans="1:29" ht="18" customHeight="1">
      <c r="A39" s="218"/>
      <c r="B39" s="199" t="s">
        <v>55</v>
      </c>
      <c r="C39" s="209">
        <v>0</v>
      </c>
      <c r="D39" s="209">
        <v>202</v>
      </c>
      <c r="E39" s="209">
        <v>0</v>
      </c>
      <c r="F39" s="209">
        <v>0</v>
      </c>
      <c r="G39" s="210">
        <f t="shared" si="0"/>
        <v>202</v>
      </c>
    </row>
    <row r="40" spans="1:29" ht="18" customHeight="1" thickBot="1">
      <c r="A40" s="219"/>
      <c r="B40" s="200" t="s">
        <v>3</v>
      </c>
      <c r="C40" s="42">
        <f>SUM(C31:C39)</f>
        <v>2266103</v>
      </c>
      <c r="D40" s="42">
        <f>SUM(D31:D39)</f>
        <v>1146979.8699999996</v>
      </c>
      <c r="E40" s="42">
        <f>SUM(E31:E39)</f>
        <v>716133</v>
      </c>
      <c r="F40" s="42">
        <f>SUM(F31:F39)</f>
        <v>951760.44</v>
      </c>
      <c r="G40" s="197">
        <f>SUM(G31:G39)</f>
        <v>5080976.3099999996</v>
      </c>
    </row>
    <row r="41" spans="1:29" ht="18" customHeight="1">
      <c r="A41" s="43"/>
      <c r="B41" s="51"/>
      <c r="C41" s="52"/>
      <c r="D41" s="52"/>
      <c r="E41" s="52"/>
      <c r="F41" s="52"/>
      <c r="G41" s="52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8" customHeight="1">
      <c r="A42" s="53"/>
      <c r="B42" s="44"/>
      <c r="C42" s="46"/>
      <c r="D42" s="46"/>
      <c r="E42" s="46"/>
      <c r="F42" s="46"/>
      <c r="G42" s="46"/>
    </row>
    <row r="43" spans="1:29" ht="18" hidden="1" customHeight="1" outlineLevel="1" collapsed="1">
      <c r="A43" s="56"/>
      <c r="B43" s="27" t="s">
        <v>1</v>
      </c>
      <c r="C43" s="55"/>
      <c r="D43" s="55"/>
      <c r="E43" s="55"/>
      <c r="F43" s="55"/>
      <c r="G43" s="55"/>
    </row>
    <row r="44" spans="1:29" ht="18" hidden="1" customHeight="1" outlineLevel="1">
      <c r="B44" s="28" t="s">
        <v>63</v>
      </c>
      <c r="C44" s="55"/>
      <c r="D44" s="55"/>
      <c r="E44" s="55"/>
      <c r="F44" s="55"/>
      <c r="G44" s="55"/>
    </row>
    <row r="45" spans="1:29" ht="18" hidden="1" customHeight="1" outlineLevel="1">
      <c r="C45" s="55"/>
      <c r="D45" s="55"/>
      <c r="E45" s="55"/>
      <c r="F45" s="55"/>
      <c r="G45" s="55"/>
    </row>
    <row r="46" spans="1:29" ht="18" hidden="1" customHeight="1" outlineLevel="1">
      <c r="A46" s="54"/>
      <c r="C46" s="20" t="s">
        <v>145</v>
      </c>
      <c r="D46" s="20" t="s">
        <v>156</v>
      </c>
      <c r="E46" s="20" t="s">
        <v>157</v>
      </c>
      <c r="F46" s="20" t="s">
        <v>178</v>
      </c>
      <c r="G46" s="36" t="s">
        <v>11</v>
      </c>
    </row>
    <row r="47" spans="1:29" ht="18" hidden="1" customHeight="1" outlineLevel="1">
      <c r="A47" s="54"/>
      <c r="B47" s="36" t="s">
        <v>3</v>
      </c>
      <c r="C47" s="57">
        <v>14</v>
      </c>
      <c r="D47" s="57">
        <v>5</v>
      </c>
      <c r="E47" s="57">
        <v>8</v>
      </c>
      <c r="F47" s="57">
        <v>6</v>
      </c>
      <c r="G47" s="57">
        <v>33</v>
      </c>
    </row>
    <row r="48" spans="1:29" ht="33" customHeight="1" collapsed="1">
      <c r="B48" s="58" t="s">
        <v>64</v>
      </c>
      <c r="C48" s="55">
        <v>21</v>
      </c>
      <c r="D48" s="55">
        <v>3</v>
      </c>
      <c r="E48" s="55">
        <v>7</v>
      </c>
      <c r="F48" s="55">
        <v>6</v>
      </c>
      <c r="G48" s="55">
        <f>SUM(C48:F48)</f>
        <v>37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7" ht="18" customHeight="1" thickBot="1">
      <c r="A49" s="56"/>
      <c r="B49" s="59"/>
      <c r="C49" s="60"/>
      <c r="D49" s="60"/>
      <c r="E49" s="60"/>
      <c r="F49" s="60"/>
      <c r="G49" s="60"/>
    </row>
    <row r="50" spans="1:7" ht="30.75" thickBot="1">
      <c r="A50" s="217" t="s">
        <v>187</v>
      </c>
      <c r="B50" s="198" t="s">
        <v>58</v>
      </c>
      <c r="C50" s="193" t="s">
        <v>145</v>
      </c>
      <c r="D50" s="193" t="s">
        <v>156</v>
      </c>
      <c r="E50" s="193" t="s">
        <v>157</v>
      </c>
      <c r="F50" s="193" t="s">
        <v>178</v>
      </c>
      <c r="G50" s="196" t="s">
        <v>11</v>
      </c>
    </row>
    <row r="51" spans="1:7" ht="18" customHeight="1">
      <c r="A51" s="218"/>
      <c r="B51" s="199" t="s">
        <v>47</v>
      </c>
      <c r="C51" s="209">
        <f>+C31-C8</f>
        <v>-846456.73196517443</v>
      </c>
      <c r="D51" s="209">
        <f>+D31-D8</f>
        <v>-13264.970522388001</v>
      </c>
      <c r="E51" s="209">
        <f>+E31-E8</f>
        <v>-717049.31094527338</v>
      </c>
      <c r="F51" s="209">
        <f>+F31-F8</f>
        <v>16790.617537313607</v>
      </c>
      <c r="G51" s="210">
        <f>+G31-G8</f>
        <v>-1559980.395895523</v>
      </c>
    </row>
    <row r="52" spans="1:7" ht="18" customHeight="1">
      <c r="A52" s="218"/>
      <c r="B52" s="199" t="s">
        <v>48</v>
      </c>
      <c r="C52" s="209">
        <f t="shared" ref="C52:G59" si="1">+C32-C9</f>
        <v>-284964.34328358195</v>
      </c>
      <c r="D52" s="209">
        <f t="shared" si="1"/>
        <v>-18820.400000000067</v>
      </c>
      <c r="E52" s="209">
        <f t="shared" si="1"/>
        <v>-248276.29850746226</v>
      </c>
      <c r="F52" s="209">
        <f t="shared" si="1"/>
        <v>-104630.68656716411</v>
      </c>
      <c r="G52" s="210">
        <f t="shared" si="1"/>
        <v>-656691.72835820832</v>
      </c>
    </row>
    <row r="53" spans="1:7" ht="18" customHeight="1">
      <c r="A53" s="218"/>
      <c r="B53" s="199" t="s">
        <v>49</v>
      </c>
      <c r="C53" s="209">
        <f t="shared" si="1"/>
        <v>-1383.0149253731215</v>
      </c>
      <c r="D53" s="209">
        <f t="shared" si="1"/>
        <v>17078.3104477612</v>
      </c>
      <c r="E53" s="209">
        <f t="shared" si="1"/>
        <v>20609.820895522382</v>
      </c>
      <c r="F53" s="209">
        <f t="shared" si="1"/>
        <v>13531.432835820891</v>
      </c>
      <c r="G53" s="210">
        <f t="shared" si="1"/>
        <v>49836.54925373134</v>
      </c>
    </row>
    <row r="54" spans="1:7" ht="18" customHeight="1">
      <c r="A54" s="218"/>
      <c r="B54" s="199" t="s">
        <v>50</v>
      </c>
      <c r="C54" s="209">
        <f t="shared" si="1"/>
        <v>9528</v>
      </c>
      <c r="D54" s="209">
        <f t="shared" si="1"/>
        <v>978.44</v>
      </c>
      <c r="E54" s="209">
        <f t="shared" si="1"/>
        <v>0</v>
      </c>
      <c r="F54" s="209">
        <f t="shared" si="1"/>
        <v>-11558.873432835819</v>
      </c>
      <c r="G54" s="210">
        <f t="shared" si="1"/>
        <v>-1052.4334328358182</v>
      </c>
    </row>
    <row r="55" spans="1:7" ht="18" customHeight="1">
      <c r="A55" s="218"/>
      <c r="B55" s="199" t="s">
        <v>51</v>
      </c>
      <c r="C55" s="209">
        <f t="shared" si="1"/>
        <v>-78596.164179104846</v>
      </c>
      <c r="D55" s="209">
        <f t="shared" si="1"/>
        <v>-10866.889552238783</v>
      </c>
      <c r="E55" s="209">
        <f t="shared" si="1"/>
        <v>66185</v>
      </c>
      <c r="F55" s="209">
        <f t="shared" si="1"/>
        <v>10270</v>
      </c>
      <c r="G55" s="210">
        <f t="shared" si="1"/>
        <v>-13008.053731343593</v>
      </c>
    </row>
    <row r="56" spans="1:7" ht="18" customHeight="1">
      <c r="A56" s="218"/>
      <c r="B56" s="199" t="s">
        <v>52</v>
      </c>
      <c r="C56" s="209">
        <f t="shared" si="1"/>
        <v>0</v>
      </c>
      <c r="D56" s="209">
        <f t="shared" si="1"/>
        <v>482.81</v>
      </c>
      <c r="E56" s="209">
        <f t="shared" si="1"/>
        <v>3570</v>
      </c>
      <c r="F56" s="209">
        <f t="shared" si="1"/>
        <v>5689</v>
      </c>
      <c r="G56" s="210">
        <f t="shared" si="1"/>
        <v>9741.81</v>
      </c>
    </row>
    <row r="57" spans="1:7" ht="18" customHeight="1">
      <c r="A57" s="218"/>
      <c r="B57" s="199" t="s">
        <v>53</v>
      </c>
      <c r="C57" s="209">
        <f t="shared" si="1"/>
        <v>-37627.179104477604</v>
      </c>
      <c r="D57" s="209">
        <f t="shared" si="1"/>
        <v>-103665.44567164181</v>
      </c>
      <c r="E57" s="209">
        <f t="shared" si="1"/>
        <v>-25494.865671641761</v>
      </c>
      <c r="F57" s="209">
        <f t="shared" si="1"/>
        <v>-28074.283582089527</v>
      </c>
      <c r="G57" s="210">
        <f t="shared" si="1"/>
        <v>-194861.77402985073</v>
      </c>
    </row>
    <row r="58" spans="1:7" ht="18" customHeight="1">
      <c r="A58" s="218"/>
      <c r="B58" s="199" t="s">
        <v>54</v>
      </c>
      <c r="C58" s="209">
        <f t="shared" si="1"/>
        <v>-71.089552238804117</v>
      </c>
      <c r="D58" s="209">
        <f t="shared" si="1"/>
        <v>269.58805970149297</v>
      </c>
      <c r="E58" s="209">
        <f t="shared" si="1"/>
        <v>708.86567164178814</v>
      </c>
      <c r="F58" s="209">
        <f t="shared" si="1"/>
        <v>-4034.6119402985078</v>
      </c>
      <c r="G58" s="210">
        <f t="shared" si="1"/>
        <v>-3127.2477611940303</v>
      </c>
    </row>
    <row r="59" spans="1:7" ht="18" customHeight="1">
      <c r="A59" s="218"/>
      <c r="B59" s="199" t="s">
        <v>55</v>
      </c>
      <c r="C59" s="209">
        <f t="shared" si="1"/>
        <v>0</v>
      </c>
      <c r="D59" s="209">
        <f t="shared" si="1"/>
        <v>202</v>
      </c>
      <c r="E59" s="209">
        <f t="shared" si="1"/>
        <v>0</v>
      </c>
      <c r="F59" s="209">
        <f t="shared" si="1"/>
        <v>0</v>
      </c>
      <c r="G59" s="210">
        <f t="shared" si="1"/>
        <v>202</v>
      </c>
    </row>
    <row r="60" spans="1:7" ht="18" customHeight="1" thickBot="1">
      <c r="A60" s="219"/>
      <c r="B60" s="200" t="s">
        <v>3</v>
      </c>
      <c r="C60" s="42">
        <f>SUM(C51:C59)</f>
        <v>-1239570.5230099508</v>
      </c>
      <c r="D60" s="42">
        <f>SUM(D51:D59)</f>
        <v>-127606.55723880597</v>
      </c>
      <c r="E60" s="42">
        <f>SUM(E51:E59)</f>
        <v>-899746.78855721327</v>
      </c>
      <c r="F60" s="42">
        <f>SUM(F51:F59)</f>
        <v>-102017.40514925348</v>
      </c>
      <c r="G60" s="197">
        <f>SUM(G51:G59)</f>
        <v>-2368941.2739552236</v>
      </c>
    </row>
    <row r="61" spans="1:7">
      <c r="A61" s="43"/>
      <c r="B61" s="51"/>
      <c r="C61" s="52"/>
      <c r="D61" s="52"/>
      <c r="E61" s="52"/>
      <c r="F61" s="52"/>
      <c r="G61" s="52"/>
    </row>
    <row r="62" spans="1:7" ht="15">
      <c r="A62" s="53"/>
      <c r="B62" s="44"/>
      <c r="C62" s="46"/>
      <c r="D62" s="46"/>
      <c r="E62" s="46"/>
      <c r="F62" s="46"/>
      <c r="G62" s="46"/>
    </row>
    <row r="63" spans="1:7" ht="15">
      <c r="B63" s="58" t="s">
        <v>64</v>
      </c>
      <c r="C63" s="55">
        <f>+C19-C48</f>
        <v>4</v>
      </c>
      <c r="D63" s="55">
        <f>+D19-D48</f>
        <v>5</v>
      </c>
      <c r="E63" s="55">
        <f>+E19-E48</f>
        <v>3</v>
      </c>
      <c r="F63" s="55">
        <f>+F19-F48</f>
        <v>2</v>
      </c>
      <c r="G63" s="55">
        <f>+G19-G48</f>
        <v>14</v>
      </c>
    </row>
  </sheetData>
  <mergeCells count="3">
    <mergeCell ref="A7:A17"/>
    <mergeCell ref="A30:A40"/>
    <mergeCell ref="A50:A6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53" orientation="landscape" r:id="rId1"/>
  <headerFooter alignWithMargins="0">
    <oddFooter>&amp;LEnron Europe Confidential&amp;C&amp;"Arial,Bold"&amp;11 22&amp;12
&amp;"Arial,Regular"&amp;10Source: Financial Planning Analysis&amp;RPrinted: 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2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8" r:id="rId6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8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9" name="adaytum_page_4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0</xdr:colOff>
                    <xdr:row>63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2"/>
  <sheetViews>
    <sheetView topLeftCell="B52" workbookViewId="0">
      <selection activeCell="B3" sqref="B3:H3"/>
    </sheetView>
  </sheetViews>
  <sheetFormatPr defaultRowHeight="12.75"/>
  <cols>
    <col min="1" max="1" width="7.28515625" style="71" customWidth="1"/>
    <col min="2" max="2" width="31.85546875" style="142" customWidth="1"/>
    <col min="3" max="4" width="7.5703125" style="142" customWidth="1"/>
    <col min="5" max="5" width="11.28515625" style="142" customWidth="1"/>
    <col min="6" max="6" width="3.140625" style="50" customWidth="1"/>
    <col min="7" max="7" width="11.28515625" style="142" customWidth="1"/>
    <col min="8" max="8" width="57.5703125" style="142" customWidth="1"/>
    <col min="9" max="9" width="6.85546875" style="71" customWidth="1"/>
    <col min="10" max="16384" width="9.140625" style="71"/>
  </cols>
  <sheetData>
    <row r="1" spans="1:9" ht="18.75" customHeight="1">
      <c r="A1" s="67"/>
      <c r="B1" s="68"/>
      <c r="C1" s="68"/>
      <c r="D1" s="68"/>
      <c r="E1" s="68"/>
      <c r="F1" s="69"/>
      <c r="G1" s="68"/>
      <c r="H1" s="68"/>
      <c r="I1" s="70"/>
    </row>
    <row r="2" spans="1:9" ht="24.75" customHeight="1">
      <c r="A2" s="72"/>
      <c r="B2" s="220" t="s">
        <v>85</v>
      </c>
      <c r="C2" s="221"/>
      <c r="D2" s="221"/>
      <c r="E2" s="221"/>
      <c r="F2" s="221"/>
      <c r="G2" s="221"/>
      <c r="H2" s="222"/>
      <c r="I2" s="73"/>
    </row>
    <row r="3" spans="1:9" ht="29.25" customHeight="1">
      <c r="A3" s="72"/>
      <c r="B3" s="223" t="s">
        <v>86</v>
      </c>
      <c r="C3" s="223"/>
      <c r="D3" s="223"/>
      <c r="E3" s="223"/>
      <c r="F3" s="223"/>
      <c r="G3" s="223"/>
      <c r="H3" s="223"/>
      <c r="I3" s="73"/>
    </row>
    <row r="4" spans="1:9" ht="15.75" customHeight="1">
      <c r="A4" s="72"/>
      <c r="B4" s="74"/>
      <c r="C4" s="71"/>
      <c r="D4" s="71"/>
      <c r="E4" s="75" t="s">
        <v>87</v>
      </c>
      <c r="F4" s="76"/>
      <c r="G4" s="75" t="s">
        <v>88</v>
      </c>
      <c r="H4" s="71"/>
      <c r="I4" s="73"/>
    </row>
    <row r="5" spans="1:9" ht="17.25" customHeight="1">
      <c r="A5" s="72"/>
      <c r="B5" s="77" t="s">
        <v>16</v>
      </c>
      <c r="C5" s="78"/>
      <c r="D5" s="78"/>
      <c r="E5" s="177">
        <v>51</v>
      </c>
      <c r="F5" s="79"/>
      <c r="G5" s="177">
        <v>37</v>
      </c>
      <c r="H5" s="80" t="s">
        <v>89</v>
      </c>
      <c r="I5" s="73"/>
    </row>
    <row r="6" spans="1:9" ht="13.5" thickBot="1">
      <c r="A6" s="72"/>
      <c r="B6" s="81"/>
      <c r="C6" s="71"/>
      <c r="D6" s="71"/>
      <c r="E6" s="71"/>
      <c r="F6" s="82"/>
      <c r="G6" s="71"/>
      <c r="H6" s="71"/>
      <c r="I6" s="73"/>
    </row>
    <row r="7" spans="1:9" ht="4.5" customHeight="1" thickTop="1">
      <c r="A7" s="72"/>
      <c r="B7" s="83"/>
      <c r="C7" s="84"/>
      <c r="D7" s="85"/>
      <c r="E7" s="84"/>
      <c r="F7" s="86"/>
      <c r="G7" s="84"/>
      <c r="H7" s="87"/>
      <c r="I7" s="73"/>
    </row>
    <row r="8" spans="1:9" ht="15">
      <c r="A8" s="72"/>
      <c r="B8" s="88" t="s">
        <v>90</v>
      </c>
      <c r="C8" s="71"/>
      <c r="D8" s="89"/>
      <c r="E8" s="71" t="s">
        <v>58</v>
      </c>
      <c r="F8" s="82"/>
      <c r="G8" s="71" t="s">
        <v>58</v>
      </c>
      <c r="H8" s="90"/>
      <c r="I8" s="73"/>
    </row>
    <row r="9" spans="1:9" ht="19.5" customHeight="1">
      <c r="A9" s="72"/>
      <c r="B9" s="91" t="s">
        <v>91</v>
      </c>
      <c r="C9" s="71"/>
      <c r="D9" s="71"/>
      <c r="E9" s="178">
        <v>5599195</v>
      </c>
      <c r="F9" s="92"/>
      <c r="G9" s="178">
        <v>4039216</v>
      </c>
      <c r="H9" s="90"/>
      <c r="I9" s="73"/>
    </row>
    <row r="10" spans="1:9" ht="25.5" customHeight="1">
      <c r="A10" s="72"/>
      <c r="B10" s="93" t="s">
        <v>92</v>
      </c>
      <c r="C10" s="71"/>
      <c r="D10" s="71"/>
      <c r="E10" s="94">
        <f>IF(E5=0,0,E9/E5)</f>
        <v>109788.13725490196</v>
      </c>
      <c r="F10" s="82"/>
      <c r="G10" s="94">
        <f>IF(G5=0,0,G9/G5)</f>
        <v>109168</v>
      </c>
      <c r="H10" s="90"/>
      <c r="I10" s="73"/>
    </row>
    <row r="11" spans="1:9">
      <c r="A11" s="72"/>
      <c r="B11" s="93"/>
      <c r="C11" s="71"/>
      <c r="D11" s="71"/>
      <c r="E11" s="71"/>
      <c r="F11" s="82"/>
      <c r="G11" s="71"/>
      <c r="H11" s="90"/>
      <c r="I11" s="73"/>
    </row>
    <row r="12" spans="1:9" ht="15">
      <c r="A12" s="72"/>
      <c r="B12" s="95" t="s">
        <v>93</v>
      </c>
      <c r="C12" s="71"/>
      <c r="D12" s="179">
        <f>7+11+4</f>
        <v>22</v>
      </c>
      <c r="E12" s="71"/>
      <c r="F12" s="82"/>
      <c r="G12" s="71"/>
      <c r="H12" s="90" t="s">
        <v>94</v>
      </c>
      <c r="I12" s="73"/>
    </row>
    <row r="13" spans="1:9" ht="15.75" customHeight="1">
      <c r="A13" s="72"/>
      <c r="B13" s="95"/>
      <c r="C13" s="71"/>
      <c r="D13" s="179">
        <v>10</v>
      </c>
      <c r="E13" s="71"/>
      <c r="F13" s="82"/>
      <c r="G13" s="71"/>
      <c r="H13" s="90" t="s">
        <v>189</v>
      </c>
      <c r="I13" s="73"/>
    </row>
    <row r="14" spans="1:9" ht="15.75" customHeight="1">
      <c r="A14" s="72"/>
      <c r="B14" s="95"/>
      <c r="C14" s="71"/>
      <c r="D14" s="179">
        <f>-2+7</f>
        <v>5</v>
      </c>
      <c r="E14" s="71"/>
      <c r="F14" s="82"/>
      <c r="G14" s="71"/>
      <c r="H14" s="90"/>
      <c r="I14" s="73"/>
    </row>
    <row r="15" spans="1:9" ht="15">
      <c r="A15" s="72"/>
      <c r="B15" s="95" t="s">
        <v>95</v>
      </c>
      <c r="C15" s="71"/>
      <c r="D15" s="180">
        <f>+D12+D13+D14</f>
        <v>37</v>
      </c>
      <c r="E15" s="71"/>
      <c r="F15" s="82"/>
      <c r="G15" s="71"/>
      <c r="H15" s="90"/>
      <c r="I15" s="73"/>
    </row>
    <row r="16" spans="1:9" ht="38.25">
      <c r="A16" s="72"/>
      <c r="B16" s="96"/>
      <c r="C16" s="179">
        <v>4</v>
      </c>
      <c r="D16" s="71"/>
      <c r="E16" s="71"/>
      <c r="F16" s="82"/>
      <c r="G16" s="71"/>
      <c r="H16" s="90" t="s">
        <v>96</v>
      </c>
      <c r="I16" s="73"/>
    </row>
    <row r="17" spans="1:9" ht="25.5">
      <c r="A17" s="72"/>
      <c r="B17" s="96"/>
      <c r="C17" s="179">
        <v>5</v>
      </c>
      <c r="D17" s="71"/>
      <c r="E17" s="71"/>
      <c r="F17" s="82"/>
      <c r="G17" s="71"/>
      <c r="H17" s="90" t="s">
        <v>97</v>
      </c>
      <c r="I17" s="73"/>
    </row>
    <row r="18" spans="1:9" ht="14.25" customHeight="1">
      <c r="A18" s="72"/>
      <c r="B18" s="96"/>
      <c r="C18" s="179">
        <v>2</v>
      </c>
      <c r="D18" s="71"/>
      <c r="E18" s="71"/>
      <c r="F18" s="82"/>
      <c r="G18" s="71"/>
      <c r="H18" s="90" t="s">
        <v>98</v>
      </c>
      <c r="I18" s="73"/>
    </row>
    <row r="19" spans="1:9" ht="12.75" customHeight="1">
      <c r="A19" s="72"/>
      <c r="B19" s="97"/>
      <c r="C19" s="179">
        <v>3</v>
      </c>
      <c r="D19" s="71"/>
      <c r="E19" s="71"/>
      <c r="F19" s="82"/>
      <c r="G19" s="71"/>
      <c r="H19" s="90" t="s">
        <v>99</v>
      </c>
      <c r="I19" s="73"/>
    </row>
    <row r="20" spans="1:9" ht="9.75" customHeight="1">
      <c r="A20" s="72"/>
      <c r="B20" s="98" t="s">
        <v>100</v>
      </c>
      <c r="C20" s="71"/>
      <c r="D20" s="99">
        <f>+D15+C16+C17+C18+C19</f>
        <v>51</v>
      </c>
      <c r="E20" s="71"/>
      <c r="F20" s="82"/>
      <c r="G20" s="71"/>
      <c r="H20" s="90"/>
      <c r="I20" s="73"/>
    </row>
    <row r="21" spans="1:9" ht="13.5" thickBot="1">
      <c r="A21" s="72"/>
      <c r="B21" s="100"/>
      <c r="C21" s="101"/>
      <c r="D21" s="101"/>
      <c r="E21" s="101"/>
      <c r="F21" s="101"/>
      <c r="G21" s="101"/>
      <c r="H21" s="102"/>
      <c r="I21" s="73"/>
    </row>
    <row r="22" spans="1:9" ht="14.25" thickTop="1" thickBot="1">
      <c r="A22" s="72"/>
      <c r="B22" s="81"/>
      <c r="C22" s="71"/>
      <c r="D22" s="71"/>
      <c r="E22" s="71"/>
      <c r="F22" s="82"/>
      <c r="G22" s="71"/>
      <c r="H22" s="103"/>
      <c r="I22" s="73"/>
    </row>
    <row r="23" spans="1:9" ht="13.5" thickTop="1">
      <c r="A23" s="72"/>
      <c r="B23" s="83"/>
      <c r="C23" s="84"/>
      <c r="D23" s="85"/>
      <c r="E23" s="84"/>
      <c r="F23" s="86"/>
      <c r="G23" s="84"/>
      <c r="H23" s="87"/>
      <c r="I23" s="73"/>
    </row>
    <row r="24" spans="1:9" ht="15">
      <c r="A24" s="72"/>
      <c r="B24" s="88" t="s">
        <v>101</v>
      </c>
      <c r="C24" s="71"/>
      <c r="D24" s="89"/>
      <c r="E24" s="71"/>
      <c r="F24" s="82"/>
      <c r="G24" s="71"/>
      <c r="H24" s="90"/>
      <c r="I24" s="73"/>
    </row>
    <row r="25" spans="1:9">
      <c r="A25" s="72"/>
      <c r="B25" s="104"/>
      <c r="C25" s="71"/>
      <c r="D25" s="89"/>
      <c r="E25" s="71"/>
      <c r="F25" s="82"/>
      <c r="G25" s="71"/>
      <c r="H25" s="90"/>
      <c r="I25" s="73"/>
    </row>
    <row r="26" spans="1:9">
      <c r="A26" s="72"/>
      <c r="B26" s="91" t="s">
        <v>102</v>
      </c>
      <c r="C26" s="71"/>
      <c r="D26" s="89"/>
      <c r="E26" s="71"/>
      <c r="F26" s="82"/>
      <c r="G26" s="71"/>
      <c r="H26" s="90"/>
      <c r="I26" s="73"/>
    </row>
    <row r="27" spans="1:9">
      <c r="A27" s="72"/>
      <c r="B27" s="105" t="s">
        <v>103</v>
      </c>
      <c r="C27" s="106">
        <v>5000</v>
      </c>
      <c r="D27" s="107">
        <v>0</v>
      </c>
      <c r="E27" s="106">
        <f>D27*C27</f>
        <v>0</v>
      </c>
      <c r="F27" s="108"/>
      <c r="G27" s="106"/>
      <c r="H27" s="90"/>
      <c r="I27" s="73"/>
    </row>
    <row r="28" spans="1:9">
      <c r="A28" s="72"/>
      <c r="B28" s="105" t="s">
        <v>104</v>
      </c>
      <c r="C28" s="106">
        <v>10000</v>
      </c>
      <c r="D28" s="107">
        <v>0</v>
      </c>
      <c r="E28" s="106">
        <f>D28*C28</f>
        <v>0</v>
      </c>
      <c r="F28" s="108"/>
      <c r="G28" s="106"/>
      <c r="H28" s="90"/>
      <c r="I28" s="73"/>
    </row>
    <row r="29" spans="1:9">
      <c r="A29" s="72"/>
      <c r="B29" s="104"/>
      <c r="C29" s="71"/>
      <c r="D29" s="89"/>
      <c r="E29" s="106"/>
      <c r="F29" s="82"/>
      <c r="G29" s="71"/>
      <c r="H29" s="90"/>
      <c r="I29" s="73"/>
    </row>
    <row r="30" spans="1:9">
      <c r="A30" s="72"/>
      <c r="B30" s="91" t="s">
        <v>105</v>
      </c>
      <c r="C30" s="71"/>
      <c r="D30" s="89"/>
      <c r="E30" s="71"/>
      <c r="F30" s="82"/>
      <c r="G30" s="71"/>
      <c r="H30" s="90"/>
      <c r="I30" s="73"/>
    </row>
    <row r="31" spans="1:9">
      <c r="A31" s="72"/>
      <c r="B31" s="105" t="s">
        <v>103</v>
      </c>
      <c r="C31" s="106">
        <f>1500*1.5</f>
        <v>2250</v>
      </c>
      <c r="D31" s="181">
        <v>33</v>
      </c>
      <c r="E31" s="106">
        <f>D31*C31</f>
        <v>74250</v>
      </c>
      <c r="F31" s="82"/>
      <c r="G31" s="71"/>
      <c r="H31" s="90"/>
      <c r="I31" s="73"/>
    </row>
    <row r="32" spans="1:9" ht="38.25">
      <c r="A32" s="72"/>
      <c r="B32" s="105" t="s">
        <v>104</v>
      </c>
      <c r="C32" s="106">
        <f>3600*1.5</f>
        <v>5400</v>
      </c>
      <c r="D32" s="181">
        <v>65</v>
      </c>
      <c r="E32" s="106">
        <f>D32*C32</f>
        <v>351000</v>
      </c>
      <c r="F32" s="82"/>
      <c r="G32" s="71"/>
      <c r="H32" s="90" t="s">
        <v>182</v>
      </c>
      <c r="I32" s="73"/>
    </row>
    <row r="33" spans="1:9">
      <c r="A33" s="72"/>
      <c r="B33" s="104"/>
      <c r="C33" s="71"/>
      <c r="D33" s="89"/>
      <c r="E33" s="106"/>
      <c r="F33" s="82"/>
      <c r="G33" s="71"/>
      <c r="H33" s="90"/>
      <c r="I33" s="73"/>
    </row>
    <row r="34" spans="1:9">
      <c r="A34" s="72"/>
      <c r="B34" s="91" t="s">
        <v>106</v>
      </c>
      <c r="C34" s="71"/>
      <c r="D34" s="89"/>
      <c r="E34" s="71"/>
      <c r="F34" s="82"/>
      <c r="G34" s="71"/>
      <c r="H34" s="90"/>
      <c r="I34" s="73"/>
    </row>
    <row r="35" spans="1:9">
      <c r="A35" s="72"/>
      <c r="B35" s="105" t="s">
        <v>103</v>
      </c>
      <c r="C35" s="106">
        <f>300*1.5</f>
        <v>450</v>
      </c>
      <c r="D35" s="181">
        <v>35</v>
      </c>
      <c r="E35" s="106">
        <f>D35*C35</f>
        <v>15750</v>
      </c>
      <c r="F35" s="82"/>
      <c r="G35" s="71"/>
      <c r="H35" s="90"/>
      <c r="I35" s="73"/>
    </row>
    <row r="36" spans="1:9" ht="25.5">
      <c r="A36" s="72"/>
      <c r="B36" s="105" t="s">
        <v>104</v>
      </c>
      <c r="C36" s="106">
        <f>500*1.5</f>
        <v>750</v>
      </c>
      <c r="D36" s="181">
        <v>139</v>
      </c>
      <c r="E36" s="106">
        <f>D36*C36</f>
        <v>104250</v>
      </c>
      <c r="F36" s="82"/>
      <c r="G36" s="71"/>
      <c r="H36" s="90" t="s">
        <v>107</v>
      </c>
      <c r="I36" s="73"/>
    </row>
    <row r="37" spans="1:9">
      <c r="A37" s="72"/>
      <c r="B37" s="105"/>
      <c r="C37" s="106"/>
      <c r="D37" s="109"/>
      <c r="E37" s="106"/>
      <c r="F37" s="82"/>
      <c r="G37" s="71"/>
      <c r="H37" s="90"/>
      <c r="I37" s="73"/>
    </row>
    <row r="38" spans="1:9">
      <c r="A38" s="72"/>
      <c r="B38" s="96" t="s">
        <v>108</v>
      </c>
      <c r="C38" s="106">
        <v>250</v>
      </c>
      <c r="D38" s="181">
        <v>1012</v>
      </c>
      <c r="E38" s="106">
        <f>D38*C38</f>
        <v>253000</v>
      </c>
      <c r="F38" s="82"/>
      <c r="G38" s="71"/>
      <c r="H38" s="90" t="s">
        <v>109</v>
      </c>
      <c r="I38" s="73"/>
    </row>
    <row r="39" spans="1:9">
      <c r="A39" s="72"/>
      <c r="B39" s="105" t="s">
        <v>110</v>
      </c>
      <c r="C39" s="71"/>
      <c r="D39" s="89"/>
      <c r="E39" s="106"/>
      <c r="F39" s="82"/>
      <c r="G39" s="71"/>
      <c r="H39" s="90"/>
      <c r="I39" s="73"/>
    </row>
    <row r="40" spans="1:9">
      <c r="A40" s="72"/>
      <c r="B40" s="104"/>
      <c r="C40" s="71"/>
      <c r="D40" s="89"/>
      <c r="E40" s="106"/>
      <c r="F40" s="82"/>
      <c r="G40" s="71"/>
      <c r="H40" s="90"/>
      <c r="I40" s="73"/>
    </row>
    <row r="41" spans="1:9" s="82" customFormat="1">
      <c r="A41" s="110"/>
      <c r="B41" s="104" t="s">
        <v>111</v>
      </c>
      <c r="C41" s="71"/>
      <c r="D41" s="182">
        <v>159</v>
      </c>
      <c r="E41" s="106">
        <f>D41*$E$5</f>
        <v>8109</v>
      </c>
      <c r="G41" s="71"/>
      <c r="H41" s="90"/>
      <c r="I41" s="112"/>
    </row>
    <row r="42" spans="1:9" s="82" customFormat="1">
      <c r="A42" s="110"/>
      <c r="B42" s="104"/>
      <c r="C42" s="71"/>
      <c r="D42" s="89"/>
      <c r="E42" s="106"/>
      <c r="G42" s="71"/>
      <c r="H42" s="90"/>
      <c r="I42" s="112"/>
    </row>
    <row r="43" spans="1:9" ht="10.5" customHeight="1">
      <c r="A43" s="72"/>
      <c r="B43" s="93" t="s">
        <v>112</v>
      </c>
      <c r="C43" s="71"/>
      <c r="D43" s="183">
        <f>E43/E5</f>
        <v>972.05882352941171</v>
      </c>
      <c r="E43" s="106">
        <v>49575</v>
      </c>
      <c r="F43" s="82"/>
      <c r="G43" s="71"/>
      <c r="H43" s="90" t="s">
        <v>113</v>
      </c>
      <c r="I43" s="73"/>
    </row>
    <row r="44" spans="1:9" ht="7.5" customHeight="1">
      <c r="A44" s="72"/>
      <c r="B44" s="113" t="s">
        <v>114</v>
      </c>
      <c r="C44" s="114"/>
      <c r="D44" s="115"/>
      <c r="E44" s="116" t="s">
        <v>114</v>
      </c>
      <c r="F44" s="82"/>
      <c r="G44" s="82"/>
      <c r="H44" s="117"/>
      <c r="I44" s="73"/>
    </row>
    <row r="45" spans="1:9" ht="13.5" customHeight="1" thickBot="1">
      <c r="A45" s="72"/>
      <c r="B45" s="118" t="s">
        <v>115</v>
      </c>
      <c r="C45" s="119"/>
      <c r="D45" s="120"/>
      <c r="E45" s="121">
        <f>SUM(E31:E43)+SUM(E27:E28)</f>
        <v>855934</v>
      </c>
      <c r="F45" s="122"/>
      <c r="G45" s="121">
        <v>199243</v>
      </c>
      <c r="H45" s="90"/>
      <c r="I45" s="73"/>
    </row>
    <row r="46" spans="1:9" ht="13.5" thickBot="1">
      <c r="A46" s="72"/>
      <c r="B46" s="100"/>
      <c r="C46" s="101"/>
      <c r="D46" s="101"/>
      <c r="E46" s="101"/>
      <c r="F46" s="101"/>
      <c r="G46" s="101"/>
      <c r="H46" s="102"/>
      <c r="I46" s="73"/>
    </row>
    <row r="47" spans="1:9" ht="14.25" thickTop="1" thickBot="1">
      <c r="A47" s="72"/>
      <c r="B47" s="71"/>
      <c r="C47" s="71"/>
      <c r="D47" s="71"/>
      <c r="E47" s="71"/>
      <c r="F47" s="71"/>
      <c r="G47" s="71"/>
      <c r="H47" s="123"/>
      <c r="I47" s="73"/>
    </row>
    <row r="48" spans="1:9" ht="13.5" thickTop="1">
      <c r="A48" s="72"/>
      <c r="B48" s="83"/>
      <c r="C48" s="84"/>
      <c r="D48" s="85"/>
      <c r="E48" s="84"/>
      <c r="F48" s="86"/>
      <c r="G48" s="84"/>
      <c r="H48" s="87"/>
      <c r="I48" s="73"/>
    </row>
    <row r="49" spans="1:9" ht="15">
      <c r="A49" s="72"/>
      <c r="B49" s="88" t="s">
        <v>116</v>
      </c>
      <c r="C49" s="71"/>
      <c r="D49" s="89"/>
      <c r="E49" s="71"/>
      <c r="F49" s="82"/>
      <c r="G49" s="71"/>
      <c r="H49" s="90"/>
      <c r="I49" s="73"/>
    </row>
    <row r="50" spans="1:9" ht="15">
      <c r="A50" s="72"/>
      <c r="B50" s="88"/>
      <c r="C50" s="71"/>
      <c r="D50" s="89"/>
      <c r="E50" s="71"/>
      <c r="F50" s="82"/>
      <c r="G50" s="71"/>
      <c r="H50" s="90"/>
      <c r="I50" s="73"/>
    </row>
    <row r="51" spans="1:9">
      <c r="A51" s="72"/>
      <c r="B51" s="93" t="s">
        <v>117</v>
      </c>
      <c r="C51" s="71"/>
      <c r="D51" s="109"/>
      <c r="E51" s="182">
        <v>36800</v>
      </c>
      <c r="F51" s="82"/>
      <c r="G51" s="82"/>
      <c r="H51" s="90" t="s">
        <v>118</v>
      </c>
      <c r="I51" s="73"/>
    </row>
    <row r="52" spans="1:9">
      <c r="A52" s="72"/>
      <c r="B52" s="93" t="s">
        <v>119</v>
      </c>
      <c r="C52" s="71"/>
      <c r="D52" s="109"/>
      <c r="E52" s="182">
        <v>0</v>
      </c>
      <c r="F52" s="82"/>
      <c r="G52" s="82"/>
      <c r="H52" s="90" t="s">
        <v>114</v>
      </c>
      <c r="I52" s="73"/>
    </row>
    <row r="53" spans="1:9" ht="12.75" customHeight="1">
      <c r="A53" s="72"/>
      <c r="B53" s="93" t="s">
        <v>120</v>
      </c>
      <c r="C53" s="71"/>
      <c r="D53" s="182">
        <v>338</v>
      </c>
      <c r="E53" s="106">
        <f>(D53*E5)-8</f>
        <v>17230</v>
      </c>
      <c r="F53" s="82"/>
      <c r="G53" s="82"/>
      <c r="H53" s="90" t="s">
        <v>121</v>
      </c>
      <c r="I53" s="73"/>
    </row>
    <row r="54" spans="1:9" ht="8.25" customHeight="1">
      <c r="A54" s="72"/>
      <c r="B54" s="113" t="s">
        <v>114</v>
      </c>
      <c r="C54" s="114"/>
      <c r="D54" s="115"/>
      <c r="E54" s="116" t="s">
        <v>114</v>
      </c>
      <c r="F54" s="82"/>
      <c r="G54" s="82"/>
      <c r="H54" s="90"/>
      <c r="I54" s="73"/>
    </row>
    <row r="55" spans="1:9" ht="12" customHeight="1" thickBot="1">
      <c r="A55" s="72"/>
      <c r="B55" s="118" t="s">
        <v>122</v>
      </c>
      <c r="C55" s="71"/>
      <c r="D55" s="94"/>
      <c r="E55" s="121">
        <f>SUM(E51:E53)</f>
        <v>54030</v>
      </c>
      <c r="F55" s="122"/>
      <c r="G55" s="121">
        <v>103866</v>
      </c>
      <c r="H55" s="90"/>
      <c r="I55" s="73"/>
    </row>
    <row r="56" spans="1:9" ht="13.5" thickBot="1">
      <c r="A56" s="72"/>
      <c r="B56" s="100"/>
      <c r="C56" s="101"/>
      <c r="D56" s="101"/>
      <c r="E56" s="101"/>
      <c r="F56" s="101"/>
      <c r="G56" s="101"/>
      <c r="H56" s="102"/>
      <c r="I56" s="73"/>
    </row>
    <row r="57" spans="1:9" ht="14.25" thickTop="1" thickBot="1">
      <c r="A57" s="72"/>
      <c r="B57" s="71"/>
      <c r="C57" s="71"/>
      <c r="D57" s="71"/>
      <c r="E57" s="71"/>
      <c r="F57" s="71"/>
      <c r="G57" s="71"/>
      <c r="H57" s="123"/>
      <c r="I57" s="73"/>
    </row>
    <row r="58" spans="1:9" ht="13.5" thickTop="1">
      <c r="A58" s="72"/>
      <c r="B58" s="124"/>
      <c r="C58" s="84"/>
      <c r="D58" s="84"/>
      <c r="E58" s="84"/>
      <c r="F58" s="84"/>
      <c r="G58" s="84"/>
      <c r="H58" s="125"/>
      <c r="I58" s="73"/>
    </row>
    <row r="59" spans="1:9" ht="15">
      <c r="A59" s="72"/>
      <c r="B59" s="88" t="s">
        <v>123</v>
      </c>
      <c r="C59" s="71"/>
      <c r="D59" s="89"/>
      <c r="E59" s="106"/>
      <c r="F59" s="82"/>
      <c r="G59" s="71"/>
      <c r="H59" s="90"/>
      <c r="I59" s="73"/>
    </row>
    <row r="60" spans="1:9">
      <c r="A60" s="72"/>
      <c r="B60" s="104"/>
      <c r="C60" s="71"/>
      <c r="D60" s="89"/>
      <c r="E60" s="106"/>
      <c r="F60" s="82"/>
      <c r="G60" s="71"/>
      <c r="H60" s="90"/>
      <c r="I60" s="73"/>
    </row>
    <row r="61" spans="1:9" ht="25.5">
      <c r="A61" s="72"/>
      <c r="B61" s="93" t="s">
        <v>124</v>
      </c>
      <c r="C61" s="71"/>
      <c r="D61" s="182">
        <f>2625*2</f>
        <v>5250</v>
      </c>
      <c r="E61" s="106">
        <f>D61*E5</f>
        <v>267750</v>
      </c>
      <c r="F61" s="82"/>
      <c r="G61" s="82"/>
      <c r="H61" s="90" t="s">
        <v>181</v>
      </c>
      <c r="I61" s="73"/>
    </row>
    <row r="62" spans="1:9" ht="29.25" customHeight="1">
      <c r="A62" s="72"/>
      <c r="B62" s="93" t="s">
        <v>125</v>
      </c>
      <c r="C62" s="71"/>
      <c r="D62" s="182">
        <f>+E62/D20</f>
        <v>1859.0784313725489</v>
      </c>
      <c r="E62" s="106">
        <f>94811+2</f>
        <v>94813</v>
      </c>
      <c r="F62" s="82"/>
      <c r="G62" s="82"/>
      <c r="H62" s="90" t="s">
        <v>183</v>
      </c>
      <c r="I62" s="73"/>
    </row>
    <row r="63" spans="1:9" ht="7.5" customHeight="1">
      <c r="A63" s="72"/>
      <c r="B63" s="113" t="s">
        <v>114</v>
      </c>
      <c r="C63" s="114"/>
      <c r="D63" s="115"/>
      <c r="E63" s="116" t="s">
        <v>114</v>
      </c>
      <c r="F63" s="82"/>
      <c r="G63" s="82"/>
      <c r="H63" s="90"/>
      <c r="I63" s="73"/>
    </row>
    <row r="64" spans="1:9" ht="14.25" customHeight="1">
      <c r="A64" s="72"/>
      <c r="B64" s="118" t="s">
        <v>126</v>
      </c>
      <c r="C64" s="119"/>
      <c r="D64" s="120"/>
      <c r="E64" s="126">
        <f>SUM(E61:E62)</f>
        <v>362563</v>
      </c>
      <c r="F64" s="122"/>
      <c r="G64" s="126">
        <f>9742+167699</f>
        <v>177441</v>
      </c>
      <c r="H64" s="90" t="s">
        <v>127</v>
      </c>
      <c r="I64" s="73"/>
    </row>
    <row r="65" spans="1:9" ht="13.5" thickBot="1">
      <c r="A65" s="72"/>
      <c r="B65" s="100"/>
      <c r="C65" s="101"/>
      <c r="D65" s="101"/>
      <c r="E65" s="101"/>
      <c r="F65" s="101"/>
      <c r="G65" s="101"/>
      <c r="H65" s="102"/>
      <c r="I65" s="73"/>
    </row>
    <row r="66" spans="1:9" ht="14.25" thickTop="1" thickBot="1">
      <c r="A66" s="72"/>
      <c r="B66" s="81"/>
      <c r="C66" s="71"/>
      <c r="D66" s="89"/>
      <c r="E66" s="106"/>
      <c r="F66" s="82"/>
      <c r="G66" s="71"/>
      <c r="H66" s="103"/>
      <c r="I66" s="73"/>
    </row>
    <row r="67" spans="1:9" ht="13.5" thickTop="1">
      <c r="A67" s="72"/>
      <c r="B67" s="83"/>
      <c r="C67" s="84"/>
      <c r="D67" s="85"/>
      <c r="E67" s="127"/>
      <c r="F67" s="86"/>
      <c r="G67" s="84"/>
      <c r="H67" s="87"/>
      <c r="I67" s="73"/>
    </row>
    <row r="68" spans="1:9" ht="12.75" customHeight="1">
      <c r="A68" s="72"/>
      <c r="B68" s="88" t="s">
        <v>128</v>
      </c>
      <c r="C68" s="71"/>
      <c r="D68" s="89"/>
      <c r="E68" s="106"/>
      <c r="F68" s="82"/>
      <c r="G68" s="71"/>
      <c r="H68" s="90"/>
      <c r="I68" s="73"/>
    </row>
    <row r="69" spans="1:9" ht="13.5" customHeight="1">
      <c r="A69" s="72"/>
      <c r="B69" s="113" t="s">
        <v>129</v>
      </c>
      <c r="C69" s="114"/>
      <c r="D69" s="115"/>
      <c r="E69" s="116" t="s">
        <v>114</v>
      </c>
      <c r="F69" s="82"/>
      <c r="G69" s="71"/>
      <c r="H69" s="90"/>
      <c r="I69" s="73"/>
    </row>
    <row r="70" spans="1:9" ht="10.5" customHeight="1">
      <c r="A70" s="72"/>
      <c r="B70" s="93" t="s">
        <v>130</v>
      </c>
      <c r="C70" s="71"/>
      <c r="D70" s="182">
        <v>351</v>
      </c>
      <c r="E70" s="126">
        <f>($D70*E$5)+9</f>
        <v>17910</v>
      </c>
      <c r="F70" s="122"/>
      <c r="G70" s="128">
        <v>14783</v>
      </c>
      <c r="H70" s="90" t="s">
        <v>131</v>
      </c>
      <c r="I70" s="73"/>
    </row>
    <row r="71" spans="1:9" ht="13.5" thickBot="1">
      <c r="A71" s="72"/>
      <c r="B71" s="100"/>
      <c r="C71" s="101"/>
      <c r="D71" s="101"/>
      <c r="E71" s="101"/>
      <c r="F71" s="101"/>
      <c r="G71" s="101"/>
      <c r="H71" s="102"/>
      <c r="I71" s="73"/>
    </row>
    <row r="72" spans="1:9" ht="14.25" thickTop="1" thickBot="1">
      <c r="A72" s="72"/>
      <c r="B72" s="71"/>
      <c r="C72" s="71"/>
      <c r="D72" s="71"/>
      <c r="E72" s="71"/>
      <c r="F72" s="71"/>
      <c r="G72" s="71"/>
      <c r="H72" s="123"/>
      <c r="I72" s="73"/>
    </row>
    <row r="73" spans="1:9" ht="13.5" thickTop="1">
      <c r="A73" s="72"/>
      <c r="B73" s="83"/>
      <c r="C73" s="84"/>
      <c r="D73" s="129"/>
      <c r="E73" s="127"/>
      <c r="F73" s="86"/>
      <c r="G73" s="84"/>
      <c r="H73" s="87"/>
      <c r="I73" s="73"/>
    </row>
    <row r="74" spans="1:9" ht="15">
      <c r="A74" s="72"/>
      <c r="B74" s="88" t="s">
        <v>132</v>
      </c>
      <c r="C74" s="71"/>
      <c r="D74" s="89"/>
      <c r="E74" s="106"/>
      <c r="F74" s="82"/>
      <c r="G74" s="71"/>
      <c r="H74" s="90"/>
      <c r="I74" s="73"/>
    </row>
    <row r="75" spans="1:9">
      <c r="A75" s="72"/>
      <c r="B75" s="130"/>
      <c r="C75" s="71"/>
      <c r="D75" s="89"/>
      <c r="E75" s="106"/>
      <c r="F75" s="82"/>
      <c r="G75" s="71"/>
      <c r="H75" s="90"/>
      <c r="I75" s="73"/>
    </row>
    <row r="76" spans="1:9">
      <c r="A76" s="72"/>
      <c r="B76" s="93" t="s">
        <v>133</v>
      </c>
      <c r="C76" s="71"/>
      <c r="D76" s="71"/>
      <c r="E76" s="94"/>
      <c r="F76" s="82"/>
      <c r="G76" s="71"/>
      <c r="H76" s="90"/>
      <c r="I76" s="73"/>
    </row>
    <row r="77" spans="1:9">
      <c r="A77" s="72"/>
      <c r="B77" s="93" t="s">
        <v>134</v>
      </c>
      <c r="C77" s="71"/>
      <c r="D77" s="71"/>
      <c r="E77" s="94"/>
      <c r="F77" s="82"/>
      <c r="G77" s="71"/>
      <c r="H77" s="90"/>
      <c r="I77" s="73"/>
    </row>
    <row r="78" spans="1:9">
      <c r="A78" s="72"/>
      <c r="B78" s="93" t="s">
        <v>135</v>
      </c>
      <c r="C78" s="71"/>
      <c r="D78" s="71"/>
      <c r="E78" s="182">
        <f>E82-E79</f>
        <v>163491</v>
      </c>
      <c r="F78" s="82"/>
      <c r="G78" s="71"/>
      <c r="H78" s="90"/>
      <c r="I78" s="73"/>
    </row>
    <row r="79" spans="1:9">
      <c r="A79" s="72"/>
      <c r="B79" s="93" t="s">
        <v>136</v>
      </c>
      <c r="C79" s="71"/>
      <c r="D79" s="182">
        <v>27447</v>
      </c>
      <c r="E79" s="108">
        <f>+D79*(E5-G5)</f>
        <v>384258</v>
      </c>
      <c r="F79" s="82"/>
      <c r="G79" s="71"/>
      <c r="H79" s="90" t="s">
        <v>137</v>
      </c>
      <c r="I79" s="73"/>
    </row>
    <row r="80" spans="1:9" ht="13.5" customHeight="1">
      <c r="A80" s="72"/>
      <c r="B80" s="93" t="s">
        <v>138</v>
      </c>
      <c r="C80" s="71"/>
      <c r="D80" s="111"/>
      <c r="E80" s="106">
        <f>$D80*E$5</f>
        <v>0</v>
      </c>
      <c r="F80" s="82"/>
      <c r="G80" s="71"/>
      <c r="H80" s="90"/>
      <c r="I80" s="73"/>
    </row>
    <row r="81" spans="1:9" ht="6" customHeight="1">
      <c r="A81" s="72"/>
      <c r="B81" s="113" t="s">
        <v>129</v>
      </c>
      <c r="C81" s="71"/>
      <c r="D81" s="94"/>
      <c r="E81" s="116" t="s">
        <v>114</v>
      </c>
      <c r="F81" s="82"/>
      <c r="G81" s="71"/>
      <c r="H81" s="90"/>
      <c r="I81" s="73"/>
    </row>
    <row r="82" spans="1:9" ht="12.75" customHeight="1" thickBot="1">
      <c r="A82" s="72"/>
      <c r="B82" s="93"/>
      <c r="C82" s="71"/>
      <c r="D82" s="94"/>
      <c r="E82" s="121">
        <v>547749</v>
      </c>
      <c r="F82" s="122"/>
      <c r="G82" s="211">
        <v>534741</v>
      </c>
      <c r="H82" s="90"/>
      <c r="I82" s="73"/>
    </row>
    <row r="83" spans="1:9" ht="13.5" thickBot="1">
      <c r="A83" s="72"/>
      <c r="B83" s="100"/>
      <c r="C83" s="101"/>
      <c r="D83" s="131"/>
      <c r="E83" s="132"/>
      <c r="F83" s="133"/>
      <c r="G83" s="101"/>
      <c r="H83" s="134"/>
      <c r="I83" s="73"/>
    </row>
    <row r="84" spans="1:9" ht="14.25" thickTop="1" thickBot="1">
      <c r="A84" s="72"/>
      <c r="B84" s="81"/>
      <c r="C84" s="71"/>
      <c r="D84" s="89"/>
      <c r="E84" s="106"/>
      <c r="F84" s="82"/>
      <c r="G84" s="71"/>
      <c r="H84" s="103"/>
      <c r="I84" s="73"/>
    </row>
    <row r="85" spans="1:9" ht="13.5" thickTop="1">
      <c r="A85" s="72"/>
      <c r="B85" s="83"/>
      <c r="C85" s="84"/>
      <c r="D85" s="85"/>
      <c r="E85" s="127"/>
      <c r="F85" s="86"/>
      <c r="G85" s="84"/>
      <c r="H85" s="87"/>
      <c r="I85" s="73"/>
    </row>
    <row r="86" spans="1:9" ht="15">
      <c r="A86" s="72"/>
      <c r="B86" s="88" t="s">
        <v>139</v>
      </c>
      <c r="C86" s="71"/>
      <c r="D86" s="89"/>
      <c r="E86" s="106"/>
      <c r="F86" s="82"/>
      <c r="G86" s="71"/>
      <c r="H86" s="90"/>
      <c r="I86" s="73"/>
    </row>
    <row r="87" spans="1:9" ht="18" customHeight="1">
      <c r="A87" s="72"/>
      <c r="B87" s="104"/>
      <c r="C87" s="71"/>
      <c r="D87" s="89"/>
      <c r="E87" s="106"/>
      <c r="F87" s="82"/>
      <c r="G87" s="71"/>
      <c r="H87" s="90"/>
      <c r="I87" s="73"/>
    </row>
    <row r="88" spans="1:9">
      <c r="A88" s="72"/>
      <c r="B88" s="93" t="s">
        <v>133</v>
      </c>
      <c r="C88" s="71"/>
      <c r="D88" s="71"/>
      <c r="E88" s="182">
        <v>6268.5</v>
      </c>
      <c r="F88" s="82"/>
      <c r="G88" s="71"/>
      <c r="H88" s="90" t="s">
        <v>140</v>
      </c>
      <c r="I88" s="73"/>
    </row>
    <row r="89" spans="1:9" ht="20.25" customHeight="1">
      <c r="A89" s="72"/>
      <c r="B89" s="93" t="s">
        <v>134</v>
      </c>
      <c r="C89" s="71"/>
      <c r="D89" s="71"/>
      <c r="E89" s="182">
        <v>6268.5</v>
      </c>
      <c r="F89" s="82"/>
      <c r="G89" s="71"/>
      <c r="H89" s="90" t="s">
        <v>140</v>
      </c>
      <c r="I89" s="73"/>
    </row>
    <row r="90" spans="1:9" ht="13.5" customHeight="1" thickBot="1">
      <c r="A90" s="72"/>
      <c r="B90" s="135"/>
      <c r="C90" s="101"/>
      <c r="D90" s="131"/>
      <c r="E90" s="121">
        <f>SUM(E88:E89)</f>
        <v>12537</v>
      </c>
      <c r="F90" s="133"/>
      <c r="G90" s="121">
        <f>11485+202</f>
        <v>11687</v>
      </c>
      <c r="H90" s="134"/>
      <c r="I90" s="73"/>
    </row>
    <row r="91" spans="1:9" ht="13.5" thickTop="1">
      <c r="A91" s="72"/>
      <c r="B91" s="81"/>
      <c r="C91" s="71"/>
      <c r="D91" s="89"/>
      <c r="E91" s="71"/>
      <c r="F91" s="82"/>
      <c r="G91" s="71"/>
      <c r="H91" s="103"/>
      <c r="I91" s="73"/>
    </row>
    <row r="92" spans="1:9" ht="19.5" customHeight="1">
      <c r="A92" s="72"/>
      <c r="B92" s="137" t="s">
        <v>141</v>
      </c>
      <c r="C92" s="71"/>
      <c r="D92" s="89"/>
      <c r="E92" s="126">
        <f>E82+E70+E64+E55+E45+E90</f>
        <v>1850723</v>
      </c>
      <c r="F92" s="138"/>
      <c r="G92" s="126">
        <f>SUM(G24:G90)</f>
        <v>1041761</v>
      </c>
      <c r="H92" s="103"/>
      <c r="I92" s="73"/>
    </row>
    <row r="93" spans="1:9" ht="25.5">
      <c r="A93" s="72"/>
      <c r="B93" s="190" t="s">
        <v>179</v>
      </c>
      <c r="C93" s="191"/>
      <c r="D93" s="192"/>
      <c r="E93" s="184">
        <v>2083000</v>
      </c>
      <c r="F93" s="92"/>
      <c r="G93" s="184" t="s">
        <v>180</v>
      </c>
      <c r="H93" s="103" t="s">
        <v>188</v>
      </c>
      <c r="I93" s="73"/>
    </row>
    <row r="94" spans="1:9" ht="15.75" thickBot="1">
      <c r="A94" s="72"/>
      <c r="B94" s="185" t="s">
        <v>142</v>
      </c>
      <c r="C94" s="186"/>
      <c r="D94" s="187"/>
      <c r="E94" s="188">
        <f>E9+E92+2083000</f>
        <v>9532918</v>
      </c>
      <c r="F94" s="189"/>
      <c r="G94" s="188">
        <f>G9+G92+1597000</f>
        <v>6677977</v>
      </c>
      <c r="H94" s="103"/>
      <c r="I94" s="73"/>
    </row>
    <row r="95" spans="1:9" ht="9" customHeight="1" thickTop="1" thickBot="1">
      <c r="A95" s="72"/>
      <c r="B95" s="172"/>
      <c r="C95" s="173"/>
      <c r="D95" s="174"/>
      <c r="E95" s="175"/>
      <c r="F95" s="171"/>
      <c r="G95" s="175"/>
      <c r="H95" s="140"/>
      <c r="I95" s="73"/>
    </row>
    <row r="96" spans="1:9" ht="18.75" customHeight="1" thickBot="1">
      <c r="A96" s="136"/>
      <c r="B96" s="176"/>
      <c r="C96" s="176"/>
      <c r="D96" s="176"/>
      <c r="E96" s="176"/>
      <c r="F96" s="176"/>
      <c r="G96" s="176"/>
      <c r="H96" s="140"/>
      <c r="I96" s="139"/>
    </row>
    <row r="97" spans="2:4">
      <c r="B97" s="141"/>
      <c r="D97" s="143"/>
    </row>
    <row r="98" spans="2:4">
      <c r="C98" s="71"/>
      <c r="D98" s="89"/>
    </row>
    <row r="99" spans="2:4">
      <c r="D99" s="143"/>
    </row>
    <row r="100" spans="2:4">
      <c r="D100" s="143"/>
    </row>
    <row r="101" spans="2:4">
      <c r="D101" s="143"/>
    </row>
    <row r="102" spans="2:4">
      <c r="D102" s="143"/>
    </row>
  </sheetData>
  <mergeCells count="2">
    <mergeCell ref="B2:H2"/>
    <mergeCell ref="B3:H3"/>
  </mergeCells>
  <pageMargins left="0.75" right="0.75" top="1" bottom="1" header="0.5" footer="0.5"/>
  <pageSetup paperSize="9" scale="50" orientation="portrait" r:id="rId1"/>
  <headerFooter alignWithMargins="0">
    <oddFooter>&amp;LEnron Europe Confidential&amp;C&amp;"Arial,Bold"&amp;14 21&amp;"Arial,Regular"&amp;10
Source: Financial Planning Analysis&amp;RPrinted:&amp;D&amp;T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topLeftCell="A21" workbookViewId="0">
      <selection activeCell="P40" sqref="P40"/>
    </sheetView>
  </sheetViews>
  <sheetFormatPr defaultRowHeight="12.75" outlineLevelCol="1"/>
  <cols>
    <col min="1" max="1" width="5.5703125" customWidth="1"/>
    <col min="2" max="2" width="27.140625" customWidth="1"/>
    <col min="3" max="3" width="13.7109375" customWidth="1"/>
    <col min="4" max="6" width="14.7109375" hidden="1" customWidth="1" outlineLevel="1"/>
    <col min="7" max="7" width="11.28515625" hidden="1" customWidth="1" outlineLevel="1"/>
    <col min="8" max="8" width="13.140625" hidden="1" customWidth="1" outlineLevel="1"/>
    <col min="9" max="9" width="8.85546875" hidden="1" customWidth="1" outlineLevel="1"/>
    <col min="10" max="10" width="13.7109375" hidden="1" customWidth="1" outlineLevel="1"/>
    <col min="11" max="11" width="10.42578125" hidden="1" customWidth="1" outlineLevel="1"/>
    <col min="12" max="13" width="14.7109375" hidden="1" customWidth="1" outlineLevel="1"/>
    <col min="14" max="14" width="14" customWidth="1" collapsed="1"/>
    <col min="15" max="15" width="13.42578125" customWidth="1"/>
    <col min="16" max="16" width="14.85546875" customWidth="1"/>
    <col min="17" max="17" width="0.140625" customWidth="1"/>
    <col min="18" max="18" width="14.5703125" hidden="1" customWidth="1"/>
    <col min="19" max="19" width="0.140625" customWidth="1"/>
    <col min="20" max="20" width="7.5703125" hidden="1" customWidth="1"/>
    <col min="21" max="21" width="0.140625" hidden="1" customWidth="1"/>
    <col min="22" max="22" width="1.85546875" customWidth="1"/>
    <col min="23" max="23" width="12" customWidth="1"/>
  </cols>
  <sheetData>
    <row r="1" spans="1:23" ht="23.25" customHeigh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</row>
    <row r="2" spans="1:23" ht="23.25" customHeight="1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</row>
    <row r="3" spans="1:23" ht="23.25" customHeight="1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</row>
    <row r="4" spans="1:23" ht="26.25" customHeight="1" thickBot="1">
      <c r="A4" s="228" t="s">
        <v>90</v>
      </c>
      <c r="B4" s="228"/>
      <c r="C4" s="144">
        <v>2383232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>
        <v>1054318</v>
      </c>
      <c r="O4" s="144">
        <v>1283175</v>
      </c>
      <c r="P4" s="144">
        <v>878470</v>
      </c>
      <c r="Q4" s="144">
        <v>0</v>
      </c>
      <c r="R4" s="144">
        <v>0</v>
      </c>
      <c r="S4" s="144">
        <v>0</v>
      </c>
      <c r="T4" s="145"/>
      <c r="U4" s="144"/>
      <c r="V4" s="146"/>
      <c r="W4" s="147">
        <f>C4+O4+P4+Q4+R4+S4+U4+N4</f>
        <v>5599195</v>
      </c>
    </row>
    <row r="5" spans="1:23">
      <c r="V5" s="148"/>
    </row>
    <row r="6" spans="1:23" ht="46.5" customHeight="1" thickBot="1">
      <c r="A6" s="1" t="s">
        <v>143</v>
      </c>
      <c r="B6" s="6" t="s">
        <v>144</v>
      </c>
      <c r="C6" s="7" t="s">
        <v>145</v>
      </c>
      <c r="D6" s="7" t="s">
        <v>146</v>
      </c>
      <c r="E6" s="7" t="s">
        <v>147</v>
      </c>
      <c r="F6" s="7" t="s">
        <v>148</v>
      </c>
      <c r="G6" s="7" t="s">
        <v>149</v>
      </c>
      <c r="H6" s="7" t="s">
        <v>150</v>
      </c>
      <c r="I6" s="7" t="s">
        <v>151</v>
      </c>
      <c r="J6" s="7" t="s">
        <v>152</v>
      </c>
      <c r="K6" s="7" t="s">
        <v>153</v>
      </c>
      <c r="L6" s="7" t="s">
        <v>154</v>
      </c>
      <c r="M6" s="7" t="s">
        <v>155</v>
      </c>
      <c r="N6" s="7" t="s">
        <v>156</v>
      </c>
      <c r="O6" s="7" t="s">
        <v>157</v>
      </c>
      <c r="P6" s="7" t="s">
        <v>158</v>
      </c>
      <c r="Q6" s="7" t="s">
        <v>159</v>
      </c>
      <c r="R6" s="7" t="s">
        <v>160</v>
      </c>
      <c r="S6" s="7" t="s">
        <v>59</v>
      </c>
      <c r="T6" s="7"/>
      <c r="U6" s="8" t="s">
        <v>161</v>
      </c>
      <c r="V6" s="149"/>
      <c r="W6" s="150" t="s">
        <v>0</v>
      </c>
    </row>
    <row r="7" spans="1:23" ht="17.100000000000001" customHeight="1">
      <c r="A7" s="212"/>
      <c r="B7" s="151" t="s">
        <v>162</v>
      </c>
      <c r="C7" s="11"/>
      <c r="D7" s="12"/>
      <c r="E7" s="12"/>
      <c r="F7" s="12"/>
      <c r="G7" s="12">
        <f>'[2]HC Summary'!$K$12</f>
        <v>4</v>
      </c>
      <c r="H7" s="12"/>
      <c r="I7" s="12">
        <f>VLOOKUP(B7,'[2]HC Summary 2'!$D$22:$E$27,2,FALSE)</f>
        <v>1</v>
      </c>
      <c r="J7" s="12"/>
      <c r="K7" s="12"/>
      <c r="L7" s="12"/>
      <c r="M7" s="12"/>
      <c r="N7" s="12"/>
      <c r="O7" s="13"/>
      <c r="P7" s="11"/>
      <c r="Q7" s="11"/>
      <c r="R7" s="11"/>
      <c r="S7" s="11"/>
      <c r="T7" s="11"/>
      <c r="U7" s="152"/>
      <c r="V7" s="153">
        <v>0</v>
      </c>
      <c r="W7" s="154">
        <f t="shared" ref="W7:W20" si="0">C7+O7+P7+Q7+R7+S7+U7+N7</f>
        <v>0</v>
      </c>
    </row>
    <row r="8" spans="1:23" ht="17.100000000000001" customHeight="1">
      <c r="A8" s="212"/>
      <c r="B8" s="151" t="s">
        <v>163</v>
      </c>
      <c r="C8" s="11">
        <v>1</v>
      </c>
      <c r="D8" s="12">
        <f>'[2]HC Summary'!$H$22</f>
        <v>1</v>
      </c>
      <c r="E8" s="12"/>
      <c r="F8" s="12"/>
      <c r="G8" s="12">
        <f>'[2]HC Summary'!$K$6</f>
        <v>1</v>
      </c>
      <c r="H8" s="12"/>
      <c r="I8" s="12"/>
      <c r="J8" s="12"/>
      <c r="K8" s="12"/>
      <c r="L8" s="12"/>
      <c r="M8" s="12"/>
      <c r="N8" s="12">
        <v>3</v>
      </c>
      <c r="O8" s="13"/>
      <c r="P8" s="11"/>
      <c r="Q8" s="11"/>
      <c r="R8" s="11"/>
      <c r="S8" s="11"/>
      <c r="T8" s="11"/>
      <c r="U8" s="152"/>
      <c r="V8" s="153">
        <v>1</v>
      </c>
      <c r="W8" s="154">
        <f t="shared" si="0"/>
        <v>4</v>
      </c>
    </row>
    <row r="9" spans="1:23" ht="17.100000000000001" customHeight="1">
      <c r="A9" s="212"/>
      <c r="B9" s="151" t="s">
        <v>164</v>
      </c>
      <c r="C9" s="11"/>
      <c r="D9" s="12"/>
      <c r="E9" s="12"/>
      <c r="F9" s="12"/>
      <c r="G9" s="12"/>
      <c r="H9" s="12"/>
      <c r="I9" s="12">
        <f>VLOOKUP(B9,'[2]HC Summary 2'!$D$22:$E$27,2,FALSE)</f>
        <v>2</v>
      </c>
      <c r="J9" s="12"/>
      <c r="K9" s="12"/>
      <c r="L9" s="12"/>
      <c r="M9" s="12">
        <f>'[2]HC Summary'!$B$22</f>
        <v>4</v>
      </c>
      <c r="N9" s="12"/>
      <c r="O9" s="13"/>
      <c r="P9" s="11"/>
      <c r="Q9" s="11"/>
      <c r="R9" s="11"/>
      <c r="S9" s="11"/>
      <c r="T9" s="11"/>
      <c r="U9" s="152"/>
      <c r="V9" s="153">
        <v>2</v>
      </c>
      <c r="W9" s="154">
        <f t="shared" si="0"/>
        <v>0</v>
      </c>
    </row>
    <row r="10" spans="1:23" ht="17.100000000000001" customHeight="1">
      <c r="A10" s="212"/>
      <c r="B10" s="151" t="s">
        <v>165</v>
      </c>
      <c r="C10" s="11"/>
      <c r="D10" s="12"/>
      <c r="E10" s="12"/>
      <c r="F10" s="12"/>
      <c r="G10" s="12"/>
      <c r="H10" s="12">
        <f>'[2]HC Summary'!$E$9</f>
        <v>1</v>
      </c>
      <c r="I10" s="12">
        <f>VLOOKUP(B10,'[2]HC Summary 2'!$D$22:$E$27,2,FALSE)</f>
        <v>6</v>
      </c>
      <c r="J10" s="12">
        <f>'[2]HC Summary'!$B$9</f>
        <v>1</v>
      </c>
      <c r="K10" s="12"/>
      <c r="L10" s="12"/>
      <c r="M10" s="12">
        <f>'[2]HC Summary'!$B$25</f>
        <v>4</v>
      </c>
      <c r="N10" s="12"/>
      <c r="O10" s="13"/>
      <c r="P10" s="11"/>
      <c r="Q10" s="11"/>
      <c r="R10" s="11"/>
      <c r="S10" s="11"/>
      <c r="T10" s="11"/>
      <c r="U10" s="152"/>
      <c r="V10" s="153">
        <v>3</v>
      </c>
      <c r="W10" s="154">
        <f t="shared" si="0"/>
        <v>0</v>
      </c>
    </row>
    <row r="11" spans="1:23" ht="17.100000000000001" customHeight="1">
      <c r="A11" s="212"/>
      <c r="B11" s="151" t="s">
        <v>166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1"/>
      <c r="Q11" s="11"/>
      <c r="R11" s="11"/>
      <c r="S11" s="11"/>
      <c r="T11" s="11"/>
      <c r="U11" s="152"/>
      <c r="V11" s="153">
        <v>4</v>
      </c>
      <c r="W11" s="154">
        <f t="shared" si="0"/>
        <v>0</v>
      </c>
    </row>
    <row r="12" spans="1:23" ht="17.100000000000001" customHeight="1">
      <c r="A12" s="212"/>
      <c r="B12" s="151" t="s">
        <v>167</v>
      </c>
      <c r="C12" s="11"/>
      <c r="D12" s="12"/>
      <c r="E12" s="12"/>
      <c r="F12" s="12"/>
      <c r="G12" s="12">
        <f>'[2]HC Summary'!$K$7</f>
        <v>7</v>
      </c>
      <c r="H12" s="12">
        <f>'[2]HC Summary'!$E$6</f>
        <v>1</v>
      </c>
      <c r="I12" s="12">
        <f>VLOOKUP(B12,'[2]HC Summary 2'!$D$22:$E$27,2,FALSE)</f>
        <v>1</v>
      </c>
      <c r="J12" s="12">
        <f>'[2]HC Summary'!$B$6</f>
        <v>1</v>
      </c>
      <c r="K12" s="12">
        <f>'[2]HC Summary'!$H$6</f>
        <v>5</v>
      </c>
      <c r="L12" s="12"/>
      <c r="M12" s="12">
        <f>'[2]HC Summary'!$B$23</f>
        <v>3</v>
      </c>
      <c r="N12" s="12"/>
      <c r="O12" s="13"/>
      <c r="P12" s="11"/>
      <c r="Q12" s="11"/>
      <c r="R12" s="11"/>
      <c r="S12" s="11"/>
      <c r="T12" s="11"/>
      <c r="U12" s="152"/>
      <c r="V12" s="153">
        <v>5</v>
      </c>
      <c r="W12" s="154">
        <f t="shared" si="0"/>
        <v>0</v>
      </c>
    </row>
    <row r="13" spans="1:23" ht="17.100000000000001" customHeight="1">
      <c r="A13" s="212"/>
      <c r="B13" s="151" t="s">
        <v>168</v>
      </c>
      <c r="C13" s="11">
        <v>9</v>
      </c>
      <c r="D13" s="155"/>
      <c r="E13" s="155"/>
      <c r="F13" s="155"/>
      <c r="G13" s="155">
        <f>'[2]HC Summary'!$K$8</f>
        <v>3</v>
      </c>
      <c r="H13" s="155">
        <f>'[2]HC Summary'!$E$7</f>
        <v>2</v>
      </c>
      <c r="I13" s="12">
        <f>VLOOKUP(B13,'[2]HC Summary 2'!$D$22:$E$27,2,FALSE)</f>
        <v>5</v>
      </c>
      <c r="J13" s="155">
        <f>'[2]HC Summary'!$B$7</f>
        <v>15</v>
      </c>
      <c r="K13" s="155">
        <f>'[2]HC Summary'!$H$7</f>
        <v>5</v>
      </c>
      <c r="L13" s="155">
        <f>'[2]HC Summary'!$K$24-1</f>
        <v>1</v>
      </c>
      <c r="M13" s="155"/>
      <c r="N13" s="155">
        <v>2</v>
      </c>
      <c r="O13" s="13">
        <v>2</v>
      </c>
      <c r="P13" s="11"/>
      <c r="Q13" s="11"/>
      <c r="R13" s="11"/>
      <c r="S13" s="11"/>
      <c r="T13" s="11"/>
      <c r="U13" s="152"/>
      <c r="V13" s="153">
        <v>6</v>
      </c>
      <c r="W13" s="154">
        <f t="shared" si="0"/>
        <v>13</v>
      </c>
    </row>
    <row r="14" spans="1:23" ht="17.100000000000001" customHeight="1">
      <c r="A14" s="212"/>
      <c r="B14" s="151" t="s">
        <v>169</v>
      </c>
      <c r="C14" s="11">
        <v>7</v>
      </c>
      <c r="D14" s="12"/>
      <c r="E14" s="12"/>
      <c r="F14" s="12"/>
      <c r="G14" s="12">
        <f>'[2]HC Summary'!$K$10</f>
        <v>9</v>
      </c>
      <c r="H14" s="12">
        <f>'[2]HC Summary'!$E$10</f>
        <v>2</v>
      </c>
      <c r="I14" s="12"/>
      <c r="J14" s="12">
        <f>'[2]HC Summary'!$B$10</f>
        <v>4</v>
      </c>
      <c r="K14" s="12">
        <f>'[2]HC Summary'!$H$9</f>
        <v>2</v>
      </c>
      <c r="L14" s="12">
        <f>'[2]HC Summary'!$K$26-2</f>
        <v>3</v>
      </c>
      <c r="M14" s="12">
        <f>'[2]HC Summary'!$B$26</f>
        <v>1</v>
      </c>
      <c r="N14" s="12"/>
      <c r="O14" s="13">
        <v>1</v>
      </c>
      <c r="P14" s="11">
        <v>4</v>
      </c>
      <c r="Q14" s="11"/>
      <c r="R14" s="11"/>
      <c r="S14" s="11"/>
      <c r="T14" s="11"/>
      <c r="U14" s="152"/>
      <c r="V14" s="153">
        <v>7</v>
      </c>
      <c r="W14" s="154">
        <f t="shared" si="0"/>
        <v>12</v>
      </c>
    </row>
    <row r="15" spans="1:23" ht="17.100000000000001" customHeight="1">
      <c r="A15" s="212"/>
      <c r="B15" s="151" t="s">
        <v>170</v>
      </c>
      <c r="C15" s="11">
        <v>2</v>
      </c>
      <c r="D15" s="12">
        <f>'[2]HC Summary'!$H$23</f>
        <v>1</v>
      </c>
      <c r="E15" s="12"/>
      <c r="F15" s="12"/>
      <c r="G15" s="12">
        <f>'[2]HC Summary'!$K$9</f>
        <v>1</v>
      </c>
      <c r="H15" s="12">
        <f>'[2]HC Summary'!$E$8</f>
        <v>1</v>
      </c>
      <c r="I15" s="12">
        <f>VLOOKUP(B15,'[2]HC Summary 2'!$D$22:$E$27,2,FALSE)</f>
        <v>1</v>
      </c>
      <c r="J15" s="12">
        <f>'[2]HC Summary'!$B$8</f>
        <v>5</v>
      </c>
      <c r="K15" s="12">
        <f>'[2]HC Summary'!$H$8</f>
        <v>3</v>
      </c>
      <c r="L15" s="12">
        <f>'[2]HC Summary'!$K$25-1</f>
        <v>2</v>
      </c>
      <c r="M15" s="12">
        <f>'[2]HC Summary'!$B$24</f>
        <v>2</v>
      </c>
      <c r="N15" s="12">
        <v>1</v>
      </c>
      <c r="O15" s="13">
        <v>4</v>
      </c>
      <c r="P15" s="11"/>
      <c r="Q15" s="11"/>
      <c r="R15" s="11"/>
      <c r="S15" s="11"/>
      <c r="T15" s="11"/>
      <c r="U15" s="152"/>
      <c r="V15" s="153">
        <v>8</v>
      </c>
      <c r="W15" s="154">
        <f t="shared" si="0"/>
        <v>7</v>
      </c>
    </row>
    <row r="16" spans="1:23" ht="17.100000000000001" customHeight="1">
      <c r="A16" s="212"/>
      <c r="B16" s="151" t="s">
        <v>171</v>
      </c>
      <c r="C16" s="11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1"/>
      <c r="Q16" s="11"/>
      <c r="R16" s="11"/>
      <c r="S16" s="11"/>
      <c r="T16" s="11"/>
      <c r="U16" s="152"/>
      <c r="V16" s="153">
        <v>9</v>
      </c>
      <c r="W16" s="154">
        <f t="shared" si="0"/>
        <v>1</v>
      </c>
    </row>
    <row r="17" spans="1:23" ht="17.100000000000001" customHeight="1">
      <c r="A17" s="212"/>
      <c r="B17" s="151" t="s">
        <v>172</v>
      </c>
      <c r="C17" s="11">
        <v>5</v>
      </c>
      <c r="D17" s="12"/>
      <c r="E17" s="12"/>
      <c r="F17" s="12"/>
      <c r="G17" s="12">
        <f>'[2]HC Summary'!$K$11</f>
        <v>1</v>
      </c>
      <c r="H17" s="12"/>
      <c r="I17" s="12"/>
      <c r="J17" s="12">
        <f>'[2]HC Summary'!$B$11</f>
        <v>1</v>
      </c>
      <c r="K17" s="12"/>
      <c r="L17" s="12">
        <f>'[2]HC Summary'!$K$27-1</f>
        <v>1</v>
      </c>
      <c r="M17" s="12">
        <f>'[2]HC Summary'!$B$27</f>
        <v>1</v>
      </c>
      <c r="N17" s="12">
        <v>1</v>
      </c>
      <c r="O17" s="13">
        <v>2</v>
      </c>
      <c r="P17" s="11">
        <v>4</v>
      </c>
      <c r="Q17" s="11"/>
      <c r="R17" s="11"/>
      <c r="S17" s="11"/>
      <c r="T17" s="11"/>
      <c r="U17" s="152"/>
      <c r="V17" s="153">
        <v>10</v>
      </c>
      <c r="W17" s="154">
        <f t="shared" si="0"/>
        <v>12</v>
      </c>
    </row>
    <row r="18" spans="1:23" ht="17.100000000000001" customHeight="1">
      <c r="A18" s="212"/>
      <c r="B18" s="151" t="s">
        <v>173</v>
      </c>
      <c r="C18" s="11"/>
      <c r="D18" s="12">
        <f>'[2]HC Summary'!$H$24</f>
        <v>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>
        <v>1</v>
      </c>
      <c r="P18" s="11"/>
      <c r="Q18" s="11"/>
      <c r="R18" s="11"/>
      <c r="S18" s="11"/>
      <c r="T18" s="11"/>
      <c r="U18" s="152"/>
      <c r="V18" s="153">
        <v>11</v>
      </c>
      <c r="W18" s="154">
        <f t="shared" si="0"/>
        <v>1</v>
      </c>
    </row>
    <row r="19" spans="1:23" ht="17.100000000000001" customHeight="1">
      <c r="A19" s="212"/>
      <c r="B19" s="151" t="s">
        <v>174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>
        <v>1</v>
      </c>
      <c r="O19" s="13"/>
      <c r="P19" s="11"/>
      <c r="Q19" s="11"/>
      <c r="R19" s="11"/>
      <c r="S19" s="11"/>
      <c r="T19" s="11"/>
      <c r="U19" s="152"/>
      <c r="V19" s="153">
        <v>12</v>
      </c>
      <c r="W19" s="154">
        <f t="shared" si="0"/>
        <v>1</v>
      </c>
    </row>
    <row r="20" spans="1:23" ht="18" customHeight="1" thickBot="1">
      <c r="A20" s="213"/>
      <c r="B20" s="15" t="s">
        <v>175</v>
      </c>
      <c r="C20" s="16">
        <f t="shared" ref="C20:U20" si="1">SUM(C7:C19)</f>
        <v>25</v>
      </c>
      <c r="D20" s="16">
        <f t="shared" si="1"/>
        <v>3</v>
      </c>
      <c r="E20" s="16">
        <f t="shared" si="1"/>
        <v>0</v>
      </c>
      <c r="F20" s="16">
        <f t="shared" si="1"/>
        <v>0</v>
      </c>
      <c r="G20" s="16">
        <f t="shared" si="1"/>
        <v>26</v>
      </c>
      <c r="H20" s="16">
        <f t="shared" si="1"/>
        <v>7</v>
      </c>
      <c r="I20" s="16">
        <f t="shared" si="1"/>
        <v>16</v>
      </c>
      <c r="J20" s="16">
        <f t="shared" si="1"/>
        <v>27</v>
      </c>
      <c r="K20" s="16">
        <f t="shared" si="1"/>
        <v>15</v>
      </c>
      <c r="L20" s="16">
        <f t="shared" si="1"/>
        <v>7</v>
      </c>
      <c r="M20" s="16">
        <f t="shared" si="1"/>
        <v>15</v>
      </c>
      <c r="N20" s="16">
        <f t="shared" si="1"/>
        <v>8</v>
      </c>
      <c r="O20" s="16">
        <f t="shared" si="1"/>
        <v>10</v>
      </c>
      <c r="P20" s="16">
        <f t="shared" si="1"/>
        <v>8</v>
      </c>
      <c r="Q20" s="16">
        <f t="shared" si="1"/>
        <v>0</v>
      </c>
      <c r="R20" s="16">
        <f t="shared" si="1"/>
        <v>0</v>
      </c>
      <c r="S20" s="16">
        <f t="shared" si="1"/>
        <v>0</v>
      </c>
      <c r="T20" s="16">
        <f t="shared" si="1"/>
        <v>0</v>
      </c>
      <c r="U20" s="17">
        <f t="shared" si="1"/>
        <v>0</v>
      </c>
      <c r="W20" s="156">
        <f t="shared" si="0"/>
        <v>51</v>
      </c>
    </row>
    <row r="21" spans="1:23" s="148" customFormat="1" ht="18" customHeight="1">
      <c r="A21" s="157"/>
      <c r="B21" s="44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U21" s="46"/>
      <c r="W21" s="46"/>
    </row>
    <row r="22" spans="1:23" s="148" customFormat="1" ht="42.75" customHeight="1" thickBot="1">
      <c r="A22" s="1" t="s">
        <v>176</v>
      </c>
      <c r="B22" s="6" t="s">
        <v>144</v>
      </c>
      <c r="C22" s="7" t="s">
        <v>145</v>
      </c>
      <c r="D22" s="7" t="s">
        <v>146</v>
      </c>
      <c r="E22" s="7" t="s">
        <v>147</v>
      </c>
      <c r="F22" s="7" t="s">
        <v>148</v>
      </c>
      <c r="G22" s="7" t="s">
        <v>149</v>
      </c>
      <c r="H22" s="7" t="s">
        <v>150</v>
      </c>
      <c r="I22" s="7" t="s">
        <v>151</v>
      </c>
      <c r="J22" s="7" t="s">
        <v>152</v>
      </c>
      <c r="K22" s="7" t="s">
        <v>153</v>
      </c>
      <c r="L22" s="7" t="s">
        <v>154</v>
      </c>
      <c r="M22" s="7" t="s">
        <v>155</v>
      </c>
      <c r="N22" s="7" t="s">
        <v>156</v>
      </c>
      <c r="O22" s="7" t="s">
        <v>157</v>
      </c>
      <c r="P22" s="7" t="s">
        <v>158</v>
      </c>
      <c r="Q22" s="7" t="s">
        <v>159</v>
      </c>
      <c r="R22" s="7" t="s">
        <v>160</v>
      </c>
      <c r="S22" s="7" t="s">
        <v>59</v>
      </c>
      <c r="T22" s="7"/>
      <c r="U22" s="8" t="s">
        <v>161</v>
      </c>
      <c r="V22" s="149"/>
      <c r="W22" s="150" t="s">
        <v>0</v>
      </c>
    </row>
    <row r="23" spans="1:23" s="148" customFormat="1" ht="17.100000000000001" customHeight="1">
      <c r="A23" s="212"/>
      <c r="B23" s="151" t="s">
        <v>162</v>
      </c>
      <c r="C23" s="158">
        <f t="shared" ref="C23:U35" si="2">IF(C$20=0,0,C7/C$20)</f>
        <v>0</v>
      </c>
      <c r="D23" s="158">
        <f t="shared" si="2"/>
        <v>0</v>
      </c>
      <c r="E23" s="158">
        <f t="shared" si="2"/>
        <v>0</v>
      </c>
      <c r="F23" s="158">
        <f t="shared" si="2"/>
        <v>0</v>
      </c>
      <c r="G23" s="158">
        <f t="shared" si="2"/>
        <v>0.15384615384615385</v>
      </c>
      <c r="H23" s="158">
        <f t="shared" si="2"/>
        <v>0</v>
      </c>
      <c r="I23" s="158">
        <f t="shared" si="2"/>
        <v>6.25E-2</v>
      </c>
      <c r="J23" s="158">
        <f t="shared" si="2"/>
        <v>0</v>
      </c>
      <c r="K23" s="158">
        <f t="shared" si="2"/>
        <v>0</v>
      </c>
      <c r="L23" s="158">
        <f t="shared" si="2"/>
        <v>0</v>
      </c>
      <c r="M23" s="158">
        <f t="shared" si="2"/>
        <v>0</v>
      </c>
      <c r="N23" s="158">
        <f t="shared" si="2"/>
        <v>0</v>
      </c>
      <c r="O23" s="158">
        <f t="shared" si="2"/>
        <v>0</v>
      </c>
      <c r="P23" s="158">
        <f t="shared" si="2"/>
        <v>0</v>
      </c>
      <c r="Q23" s="158">
        <f t="shared" si="2"/>
        <v>0</v>
      </c>
      <c r="R23" s="158">
        <f t="shared" si="2"/>
        <v>0</v>
      </c>
      <c r="S23" s="158">
        <f t="shared" si="2"/>
        <v>0</v>
      </c>
      <c r="T23" s="158">
        <f t="shared" si="2"/>
        <v>0</v>
      </c>
      <c r="U23" s="159">
        <f t="shared" si="2"/>
        <v>0</v>
      </c>
      <c r="V23" s="153">
        <v>0</v>
      </c>
      <c r="W23" s="160">
        <f t="shared" ref="W23:W35" si="3">IF(W$20=0,0,W7/W$20)</f>
        <v>0</v>
      </c>
    </row>
    <row r="24" spans="1:23" s="148" customFormat="1" ht="17.100000000000001" customHeight="1">
      <c r="A24" s="212"/>
      <c r="B24" s="151" t="s">
        <v>163</v>
      </c>
      <c r="C24" s="158">
        <f t="shared" si="2"/>
        <v>0.04</v>
      </c>
      <c r="D24" s="158">
        <f t="shared" si="2"/>
        <v>0.33333333333333331</v>
      </c>
      <c r="E24" s="158">
        <f t="shared" si="2"/>
        <v>0</v>
      </c>
      <c r="F24" s="158">
        <f t="shared" si="2"/>
        <v>0</v>
      </c>
      <c r="G24" s="158">
        <f t="shared" si="2"/>
        <v>3.8461538461538464E-2</v>
      </c>
      <c r="H24" s="158">
        <f t="shared" si="2"/>
        <v>0</v>
      </c>
      <c r="I24" s="158">
        <f t="shared" si="2"/>
        <v>0</v>
      </c>
      <c r="J24" s="158">
        <f t="shared" si="2"/>
        <v>0</v>
      </c>
      <c r="K24" s="158">
        <f t="shared" si="2"/>
        <v>0</v>
      </c>
      <c r="L24" s="158">
        <f t="shared" si="2"/>
        <v>0</v>
      </c>
      <c r="M24" s="158">
        <f t="shared" si="2"/>
        <v>0</v>
      </c>
      <c r="N24" s="158">
        <f t="shared" si="2"/>
        <v>0.375</v>
      </c>
      <c r="O24" s="158">
        <f t="shared" si="2"/>
        <v>0</v>
      </c>
      <c r="P24" s="158">
        <f t="shared" si="2"/>
        <v>0</v>
      </c>
      <c r="Q24" s="158">
        <f t="shared" si="2"/>
        <v>0</v>
      </c>
      <c r="R24" s="158">
        <f t="shared" si="2"/>
        <v>0</v>
      </c>
      <c r="S24" s="158">
        <f t="shared" si="2"/>
        <v>0</v>
      </c>
      <c r="T24" s="158">
        <f t="shared" si="2"/>
        <v>0</v>
      </c>
      <c r="U24" s="159">
        <f t="shared" si="2"/>
        <v>0</v>
      </c>
      <c r="V24" s="153">
        <v>1</v>
      </c>
      <c r="W24" s="160">
        <f t="shared" si="3"/>
        <v>7.8431372549019607E-2</v>
      </c>
    </row>
    <row r="25" spans="1:23" s="148" customFormat="1" ht="17.100000000000001" customHeight="1">
      <c r="A25" s="212"/>
      <c r="B25" s="151" t="s">
        <v>164</v>
      </c>
      <c r="C25" s="158">
        <f t="shared" si="2"/>
        <v>0</v>
      </c>
      <c r="D25" s="158">
        <f t="shared" si="2"/>
        <v>0</v>
      </c>
      <c r="E25" s="158">
        <f t="shared" si="2"/>
        <v>0</v>
      </c>
      <c r="F25" s="158">
        <f t="shared" si="2"/>
        <v>0</v>
      </c>
      <c r="G25" s="158">
        <f t="shared" si="2"/>
        <v>0</v>
      </c>
      <c r="H25" s="158">
        <f t="shared" si="2"/>
        <v>0</v>
      </c>
      <c r="I25" s="158">
        <f t="shared" si="2"/>
        <v>0.125</v>
      </c>
      <c r="J25" s="158">
        <f t="shared" si="2"/>
        <v>0</v>
      </c>
      <c r="K25" s="158">
        <f t="shared" si="2"/>
        <v>0</v>
      </c>
      <c r="L25" s="158">
        <f t="shared" si="2"/>
        <v>0</v>
      </c>
      <c r="M25" s="158">
        <f t="shared" si="2"/>
        <v>0.26666666666666666</v>
      </c>
      <c r="N25" s="158">
        <f t="shared" si="2"/>
        <v>0</v>
      </c>
      <c r="O25" s="158">
        <f t="shared" si="2"/>
        <v>0</v>
      </c>
      <c r="P25" s="158">
        <f t="shared" si="2"/>
        <v>0</v>
      </c>
      <c r="Q25" s="158">
        <f t="shared" si="2"/>
        <v>0</v>
      </c>
      <c r="R25" s="158">
        <f t="shared" si="2"/>
        <v>0</v>
      </c>
      <c r="S25" s="158">
        <f t="shared" si="2"/>
        <v>0</v>
      </c>
      <c r="T25" s="158">
        <f t="shared" si="2"/>
        <v>0</v>
      </c>
      <c r="U25" s="159">
        <f t="shared" si="2"/>
        <v>0</v>
      </c>
      <c r="V25" s="153">
        <v>2</v>
      </c>
      <c r="W25" s="160">
        <f t="shared" si="3"/>
        <v>0</v>
      </c>
    </row>
    <row r="26" spans="1:23" s="148" customFormat="1" ht="17.100000000000001" customHeight="1">
      <c r="A26" s="212"/>
      <c r="B26" s="151" t="s">
        <v>165</v>
      </c>
      <c r="C26" s="158">
        <f t="shared" si="2"/>
        <v>0</v>
      </c>
      <c r="D26" s="158">
        <f t="shared" si="2"/>
        <v>0</v>
      </c>
      <c r="E26" s="158">
        <f t="shared" si="2"/>
        <v>0</v>
      </c>
      <c r="F26" s="158">
        <f t="shared" si="2"/>
        <v>0</v>
      </c>
      <c r="G26" s="158">
        <f t="shared" si="2"/>
        <v>0</v>
      </c>
      <c r="H26" s="158">
        <f t="shared" si="2"/>
        <v>0.14285714285714285</v>
      </c>
      <c r="I26" s="158">
        <f t="shared" si="2"/>
        <v>0.375</v>
      </c>
      <c r="J26" s="158">
        <f t="shared" si="2"/>
        <v>3.7037037037037035E-2</v>
      </c>
      <c r="K26" s="158">
        <f t="shared" si="2"/>
        <v>0</v>
      </c>
      <c r="L26" s="158">
        <f t="shared" si="2"/>
        <v>0</v>
      </c>
      <c r="M26" s="158">
        <f t="shared" si="2"/>
        <v>0.26666666666666666</v>
      </c>
      <c r="N26" s="158">
        <f t="shared" si="2"/>
        <v>0</v>
      </c>
      <c r="O26" s="158">
        <f t="shared" si="2"/>
        <v>0</v>
      </c>
      <c r="P26" s="158">
        <f t="shared" si="2"/>
        <v>0</v>
      </c>
      <c r="Q26" s="158">
        <f t="shared" si="2"/>
        <v>0</v>
      </c>
      <c r="R26" s="158">
        <f t="shared" si="2"/>
        <v>0</v>
      </c>
      <c r="S26" s="158">
        <f t="shared" si="2"/>
        <v>0</v>
      </c>
      <c r="T26" s="158">
        <f t="shared" si="2"/>
        <v>0</v>
      </c>
      <c r="U26" s="159">
        <f t="shared" si="2"/>
        <v>0</v>
      </c>
      <c r="V26" s="153">
        <v>3</v>
      </c>
      <c r="W26" s="160">
        <f t="shared" si="3"/>
        <v>0</v>
      </c>
    </row>
    <row r="27" spans="1:23" ht="17.100000000000001" customHeight="1">
      <c r="A27" s="212"/>
      <c r="B27" s="151" t="s">
        <v>166</v>
      </c>
      <c r="C27" s="158">
        <f t="shared" si="2"/>
        <v>0</v>
      </c>
      <c r="D27" s="158">
        <f t="shared" si="2"/>
        <v>0</v>
      </c>
      <c r="E27" s="158">
        <f t="shared" si="2"/>
        <v>0</v>
      </c>
      <c r="F27" s="158">
        <f t="shared" si="2"/>
        <v>0</v>
      </c>
      <c r="G27" s="158">
        <f t="shared" si="2"/>
        <v>0</v>
      </c>
      <c r="H27" s="158">
        <f t="shared" si="2"/>
        <v>0</v>
      </c>
      <c r="I27" s="158">
        <f t="shared" si="2"/>
        <v>0</v>
      </c>
      <c r="J27" s="158">
        <f t="shared" si="2"/>
        <v>0</v>
      </c>
      <c r="K27" s="158">
        <f t="shared" si="2"/>
        <v>0</v>
      </c>
      <c r="L27" s="158">
        <f t="shared" si="2"/>
        <v>0</v>
      </c>
      <c r="M27" s="158">
        <f t="shared" si="2"/>
        <v>0</v>
      </c>
      <c r="N27" s="158">
        <f t="shared" si="2"/>
        <v>0</v>
      </c>
      <c r="O27" s="158">
        <f t="shared" si="2"/>
        <v>0</v>
      </c>
      <c r="P27" s="158">
        <f t="shared" si="2"/>
        <v>0</v>
      </c>
      <c r="Q27" s="158">
        <f t="shared" si="2"/>
        <v>0</v>
      </c>
      <c r="R27" s="158">
        <f t="shared" si="2"/>
        <v>0</v>
      </c>
      <c r="S27" s="158">
        <f t="shared" si="2"/>
        <v>0</v>
      </c>
      <c r="T27" s="158">
        <f t="shared" si="2"/>
        <v>0</v>
      </c>
      <c r="U27" s="159">
        <f t="shared" si="2"/>
        <v>0</v>
      </c>
      <c r="V27" s="153">
        <v>4</v>
      </c>
      <c r="W27" s="160">
        <f t="shared" si="3"/>
        <v>0</v>
      </c>
    </row>
    <row r="28" spans="1:23" ht="17.100000000000001" customHeight="1">
      <c r="A28" s="212"/>
      <c r="B28" s="151" t="s">
        <v>167</v>
      </c>
      <c r="C28" s="158">
        <f t="shared" si="2"/>
        <v>0</v>
      </c>
      <c r="D28" s="158">
        <f t="shared" si="2"/>
        <v>0</v>
      </c>
      <c r="E28" s="158">
        <f t="shared" si="2"/>
        <v>0</v>
      </c>
      <c r="F28" s="158">
        <f t="shared" si="2"/>
        <v>0</v>
      </c>
      <c r="G28" s="158">
        <f t="shared" si="2"/>
        <v>0.26923076923076922</v>
      </c>
      <c r="H28" s="158">
        <f t="shared" si="2"/>
        <v>0.14285714285714285</v>
      </c>
      <c r="I28" s="158">
        <f t="shared" si="2"/>
        <v>6.25E-2</v>
      </c>
      <c r="J28" s="158">
        <f t="shared" si="2"/>
        <v>3.7037037037037035E-2</v>
      </c>
      <c r="K28" s="158">
        <f t="shared" si="2"/>
        <v>0.33333333333333331</v>
      </c>
      <c r="L28" s="158">
        <f t="shared" si="2"/>
        <v>0</v>
      </c>
      <c r="M28" s="158">
        <f t="shared" si="2"/>
        <v>0.2</v>
      </c>
      <c r="N28" s="158">
        <f t="shared" si="2"/>
        <v>0</v>
      </c>
      <c r="O28" s="158">
        <f t="shared" si="2"/>
        <v>0</v>
      </c>
      <c r="P28" s="158">
        <f t="shared" si="2"/>
        <v>0</v>
      </c>
      <c r="Q28" s="158">
        <f t="shared" si="2"/>
        <v>0</v>
      </c>
      <c r="R28" s="158">
        <f t="shared" si="2"/>
        <v>0</v>
      </c>
      <c r="S28" s="158">
        <f t="shared" si="2"/>
        <v>0</v>
      </c>
      <c r="T28" s="158">
        <f t="shared" si="2"/>
        <v>0</v>
      </c>
      <c r="U28" s="159">
        <f t="shared" si="2"/>
        <v>0</v>
      </c>
      <c r="V28" s="153">
        <v>5</v>
      </c>
      <c r="W28" s="160">
        <f t="shared" si="3"/>
        <v>0</v>
      </c>
    </row>
    <row r="29" spans="1:23" ht="17.100000000000001" customHeight="1">
      <c r="A29" s="212"/>
      <c r="B29" s="151" t="s">
        <v>168</v>
      </c>
      <c r="C29" s="158">
        <f t="shared" si="2"/>
        <v>0.36</v>
      </c>
      <c r="D29" s="158">
        <f t="shared" si="2"/>
        <v>0</v>
      </c>
      <c r="E29" s="158">
        <f t="shared" si="2"/>
        <v>0</v>
      </c>
      <c r="F29" s="158">
        <f t="shared" si="2"/>
        <v>0</v>
      </c>
      <c r="G29" s="158">
        <f t="shared" si="2"/>
        <v>0.11538461538461539</v>
      </c>
      <c r="H29" s="158">
        <f t="shared" si="2"/>
        <v>0.2857142857142857</v>
      </c>
      <c r="I29" s="158">
        <f t="shared" si="2"/>
        <v>0.3125</v>
      </c>
      <c r="J29" s="158">
        <f t="shared" si="2"/>
        <v>0.55555555555555558</v>
      </c>
      <c r="K29" s="158">
        <f t="shared" si="2"/>
        <v>0.33333333333333331</v>
      </c>
      <c r="L29" s="158">
        <f t="shared" si="2"/>
        <v>0.14285714285714285</v>
      </c>
      <c r="M29" s="158">
        <f t="shared" si="2"/>
        <v>0</v>
      </c>
      <c r="N29" s="158">
        <f t="shared" si="2"/>
        <v>0.25</v>
      </c>
      <c r="O29" s="158">
        <f t="shared" si="2"/>
        <v>0.2</v>
      </c>
      <c r="P29" s="158">
        <f t="shared" si="2"/>
        <v>0</v>
      </c>
      <c r="Q29" s="158">
        <f t="shared" si="2"/>
        <v>0</v>
      </c>
      <c r="R29" s="158">
        <f t="shared" si="2"/>
        <v>0</v>
      </c>
      <c r="S29" s="158">
        <f t="shared" si="2"/>
        <v>0</v>
      </c>
      <c r="T29" s="158">
        <f t="shared" si="2"/>
        <v>0</v>
      </c>
      <c r="U29" s="159">
        <f t="shared" si="2"/>
        <v>0</v>
      </c>
      <c r="V29" s="153">
        <v>6</v>
      </c>
      <c r="W29" s="160">
        <f t="shared" si="3"/>
        <v>0.25490196078431371</v>
      </c>
    </row>
    <row r="30" spans="1:23" ht="17.100000000000001" customHeight="1">
      <c r="A30" s="212"/>
      <c r="B30" s="151" t="s">
        <v>169</v>
      </c>
      <c r="C30" s="158">
        <f t="shared" si="2"/>
        <v>0.28000000000000003</v>
      </c>
      <c r="D30" s="158">
        <f t="shared" si="2"/>
        <v>0</v>
      </c>
      <c r="E30" s="158">
        <f t="shared" si="2"/>
        <v>0</v>
      </c>
      <c r="F30" s="158">
        <f t="shared" si="2"/>
        <v>0</v>
      </c>
      <c r="G30" s="158">
        <f t="shared" si="2"/>
        <v>0.34615384615384615</v>
      </c>
      <c r="H30" s="158">
        <f t="shared" si="2"/>
        <v>0.2857142857142857</v>
      </c>
      <c r="I30" s="158">
        <f t="shared" si="2"/>
        <v>0</v>
      </c>
      <c r="J30" s="158">
        <f t="shared" si="2"/>
        <v>0.14814814814814814</v>
      </c>
      <c r="K30" s="158">
        <f t="shared" si="2"/>
        <v>0.13333333333333333</v>
      </c>
      <c r="L30" s="158">
        <f t="shared" si="2"/>
        <v>0.42857142857142855</v>
      </c>
      <c r="M30" s="158">
        <f t="shared" si="2"/>
        <v>6.6666666666666666E-2</v>
      </c>
      <c r="N30" s="158">
        <f t="shared" si="2"/>
        <v>0</v>
      </c>
      <c r="O30" s="158">
        <f t="shared" si="2"/>
        <v>0.1</v>
      </c>
      <c r="P30" s="158">
        <f t="shared" si="2"/>
        <v>0.5</v>
      </c>
      <c r="Q30" s="158">
        <f t="shared" si="2"/>
        <v>0</v>
      </c>
      <c r="R30" s="158">
        <f t="shared" si="2"/>
        <v>0</v>
      </c>
      <c r="S30" s="158">
        <f t="shared" si="2"/>
        <v>0</v>
      </c>
      <c r="T30" s="158">
        <f t="shared" si="2"/>
        <v>0</v>
      </c>
      <c r="U30" s="159">
        <f t="shared" si="2"/>
        <v>0</v>
      </c>
      <c r="V30" s="153">
        <v>7</v>
      </c>
      <c r="W30" s="160">
        <f t="shared" si="3"/>
        <v>0.23529411764705882</v>
      </c>
    </row>
    <row r="31" spans="1:23" ht="17.100000000000001" customHeight="1">
      <c r="A31" s="212"/>
      <c r="B31" s="151" t="s">
        <v>170</v>
      </c>
      <c r="C31" s="158">
        <f t="shared" si="2"/>
        <v>0.08</v>
      </c>
      <c r="D31" s="158">
        <f t="shared" si="2"/>
        <v>0.33333333333333331</v>
      </c>
      <c r="E31" s="158">
        <f t="shared" si="2"/>
        <v>0</v>
      </c>
      <c r="F31" s="158">
        <f t="shared" si="2"/>
        <v>0</v>
      </c>
      <c r="G31" s="158">
        <f t="shared" si="2"/>
        <v>3.8461538461538464E-2</v>
      </c>
      <c r="H31" s="158">
        <f t="shared" si="2"/>
        <v>0.14285714285714285</v>
      </c>
      <c r="I31" s="158">
        <f t="shared" si="2"/>
        <v>6.25E-2</v>
      </c>
      <c r="J31" s="158">
        <f t="shared" si="2"/>
        <v>0.18518518518518517</v>
      </c>
      <c r="K31" s="158">
        <f t="shared" si="2"/>
        <v>0.2</v>
      </c>
      <c r="L31" s="158">
        <f t="shared" si="2"/>
        <v>0.2857142857142857</v>
      </c>
      <c r="M31" s="158">
        <f t="shared" si="2"/>
        <v>0.13333333333333333</v>
      </c>
      <c r="N31" s="158">
        <f t="shared" si="2"/>
        <v>0.125</v>
      </c>
      <c r="O31" s="158">
        <f t="shared" si="2"/>
        <v>0.4</v>
      </c>
      <c r="P31" s="158">
        <f t="shared" si="2"/>
        <v>0</v>
      </c>
      <c r="Q31" s="158">
        <f t="shared" si="2"/>
        <v>0</v>
      </c>
      <c r="R31" s="158">
        <f t="shared" si="2"/>
        <v>0</v>
      </c>
      <c r="S31" s="158">
        <f t="shared" si="2"/>
        <v>0</v>
      </c>
      <c r="T31" s="158">
        <f t="shared" si="2"/>
        <v>0</v>
      </c>
      <c r="U31" s="159">
        <f t="shared" si="2"/>
        <v>0</v>
      </c>
      <c r="V31" s="153">
        <v>8</v>
      </c>
      <c r="W31" s="160">
        <f t="shared" si="3"/>
        <v>0.13725490196078433</v>
      </c>
    </row>
    <row r="32" spans="1:23" ht="17.100000000000001" customHeight="1">
      <c r="A32" s="212"/>
      <c r="B32" s="151" t="s">
        <v>171</v>
      </c>
      <c r="C32" s="158">
        <f t="shared" si="2"/>
        <v>0.04</v>
      </c>
      <c r="D32" s="158">
        <f t="shared" si="2"/>
        <v>0</v>
      </c>
      <c r="E32" s="158">
        <f t="shared" si="2"/>
        <v>0</v>
      </c>
      <c r="F32" s="158">
        <f t="shared" si="2"/>
        <v>0</v>
      </c>
      <c r="G32" s="158">
        <f t="shared" si="2"/>
        <v>0</v>
      </c>
      <c r="H32" s="158">
        <f t="shared" si="2"/>
        <v>0</v>
      </c>
      <c r="I32" s="158">
        <f t="shared" si="2"/>
        <v>0</v>
      </c>
      <c r="J32" s="158">
        <f t="shared" si="2"/>
        <v>0</v>
      </c>
      <c r="K32" s="158">
        <f t="shared" si="2"/>
        <v>0</v>
      </c>
      <c r="L32" s="158">
        <f t="shared" si="2"/>
        <v>0</v>
      </c>
      <c r="M32" s="158">
        <f t="shared" si="2"/>
        <v>0</v>
      </c>
      <c r="N32" s="158">
        <f t="shared" si="2"/>
        <v>0</v>
      </c>
      <c r="O32" s="158">
        <f t="shared" si="2"/>
        <v>0</v>
      </c>
      <c r="P32" s="158">
        <f t="shared" si="2"/>
        <v>0</v>
      </c>
      <c r="Q32" s="158">
        <f t="shared" si="2"/>
        <v>0</v>
      </c>
      <c r="R32" s="158">
        <f t="shared" si="2"/>
        <v>0</v>
      </c>
      <c r="S32" s="158">
        <f t="shared" si="2"/>
        <v>0</v>
      </c>
      <c r="T32" s="158">
        <f t="shared" si="2"/>
        <v>0</v>
      </c>
      <c r="U32" s="159">
        <f t="shared" si="2"/>
        <v>0</v>
      </c>
      <c r="V32" s="153">
        <v>9</v>
      </c>
      <c r="W32" s="160">
        <f t="shared" si="3"/>
        <v>1.9607843137254902E-2</v>
      </c>
    </row>
    <row r="33" spans="1:23" ht="17.100000000000001" customHeight="1">
      <c r="A33" s="212"/>
      <c r="B33" s="151" t="s">
        <v>172</v>
      </c>
      <c r="C33" s="158">
        <f t="shared" si="2"/>
        <v>0.2</v>
      </c>
      <c r="D33" s="158">
        <f t="shared" si="2"/>
        <v>0</v>
      </c>
      <c r="E33" s="158">
        <f t="shared" si="2"/>
        <v>0</v>
      </c>
      <c r="F33" s="158">
        <f t="shared" si="2"/>
        <v>0</v>
      </c>
      <c r="G33" s="158">
        <f t="shared" si="2"/>
        <v>3.8461538461538464E-2</v>
      </c>
      <c r="H33" s="158">
        <f t="shared" si="2"/>
        <v>0</v>
      </c>
      <c r="I33" s="158">
        <f t="shared" si="2"/>
        <v>0</v>
      </c>
      <c r="J33" s="158">
        <f t="shared" si="2"/>
        <v>3.7037037037037035E-2</v>
      </c>
      <c r="K33" s="158">
        <f t="shared" si="2"/>
        <v>0</v>
      </c>
      <c r="L33" s="158">
        <f t="shared" si="2"/>
        <v>0.14285714285714285</v>
      </c>
      <c r="M33" s="158">
        <f t="shared" si="2"/>
        <v>6.6666666666666666E-2</v>
      </c>
      <c r="N33" s="158">
        <f t="shared" si="2"/>
        <v>0.125</v>
      </c>
      <c r="O33" s="158">
        <f t="shared" si="2"/>
        <v>0.2</v>
      </c>
      <c r="P33" s="158">
        <f t="shared" si="2"/>
        <v>0.5</v>
      </c>
      <c r="Q33" s="158">
        <f t="shared" si="2"/>
        <v>0</v>
      </c>
      <c r="R33" s="158">
        <f t="shared" si="2"/>
        <v>0</v>
      </c>
      <c r="S33" s="158">
        <f t="shared" si="2"/>
        <v>0</v>
      </c>
      <c r="T33" s="158">
        <f t="shared" si="2"/>
        <v>0</v>
      </c>
      <c r="U33" s="159">
        <f t="shared" si="2"/>
        <v>0</v>
      </c>
      <c r="V33" s="153">
        <v>10</v>
      </c>
      <c r="W33" s="160">
        <f t="shared" si="3"/>
        <v>0.23529411764705882</v>
      </c>
    </row>
    <row r="34" spans="1:23" ht="17.100000000000001" customHeight="1">
      <c r="A34" s="212"/>
      <c r="B34" s="151" t="s">
        <v>173</v>
      </c>
      <c r="C34" s="158">
        <f t="shared" si="2"/>
        <v>0</v>
      </c>
      <c r="D34" s="158">
        <f t="shared" si="2"/>
        <v>0.33333333333333331</v>
      </c>
      <c r="E34" s="158">
        <f t="shared" si="2"/>
        <v>0</v>
      </c>
      <c r="F34" s="158">
        <f t="shared" si="2"/>
        <v>0</v>
      </c>
      <c r="G34" s="158">
        <f t="shared" si="2"/>
        <v>0</v>
      </c>
      <c r="H34" s="158">
        <f t="shared" si="2"/>
        <v>0</v>
      </c>
      <c r="I34" s="158">
        <f t="shared" si="2"/>
        <v>0</v>
      </c>
      <c r="J34" s="158">
        <f t="shared" si="2"/>
        <v>0</v>
      </c>
      <c r="K34" s="158">
        <f t="shared" si="2"/>
        <v>0</v>
      </c>
      <c r="L34" s="158">
        <f t="shared" si="2"/>
        <v>0</v>
      </c>
      <c r="M34" s="158">
        <f t="shared" si="2"/>
        <v>0</v>
      </c>
      <c r="N34" s="158">
        <f t="shared" si="2"/>
        <v>0</v>
      </c>
      <c r="O34" s="158">
        <f t="shared" si="2"/>
        <v>0.1</v>
      </c>
      <c r="P34" s="158">
        <f t="shared" si="2"/>
        <v>0</v>
      </c>
      <c r="Q34" s="158">
        <f t="shared" si="2"/>
        <v>0</v>
      </c>
      <c r="R34" s="158">
        <f t="shared" si="2"/>
        <v>0</v>
      </c>
      <c r="S34" s="158">
        <f t="shared" si="2"/>
        <v>0</v>
      </c>
      <c r="T34" s="158">
        <f t="shared" si="2"/>
        <v>0</v>
      </c>
      <c r="U34" s="159">
        <f t="shared" si="2"/>
        <v>0</v>
      </c>
      <c r="V34" s="153">
        <v>11</v>
      </c>
      <c r="W34" s="160">
        <f t="shared" si="3"/>
        <v>1.9607843137254902E-2</v>
      </c>
    </row>
    <row r="35" spans="1:23" ht="17.100000000000001" customHeight="1">
      <c r="A35" s="212"/>
      <c r="B35" s="151" t="s">
        <v>174</v>
      </c>
      <c r="C35" s="158">
        <f t="shared" si="2"/>
        <v>0</v>
      </c>
      <c r="D35" s="158">
        <f t="shared" si="2"/>
        <v>0</v>
      </c>
      <c r="E35" s="158">
        <f t="shared" si="2"/>
        <v>0</v>
      </c>
      <c r="F35" s="158">
        <f t="shared" si="2"/>
        <v>0</v>
      </c>
      <c r="G35" s="158">
        <f t="shared" si="2"/>
        <v>0</v>
      </c>
      <c r="H35" s="158">
        <f t="shared" si="2"/>
        <v>0</v>
      </c>
      <c r="I35" s="158">
        <f t="shared" si="2"/>
        <v>0</v>
      </c>
      <c r="J35" s="158">
        <f t="shared" si="2"/>
        <v>0</v>
      </c>
      <c r="K35" s="158">
        <f t="shared" si="2"/>
        <v>0</v>
      </c>
      <c r="L35" s="158">
        <f t="shared" si="2"/>
        <v>0</v>
      </c>
      <c r="M35" s="158">
        <f t="shared" si="2"/>
        <v>0</v>
      </c>
      <c r="N35" s="158">
        <f t="shared" si="2"/>
        <v>0.125</v>
      </c>
      <c r="O35" s="158">
        <f t="shared" si="2"/>
        <v>0</v>
      </c>
      <c r="P35" s="158">
        <f t="shared" si="2"/>
        <v>0</v>
      </c>
      <c r="Q35" s="158">
        <f t="shared" si="2"/>
        <v>0</v>
      </c>
      <c r="R35" s="158">
        <f t="shared" si="2"/>
        <v>0</v>
      </c>
      <c r="S35" s="158">
        <f t="shared" si="2"/>
        <v>0</v>
      </c>
      <c r="T35" s="158">
        <f t="shared" si="2"/>
        <v>0</v>
      </c>
      <c r="U35" s="159">
        <f t="shared" si="2"/>
        <v>0</v>
      </c>
      <c r="V35" s="153">
        <v>12</v>
      </c>
      <c r="W35" s="160">
        <f t="shared" si="3"/>
        <v>1.9607843137254902E-2</v>
      </c>
    </row>
    <row r="36" spans="1:23" ht="18" customHeight="1" thickBot="1">
      <c r="A36" s="213"/>
      <c r="B36" s="15" t="s">
        <v>175</v>
      </c>
      <c r="C36" s="25">
        <f t="shared" ref="C36:U36" si="4">SUM(C23:C35)</f>
        <v>1</v>
      </c>
      <c r="D36" s="25">
        <f t="shared" si="4"/>
        <v>1</v>
      </c>
      <c r="E36" s="25">
        <f t="shared" si="4"/>
        <v>0</v>
      </c>
      <c r="F36" s="25">
        <f t="shared" si="4"/>
        <v>0</v>
      </c>
      <c r="G36" s="25">
        <f t="shared" si="4"/>
        <v>1</v>
      </c>
      <c r="H36" s="25">
        <f t="shared" si="4"/>
        <v>1</v>
      </c>
      <c r="I36" s="25">
        <f t="shared" si="4"/>
        <v>1</v>
      </c>
      <c r="J36" s="25">
        <f t="shared" si="4"/>
        <v>1</v>
      </c>
      <c r="K36" s="25">
        <f t="shared" si="4"/>
        <v>1</v>
      </c>
      <c r="L36" s="25">
        <f t="shared" si="4"/>
        <v>1</v>
      </c>
      <c r="M36" s="25">
        <f t="shared" si="4"/>
        <v>1</v>
      </c>
      <c r="N36" s="25">
        <f t="shared" si="4"/>
        <v>1</v>
      </c>
      <c r="O36" s="25">
        <f t="shared" si="4"/>
        <v>1.0000000000000002</v>
      </c>
      <c r="P36" s="25">
        <f t="shared" si="4"/>
        <v>1</v>
      </c>
      <c r="Q36" s="25">
        <f t="shared" si="4"/>
        <v>0</v>
      </c>
      <c r="R36" s="25">
        <f t="shared" si="4"/>
        <v>0</v>
      </c>
      <c r="S36" s="25">
        <f t="shared" si="4"/>
        <v>0</v>
      </c>
      <c r="T36" s="37">
        <f t="shared" si="4"/>
        <v>0</v>
      </c>
      <c r="U36" s="26">
        <f t="shared" si="4"/>
        <v>0</v>
      </c>
      <c r="W36" s="161">
        <f>SUM(W23:W35)</f>
        <v>1</v>
      </c>
    </row>
    <row r="37" spans="1:23" ht="13.5" thickBot="1"/>
    <row r="38" spans="1:23" ht="21" customHeight="1" thickBot="1">
      <c r="A38" s="224" t="s">
        <v>177</v>
      </c>
      <c r="B38" s="225"/>
      <c r="C38" s="162">
        <f t="shared" ref="C38:U38" si="5">IF(C20=0,0,C4/C20)</f>
        <v>95329.279999999999</v>
      </c>
      <c r="D38" s="162">
        <f t="shared" si="5"/>
        <v>0</v>
      </c>
      <c r="E38" s="162">
        <f t="shared" si="5"/>
        <v>0</v>
      </c>
      <c r="F38" s="162">
        <f t="shared" si="5"/>
        <v>0</v>
      </c>
      <c r="G38" s="162">
        <f t="shared" si="5"/>
        <v>0</v>
      </c>
      <c r="H38" s="162">
        <f t="shared" si="5"/>
        <v>0</v>
      </c>
      <c r="I38" s="162">
        <f t="shared" si="5"/>
        <v>0</v>
      </c>
      <c r="J38" s="162">
        <f t="shared" si="5"/>
        <v>0</v>
      </c>
      <c r="K38" s="162">
        <f t="shared" si="5"/>
        <v>0</v>
      </c>
      <c r="L38" s="162">
        <f t="shared" si="5"/>
        <v>0</v>
      </c>
      <c r="M38" s="162">
        <f t="shared" si="5"/>
        <v>0</v>
      </c>
      <c r="N38" s="162">
        <f t="shared" si="5"/>
        <v>131789.75</v>
      </c>
      <c r="O38" s="162">
        <f t="shared" si="5"/>
        <v>128317.5</v>
      </c>
      <c r="P38" s="162">
        <f t="shared" si="5"/>
        <v>109808.75</v>
      </c>
      <c r="Q38" s="162">
        <f t="shared" si="5"/>
        <v>0</v>
      </c>
      <c r="R38" s="162">
        <f t="shared" si="5"/>
        <v>0</v>
      </c>
      <c r="S38" s="162">
        <f t="shared" si="5"/>
        <v>0</v>
      </c>
      <c r="T38" s="163">
        <f t="shared" si="5"/>
        <v>0</v>
      </c>
      <c r="U38" s="164">
        <f t="shared" si="5"/>
        <v>0</v>
      </c>
      <c r="V38" s="165"/>
      <c r="W38" s="166">
        <f>IF(W20=0,0,W4/W20)</f>
        <v>109788.13725490196</v>
      </c>
    </row>
  </sheetData>
  <mergeCells count="7">
    <mergeCell ref="A6:A20"/>
    <mergeCell ref="A22:A36"/>
    <mergeCell ref="A38:B38"/>
    <mergeCell ref="A1:W1"/>
    <mergeCell ref="A2:W2"/>
    <mergeCell ref="A3:W3"/>
    <mergeCell ref="A4:B4"/>
  </mergeCells>
  <conditionalFormatting sqref="C23:U35">
    <cfRule type="cellIs" dxfId="1" priority="1" stopIfTrue="1" operator="notEqual">
      <formula>0</formula>
    </cfRule>
    <cfRule type="cellIs" dxfId="0" priority="2" stopIfTrue="1" operator="lessThan">
      <formula>0.49</formula>
    </cfRule>
  </conditionalFormatting>
  <pageMargins left="0.75" right="0.75" top="1" bottom="1" header="0.5" footer="0.5"/>
  <pageSetup paperSize="9" scale="84" orientation="portrait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>
    <pageSetUpPr fitToPage="1"/>
  </sheetPr>
  <dimension ref="A1:I315"/>
  <sheetViews>
    <sheetView zoomScale="95" zoomScaleNormal="95" workbookViewId="0">
      <pane xSplit="1" ySplit="2" topLeftCell="B8" activePane="bottomRight" state="frozen"/>
      <selection activeCell="I19" sqref="I19"/>
      <selection pane="topRight" activeCell="I19" sqref="I19"/>
      <selection pane="bottomLeft" activeCell="I19" sqref="I19"/>
      <selection pane="bottomRight" activeCell="C32" sqref="C32"/>
    </sheetView>
  </sheetViews>
  <sheetFormatPr defaultRowHeight="12.75" outlineLevelRow="1"/>
  <cols>
    <col min="1" max="1" width="5.42578125" customWidth="1"/>
    <col min="2" max="6" width="20.28515625" customWidth="1"/>
    <col min="7" max="7" width="3.5703125" style="31" customWidth="1"/>
    <col min="9" max="9" width="16.140625" bestFit="1" customWidth="1"/>
    <col min="10" max="10" width="14.5703125" bestFit="1" customWidth="1"/>
  </cols>
  <sheetData>
    <row r="1" spans="1:9" s="3" customFormat="1" ht="23.25" customHeight="1">
      <c r="A1" s="2"/>
      <c r="B1" s="2"/>
      <c r="C1" s="2"/>
      <c r="D1" s="2"/>
      <c r="E1" s="2"/>
      <c r="F1" s="2"/>
      <c r="G1" s="29"/>
    </row>
    <row r="2" spans="1:9" s="3" customFormat="1" ht="23.25" customHeight="1">
      <c r="A2" s="2"/>
      <c r="B2" s="2"/>
      <c r="C2" s="2"/>
      <c r="D2" s="2"/>
      <c r="E2" s="2"/>
      <c r="F2" s="2"/>
      <c r="G2" s="29"/>
    </row>
    <row r="3" spans="1:9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9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9" ht="18" customHeight="1" collapsed="1" thickBot="1">
      <c r="A5" s="4"/>
      <c r="B5" s="4"/>
      <c r="C5" s="4"/>
      <c r="D5" s="4"/>
      <c r="E5" s="30"/>
      <c r="F5" s="4"/>
      <c r="G5" s="30"/>
    </row>
    <row r="6" spans="1:9" s="9" customFormat="1" ht="53.25" customHeight="1" thickBot="1">
      <c r="A6" s="229" t="s">
        <v>18</v>
      </c>
      <c r="B6" s="201" t="s">
        <v>58</v>
      </c>
      <c r="C6" s="201" t="s">
        <v>20</v>
      </c>
      <c r="D6" s="201" t="s">
        <v>14</v>
      </c>
      <c r="E6" s="201" t="s">
        <v>17</v>
      </c>
      <c r="F6" s="201" t="s">
        <v>19</v>
      </c>
      <c r="G6" s="149"/>
      <c r="H6" s="149"/>
      <c r="I6" s="149"/>
    </row>
    <row r="7" spans="1:9" ht="15" customHeight="1" outlineLevel="1">
      <c r="A7" s="230"/>
      <c r="B7" s="199" t="s">
        <v>2</v>
      </c>
      <c r="C7" s="195">
        <v>1678214.6669776118</v>
      </c>
      <c r="D7" s="195">
        <v>1540408.1595149252</v>
      </c>
      <c r="E7" s="195">
        <f>11.57-0.5</f>
        <v>11.07</v>
      </c>
      <c r="F7" s="202">
        <f>22.6862745098039%-0.02</f>
        <v>0.20686274509803904</v>
      </c>
      <c r="G7"/>
    </row>
    <row r="8" spans="1:9" ht="15" customHeight="1">
      <c r="A8" s="230"/>
      <c r="B8" s="199" t="s">
        <v>22</v>
      </c>
      <c r="C8" s="195">
        <v>239012.99751243781</v>
      </c>
      <c r="D8" s="195">
        <v>211625.53482587065</v>
      </c>
      <c r="E8" s="195">
        <v>1.65</v>
      </c>
      <c r="F8" s="203">
        <v>3.2352941176470584E-2</v>
      </c>
      <c r="G8"/>
    </row>
    <row r="9" spans="1:9" ht="14.25" customHeight="1">
      <c r="A9" s="230"/>
      <c r="B9" s="199" t="s">
        <v>23</v>
      </c>
      <c r="C9" s="195">
        <v>1683259.2601057214</v>
      </c>
      <c r="D9" s="195">
        <v>1538560.8123445273</v>
      </c>
      <c r="E9" s="195">
        <f>11.6-1</f>
        <v>10.6</v>
      </c>
      <c r="F9" s="203">
        <f>22.7450980392157%-0.02</f>
        <v>0.20745098039215704</v>
      </c>
      <c r="G9"/>
    </row>
    <row r="10" spans="1:9" ht="0.75" hidden="1" customHeight="1">
      <c r="A10" s="230"/>
      <c r="B10" s="204" t="s">
        <v>24</v>
      </c>
      <c r="C10" s="195">
        <v>0</v>
      </c>
      <c r="D10" s="195">
        <v>0</v>
      </c>
      <c r="E10" s="195">
        <v>1.83</v>
      </c>
      <c r="F10" s="203">
        <v>3.5882352941176497E-2</v>
      </c>
      <c r="G10"/>
    </row>
    <row r="11" spans="1:9" ht="15" customHeight="1">
      <c r="A11" s="230"/>
      <c r="B11" s="199" t="s">
        <v>184</v>
      </c>
      <c r="C11" s="195">
        <v>266615.44402985071</v>
      </c>
      <c r="D11" s="195">
        <v>240221.71268656713</v>
      </c>
      <c r="E11" s="195">
        <v>1.83</v>
      </c>
      <c r="F11" s="203">
        <v>3.5882352941176469E-2</v>
      </c>
      <c r="G11"/>
    </row>
    <row r="12" spans="1:9" ht="15" customHeight="1">
      <c r="A12" s="230"/>
      <c r="B12" s="199" t="s">
        <v>25</v>
      </c>
      <c r="C12" s="195">
        <v>157358.51057213935</v>
      </c>
      <c r="D12" s="195">
        <v>141024.48072139305</v>
      </c>
      <c r="E12" s="195">
        <v>1.0900000000000001</v>
      </c>
      <c r="F12" s="203">
        <v>2.1372549019607841E-2</v>
      </c>
      <c r="G12"/>
    </row>
    <row r="13" spans="1:9" ht="15" customHeight="1">
      <c r="A13" s="230"/>
      <c r="B13" s="199" t="s">
        <v>26</v>
      </c>
      <c r="C13" s="195">
        <v>532325.01787935325</v>
      </c>
      <c r="D13" s="195">
        <v>478418.45071517403</v>
      </c>
      <c r="E13" s="195">
        <v>3.66</v>
      </c>
      <c r="F13" s="203">
        <v>7.1764705882352939E-2</v>
      </c>
      <c r="G13"/>
    </row>
    <row r="14" spans="1:9" ht="15" customHeight="1">
      <c r="A14" s="230"/>
      <c r="B14" s="199" t="s">
        <v>27</v>
      </c>
      <c r="C14" s="195">
        <v>152411.28529228852</v>
      </c>
      <c r="D14" s="195">
        <v>141429.37484452731</v>
      </c>
      <c r="E14" s="195">
        <v>1.04</v>
      </c>
      <c r="F14" s="203">
        <v>2.0392156862745096E-2</v>
      </c>
      <c r="G14"/>
    </row>
    <row r="15" spans="1:9" ht="15" customHeight="1">
      <c r="A15" s="230"/>
      <c r="B15" s="199" t="s">
        <v>28</v>
      </c>
      <c r="C15" s="195">
        <v>158974.61023009947</v>
      </c>
      <c r="D15" s="195">
        <v>157900.1027674129</v>
      </c>
      <c r="E15" s="195">
        <v>1.06</v>
      </c>
      <c r="F15" s="203">
        <v>2.0784313725490187E-2</v>
      </c>
      <c r="G15"/>
    </row>
    <row r="16" spans="1:9" ht="15" customHeight="1">
      <c r="A16" s="230"/>
      <c r="B16" s="199" t="s">
        <v>4</v>
      </c>
      <c r="C16" s="195">
        <v>12745.864272388058</v>
      </c>
      <c r="D16" s="195">
        <v>12522.043376865671</v>
      </c>
      <c r="E16" s="195">
        <v>0.08</v>
      </c>
      <c r="F16" s="203">
        <v>1.5686274509803927E-3</v>
      </c>
      <c r="G16"/>
    </row>
    <row r="17" spans="1:7" ht="15" hidden="1" customHeight="1">
      <c r="A17" s="230"/>
      <c r="B17" s="199" t="s">
        <v>5</v>
      </c>
      <c r="C17" s="195">
        <v>0</v>
      </c>
      <c r="D17" s="195">
        <v>0</v>
      </c>
      <c r="E17" s="195">
        <v>0</v>
      </c>
      <c r="F17" s="203">
        <v>0</v>
      </c>
      <c r="G17"/>
    </row>
    <row r="18" spans="1:7" ht="15" customHeight="1">
      <c r="A18" s="230"/>
      <c r="B18" s="199" t="s">
        <v>29</v>
      </c>
      <c r="C18" s="195">
        <v>182520.79524253728</v>
      </c>
      <c r="D18" s="195">
        <v>171637.33255597009</v>
      </c>
      <c r="E18" s="195">
        <v>1.24</v>
      </c>
      <c r="F18" s="203">
        <v>2.4313725490196073E-2</v>
      </c>
      <c r="G18"/>
    </row>
    <row r="19" spans="1:7" ht="15" customHeight="1">
      <c r="A19" s="230"/>
      <c r="B19" s="199" t="s">
        <v>30</v>
      </c>
      <c r="C19" s="195">
        <v>85036.954291044778</v>
      </c>
      <c r="D19" s="195">
        <v>79308.71548507463</v>
      </c>
      <c r="E19" s="195">
        <v>0.59</v>
      </c>
      <c r="F19" s="203">
        <v>1.156862745098039E-2</v>
      </c>
      <c r="G19"/>
    </row>
    <row r="20" spans="1:7" ht="15" customHeight="1" collapsed="1">
      <c r="A20" s="230"/>
      <c r="B20" s="199" t="s">
        <v>31</v>
      </c>
      <c r="C20" s="195">
        <v>175694.92801616917</v>
      </c>
      <c r="D20" s="195">
        <v>164363.82353855722</v>
      </c>
      <c r="E20" s="195">
        <v>1.2</v>
      </c>
      <c r="F20" s="203">
        <v>2.3529411764705879E-2</v>
      </c>
      <c r="G20"/>
    </row>
    <row r="21" spans="1:7" ht="15" customHeight="1">
      <c r="A21" s="230"/>
      <c r="B21" s="199" t="s">
        <v>33</v>
      </c>
      <c r="C21" s="195">
        <v>26696.576337064667</v>
      </c>
      <c r="D21" s="195">
        <v>26571.203202736309</v>
      </c>
      <c r="E21" s="195">
        <v>0.18</v>
      </c>
      <c r="F21" s="203">
        <v>3.5294117647058812E-3</v>
      </c>
      <c r="G21"/>
    </row>
    <row r="22" spans="1:7" ht="15" customHeight="1">
      <c r="A22" s="230"/>
      <c r="B22" s="199" t="s">
        <v>32</v>
      </c>
      <c r="C22" s="195">
        <v>244280.07587064669</v>
      </c>
      <c r="D22" s="195">
        <v>241781.86691542278</v>
      </c>
      <c r="E22" s="195">
        <v>1.68</v>
      </c>
      <c r="F22" s="203">
        <v>3.2941176470588231E-2</v>
      </c>
      <c r="G22"/>
    </row>
    <row r="23" spans="1:7" ht="15" customHeight="1" collapsed="1">
      <c r="A23" s="230"/>
      <c r="B23" s="199" t="s">
        <v>6</v>
      </c>
      <c r="C23" s="195">
        <v>16158.79788557213</v>
      </c>
      <c r="D23" s="195">
        <v>16158.79788557213</v>
      </c>
      <c r="E23" s="195">
        <v>9.999999999999995E-2</v>
      </c>
      <c r="F23" s="203">
        <v>1.9607843137254893E-3</v>
      </c>
      <c r="G23"/>
    </row>
    <row r="24" spans="1:7" ht="15" hidden="1" customHeight="1">
      <c r="A24" s="230"/>
      <c r="B24" s="199" t="s">
        <v>7</v>
      </c>
      <c r="C24" s="195">
        <v>0</v>
      </c>
      <c r="D24" s="195">
        <v>0</v>
      </c>
      <c r="E24" s="195">
        <v>0</v>
      </c>
      <c r="F24" s="203">
        <v>0</v>
      </c>
      <c r="G24"/>
    </row>
    <row r="25" spans="1:7" ht="15" hidden="1" customHeight="1">
      <c r="A25" s="230"/>
      <c r="B25" s="204" t="s">
        <v>185</v>
      </c>
      <c r="C25" s="195">
        <v>0</v>
      </c>
      <c r="D25" s="195">
        <v>0</v>
      </c>
      <c r="E25" s="195">
        <v>0</v>
      </c>
      <c r="F25" s="203">
        <v>0</v>
      </c>
      <c r="G25"/>
    </row>
    <row r="26" spans="1:7" ht="15" hidden="1" customHeight="1">
      <c r="A26" s="230"/>
      <c r="B26" s="199" t="s">
        <v>35</v>
      </c>
      <c r="C26" s="195">
        <v>0</v>
      </c>
      <c r="D26" s="195">
        <v>0</v>
      </c>
      <c r="E26" s="195">
        <v>0</v>
      </c>
      <c r="F26" s="203">
        <v>0</v>
      </c>
      <c r="G26"/>
    </row>
    <row r="27" spans="1:7" ht="14.25" hidden="1" customHeight="1">
      <c r="A27" s="230"/>
      <c r="B27" s="199" t="s">
        <v>36</v>
      </c>
      <c r="C27" s="195">
        <v>0</v>
      </c>
      <c r="D27" s="195">
        <v>0</v>
      </c>
      <c r="E27" s="195">
        <v>0</v>
      </c>
      <c r="F27" s="203">
        <v>0</v>
      </c>
      <c r="G27"/>
    </row>
    <row r="28" spans="1:7" ht="15" customHeight="1">
      <c r="A28" s="230"/>
      <c r="B28" s="199" t="s">
        <v>57</v>
      </c>
      <c r="C28" s="195">
        <v>53393.152674129342</v>
      </c>
      <c r="D28" s="195">
        <v>53142.406405472626</v>
      </c>
      <c r="E28" s="195">
        <v>0.36</v>
      </c>
      <c r="F28" s="203">
        <v>7.0588235294117624E-3</v>
      </c>
      <c r="G28"/>
    </row>
    <row r="29" spans="1:7" ht="15" customHeight="1">
      <c r="A29" s="230"/>
      <c r="B29" s="199" t="s">
        <v>37</v>
      </c>
      <c r="C29" s="195">
        <v>494565.57851368154</v>
      </c>
      <c r="D29" s="195">
        <v>459829.28000621882</v>
      </c>
      <c r="E29" s="195">
        <v>3.36</v>
      </c>
      <c r="F29" s="203">
        <v>6.5882352941176475E-2</v>
      </c>
      <c r="G29"/>
    </row>
    <row r="30" spans="1:7" ht="15" hidden="1" customHeight="1">
      <c r="A30" s="230"/>
      <c r="B30" s="199" t="s">
        <v>38</v>
      </c>
      <c r="C30" s="195">
        <v>0</v>
      </c>
      <c r="D30" s="195">
        <v>0</v>
      </c>
      <c r="E30" s="195">
        <v>0</v>
      </c>
      <c r="F30" s="203">
        <v>0</v>
      </c>
      <c r="G30"/>
    </row>
    <row r="31" spans="1:7" ht="15" hidden="1" customHeight="1">
      <c r="A31" s="230"/>
      <c r="B31" s="199" t="s">
        <v>39</v>
      </c>
      <c r="C31" s="195">
        <v>0</v>
      </c>
      <c r="D31" s="195">
        <v>0</v>
      </c>
      <c r="E31" s="195">
        <v>0</v>
      </c>
      <c r="F31" s="203">
        <v>0</v>
      </c>
      <c r="G31"/>
    </row>
    <row r="32" spans="1:7" ht="15" customHeight="1">
      <c r="A32" s="230"/>
      <c r="B32" s="199" t="s">
        <v>40</v>
      </c>
      <c r="C32" s="195">
        <v>244280.07587064669</v>
      </c>
      <c r="D32" s="195">
        <v>241781.86691542278</v>
      </c>
      <c r="E32" s="195">
        <v>1.68</v>
      </c>
      <c r="F32" s="203">
        <v>3.2941176470588231E-2</v>
      </c>
      <c r="G32"/>
    </row>
    <row r="33" spans="1:6" ht="15" hidden="1" customHeight="1" collapsed="1">
      <c r="A33" s="230"/>
      <c r="B33" s="199" t="s">
        <v>186</v>
      </c>
      <c r="C33" s="195">
        <v>0</v>
      </c>
      <c r="D33" s="195">
        <v>0</v>
      </c>
      <c r="E33" s="195">
        <v>0</v>
      </c>
      <c r="F33" s="203">
        <v>0</v>
      </c>
    </row>
    <row r="34" spans="1:6">
      <c r="A34" s="207"/>
      <c r="B34" s="199" t="s">
        <v>41</v>
      </c>
      <c r="C34" s="195">
        <v>555961.04322139302</v>
      </c>
      <c r="D34" s="195">
        <v>526532.26710198994</v>
      </c>
      <c r="E34" s="195">
        <v>3.65</v>
      </c>
      <c r="F34" s="203">
        <v>7.1568627450980388E-2</v>
      </c>
    </row>
    <row r="35" spans="1:6">
      <c r="A35" s="207"/>
      <c r="B35" s="199" t="s">
        <v>42</v>
      </c>
      <c r="C35" s="195">
        <v>490411.94916044775</v>
      </c>
      <c r="D35" s="195">
        <v>446412.78498134325</v>
      </c>
      <c r="E35" s="195">
        <v>3.38</v>
      </c>
      <c r="F35" s="203">
        <v>6.6274509803921564E-2</v>
      </c>
    </row>
    <row r="36" spans="1:6" ht="13.5" thickBot="1">
      <c r="A36" s="208"/>
      <c r="B36" s="205" t="s">
        <v>0</v>
      </c>
      <c r="C36" s="24">
        <f>SUM(C7:C35)</f>
        <v>7449917.5839552237</v>
      </c>
      <c r="D36" s="24">
        <f>SUM(D7:D35)</f>
        <v>6889631.0167910429</v>
      </c>
      <c r="E36" s="24">
        <f>SUM(E7:E35)</f>
        <v>51.330000000000005</v>
      </c>
      <c r="F36" s="206">
        <f>SUM(F7:F35)</f>
        <v>0.99588235294117655</v>
      </c>
    </row>
    <row r="37" spans="1:6" collapsed="1"/>
    <row r="38" spans="1:6" hidden="1"/>
    <row r="41" spans="1:6" hidden="1"/>
    <row r="42" spans="1:6" hidden="1"/>
    <row r="54" hidden="1"/>
    <row r="55" collapsed="1"/>
    <row r="58" hidden="1"/>
    <row r="59" collapsed="1"/>
    <row r="69" collapsed="1"/>
    <row r="74" collapsed="1"/>
    <row r="76" collapsed="1"/>
    <row r="80" collapsed="1"/>
    <row r="82" collapsed="1"/>
    <row r="86" collapsed="1"/>
    <row r="127" collapsed="1"/>
    <row r="139" collapsed="1"/>
    <row r="141" collapsed="1"/>
    <row r="144" collapsed="1"/>
    <row r="148" collapsed="1"/>
    <row r="159" collapsed="1"/>
    <row r="180" collapsed="1"/>
    <row r="185" collapsed="1"/>
    <row r="188" collapsed="1"/>
    <row r="200" collapsed="1"/>
    <row r="203" collapsed="1"/>
    <row r="234" collapsed="1"/>
    <row r="275" collapsed="1"/>
    <row r="278" collapsed="1"/>
    <row r="281" collapsed="1"/>
    <row r="313" collapsed="1"/>
    <row r="315" collapsed="1"/>
  </sheetData>
  <mergeCells count="1">
    <mergeCell ref="A6:A33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Confidential&amp;C&amp;"Arial,Bold"&amp;12 &amp;11 &amp;10 23&amp;"Arial,Regular"&amp;8
Source : Financial Planning &amp; Analysis
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97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1276350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2">
    <pageSetUpPr fitToPage="1"/>
  </sheetPr>
  <dimension ref="A1:G316"/>
  <sheetViews>
    <sheetView zoomScale="95" zoomScaleNormal="95" workbookViewId="0">
      <pane xSplit="1" ySplit="2" topLeftCell="B6" activePane="bottomRight" state="frozen"/>
      <selection activeCell="D18" sqref="D18"/>
      <selection pane="topRight" activeCell="D18" sqref="D18"/>
      <selection pane="bottomLeft" activeCell="D18" sqref="D18"/>
      <selection pane="bottomRight" activeCell="D18" sqref="D18"/>
    </sheetView>
  </sheetViews>
  <sheetFormatPr defaultRowHeight="12.75" outlineLevelRow="1"/>
  <cols>
    <col min="1" max="1" width="5.42578125" customWidth="1"/>
    <col min="2" max="6" width="20.28515625" customWidth="1"/>
    <col min="7" max="7" width="3.5703125" style="37" customWidth="1"/>
    <col min="9" max="9" width="16.140625" bestFit="1" customWidth="1"/>
    <col min="10" max="10" width="14.570312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9"/>
    </row>
    <row r="2" spans="1:7" s="3" customFormat="1" ht="23.25" customHeight="1">
      <c r="A2" s="2"/>
      <c r="B2" s="2"/>
      <c r="C2" s="2"/>
      <c r="D2" s="2"/>
      <c r="E2" s="2"/>
      <c r="F2" s="2"/>
      <c r="G2" s="29"/>
    </row>
    <row r="3" spans="1:7" s="3" customFormat="1" ht="23.25" customHeight="1">
      <c r="A3" s="4"/>
      <c r="B3" s="27" t="s">
        <v>1</v>
      </c>
      <c r="C3" s="4"/>
      <c r="D3" s="4"/>
      <c r="E3" s="4"/>
      <c r="F3" s="4"/>
      <c r="G3" s="30"/>
    </row>
    <row r="4" spans="1:7" s="3" customFormat="1" ht="18" hidden="1" customHeight="1" outlineLevel="1">
      <c r="A4" s="5"/>
      <c r="B4" s="23" t="s">
        <v>11</v>
      </c>
      <c r="C4" s="23" t="s">
        <v>3</v>
      </c>
      <c r="D4" s="4"/>
      <c r="E4" s="4"/>
      <c r="F4" s="4"/>
      <c r="G4" s="30"/>
    </row>
    <row r="5" spans="1:7" ht="18" customHeight="1" collapsed="1">
      <c r="A5" s="4"/>
      <c r="B5" s="4"/>
      <c r="C5" s="4"/>
      <c r="D5" s="4"/>
      <c r="E5" s="4"/>
      <c r="F5" s="4"/>
      <c r="G5" s="30"/>
    </row>
    <row r="6" spans="1:7" s="9" customFormat="1" ht="53.25" customHeight="1" thickBot="1">
      <c r="A6" s="231" t="s">
        <v>18</v>
      </c>
      <c r="B6" s="6"/>
      <c r="C6" s="169" t="s">
        <v>21</v>
      </c>
      <c r="D6" s="169" t="s">
        <v>15</v>
      </c>
      <c r="E6" s="170" t="s">
        <v>17</v>
      </c>
      <c r="F6" s="170" t="s">
        <v>19</v>
      </c>
    </row>
    <row r="7" spans="1:7" ht="15" customHeight="1">
      <c r="A7" s="232"/>
      <c r="B7" s="20" t="s">
        <v>2</v>
      </c>
      <c r="C7" s="21">
        <v>0</v>
      </c>
      <c r="D7" s="21">
        <v>0</v>
      </c>
      <c r="E7" s="21">
        <v>8.27</v>
      </c>
      <c r="F7" s="38">
        <v>0.16215686274509802</v>
      </c>
      <c r="G7"/>
    </row>
    <row r="8" spans="1:7" ht="15" customHeight="1">
      <c r="A8" s="232"/>
      <c r="B8" s="20" t="s">
        <v>22</v>
      </c>
      <c r="C8" s="21">
        <v>0</v>
      </c>
      <c r="D8" s="21">
        <v>0</v>
      </c>
      <c r="E8" s="21">
        <v>1.65</v>
      </c>
      <c r="F8" s="38">
        <v>3.2352941176470584E-2</v>
      </c>
      <c r="G8"/>
    </row>
    <row r="9" spans="1:7" ht="15" customHeight="1">
      <c r="A9" s="232"/>
      <c r="B9" s="20" t="s">
        <v>23</v>
      </c>
      <c r="C9" s="21">
        <v>0</v>
      </c>
      <c r="D9" s="21">
        <v>0</v>
      </c>
      <c r="E9" s="21">
        <v>12.92</v>
      </c>
      <c r="F9" s="38">
        <v>0.2533333333333333</v>
      </c>
      <c r="G9"/>
    </row>
    <row r="10" spans="1:7" ht="15" customHeight="1">
      <c r="A10" s="232"/>
      <c r="B10" s="20" t="s">
        <v>24</v>
      </c>
      <c r="C10" s="21">
        <v>0</v>
      </c>
      <c r="D10" s="21">
        <v>0</v>
      </c>
      <c r="E10" s="21">
        <v>0.57999999999999996</v>
      </c>
      <c r="F10" s="38">
        <v>1.1372549019607842E-2</v>
      </c>
      <c r="G10"/>
    </row>
    <row r="11" spans="1:7" ht="15" customHeight="1">
      <c r="A11" s="232"/>
      <c r="B11" s="20" t="s">
        <v>25</v>
      </c>
      <c r="C11" s="21">
        <v>0</v>
      </c>
      <c r="D11" s="21">
        <v>0</v>
      </c>
      <c r="E11" s="21">
        <v>1.59</v>
      </c>
      <c r="F11" s="38">
        <v>3.1176470588235295E-2</v>
      </c>
      <c r="G11"/>
    </row>
    <row r="12" spans="1:7" ht="15" customHeight="1">
      <c r="A12" s="232"/>
      <c r="B12" s="20" t="s">
        <v>26</v>
      </c>
      <c r="C12" s="21">
        <v>0</v>
      </c>
      <c r="D12" s="21">
        <v>0</v>
      </c>
      <c r="E12" s="21">
        <v>4.16</v>
      </c>
      <c r="F12" s="38">
        <v>8.156862745098041E-2</v>
      </c>
      <c r="G12"/>
    </row>
    <row r="13" spans="1:7" ht="15" customHeight="1">
      <c r="A13" s="232"/>
      <c r="B13" s="20" t="s">
        <v>27</v>
      </c>
      <c r="C13" s="21">
        <v>0</v>
      </c>
      <c r="D13" s="21">
        <v>0</v>
      </c>
      <c r="E13" s="21">
        <v>1.87</v>
      </c>
      <c r="F13" s="38">
        <v>3.666666666666666E-2</v>
      </c>
      <c r="G13"/>
    </row>
    <row r="14" spans="1:7" ht="15" customHeight="1">
      <c r="A14" s="232"/>
      <c r="B14" s="20" t="s">
        <v>28</v>
      </c>
      <c r="C14" s="21">
        <v>0</v>
      </c>
      <c r="D14" s="21">
        <v>0</v>
      </c>
      <c r="E14" s="21">
        <v>1.06</v>
      </c>
      <c r="F14" s="38">
        <v>2.0784313725490187E-2</v>
      </c>
      <c r="G14"/>
    </row>
    <row r="15" spans="1:7" ht="15" customHeight="1">
      <c r="A15" s="232"/>
      <c r="B15" s="20" t="s">
        <v>4</v>
      </c>
      <c r="C15" s="21">
        <v>0</v>
      </c>
      <c r="D15" s="21">
        <v>0</v>
      </c>
      <c r="E15" s="21">
        <v>2.58</v>
      </c>
      <c r="F15" s="38">
        <v>5.0588235294117642E-2</v>
      </c>
      <c r="G15"/>
    </row>
    <row r="16" spans="1:7" ht="15" hidden="1" customHeight="1">
      <c r="A16" s="232"/>
      <c r="B16" s="20" t="s">
        <v>5</v>
      </c>
      <c r="C16" s="21">
        <v>0</v>
      </c>
      <c r="D16" s="21">
        <v>0</v>
      </c>
      <c r="E16" s="21">
        <v>0</v>
      </c>
      <c r="F16" s="38">
        <v>0</v>
      </c>
      <c r="G16"/>
    </row>
    <row r="17" spans="1:7" ht="15" customHeight="1">
      <c r="A17" s="232"/>
      <c r="B17" s="20" t="s">
        <v>29</v>
      </c>
      <c r="C17" s="21">
        <v>0</v>
      </c>
      <c r="D17" s="21">
        <v>0</v>
      </c>
      <c r="E17" s="21">
        <v>1.24</v>
      </c>
      <c r="F17" s="38">
        <v>2.4313725490196073E-2</v>
      </c>
      <c r="G17"/>
    </row>
    <row r="18" spans="1:7" ht="15" customHeight="1">
      <c r="A18" s="232"/>
      <c r="B18" s="20" t="s">
        <v>30</v>
      </c>
      <c r="C18" s="21">
        <v>0</v>
      </c>
      <c r="D18" s="21">
        <v>0</v>
      </c>
      <c r="E18" s="21">
        <v>1.02</v>
      </c>
      <c r="F18" s="38">
        <v>0.02</v>
      </c>
      <c r="G18"/>
    </row>
    <row r="19" spans="1:7" ht="15" customHeight="1">
      <c r="A19" s="232"/>
      <c r="B19" s="20" t="s">
        <v>31</v>
      </c>
      <c r="C19" s="21">
        <v>0</v>
      </c>
      <c r="D19" s="21">
        <v>0</v>
      </c>
      <c r="E19" s="21">
        <v>1.2</v>
      </c>
      <c r="F19" s="38">
        <v>2.3529411764705879E-2</v>
      </c>
      <c r="G19"/>
    </row>
    <row r="20" spans="1:7" ht="15" customHeight="1" collapsed="1">
      <c r="A20" s="232"/>
      <c r="B20" s="20" t="s">
        <v>33</v>
      </c>
      <c r="C20" s="21">
        <v>0</v>
      </c>
      <c r="D20" s="21">
        <v>0</v>
      </c>
      <c r="E20" s="21">
        <v>0.18</v>
      </c>
      <c r="F20" s="38">
        <v>3.5294117647058812E-3</v>
      </c>
      <c r="G20"/>
    </row>
    <row r="21" spans="1:7" ht="15" customHeight="1">
      <c r="A21" s="232"/>
      <c r="B21" s="20" t="s">
        <v>32</v>
      </c>
      <c r="C21" s="21">
        <v>0</v>
      </c>
      <c r="D21" s="21">
        <v>0</v>
      </c>
      <c r="E21" s="21">
        <v>1.6</v>
      </c>
      <c r="F21" s="38">
        <v>3.1372549019607843E-2</v>
      </c>
      <c r="G21"/>
    </row>
    <row r="22" spans="1:7" ht="15" customHeight="1">
      <c r="A22" s="232"/>
      <c r="B22" s="20" t="s">
        <v>6</v>
      </c>
      <c r="C22" s="21">
        <v>0</v>
      </c>
      <c r="D22" s="21">
        <v>0</v>
      </c>
      <c r="E22" s="21">
        <v>0.4</v>
      </c>
      <c r="F22" s="38">
        <v>7.8431372549019572E-3</v>
      </c>
      <c r="G22"/>
    </row>
    <row r="23" spans="1:7" ht="15" hidden="1" customHeight="1" collapsed="1">
      <c r="A23" s="232"/>
      <c r="B23" s="20" t="s">
        <v>7</v>
      </c>
      <c r="C23" s="21">
        <v>0</v>
      </c>
      <c r="D23" s="21">
        <v>0</v>
      </c>
      <c r="E23" s="21">
        <v>0</v>
      </c>
      <c r="F23" s="38">
        <v>0</v>
      </c>
      <c r="G23"/>
    </row>
    <row r="24" spans="1:7" ht="15" hidden="1" customHeight="1">
      <c r="A24" s="232"/>
      <c r="B24" s="20" t="s">
        <v>35</v>
      </c>
      <c r="C24" s="21">
        <v>0</v>
      </c>
      <c r="D24" s="21">
        <v>0</v>
      </c>
      <c r="E24" s="21">
        <v>0</v>
      </c>
      <c r="F24" s="38">
        <v>0</v>
      </c>
      <c r="G24"/>
    </row>
    <row r="25" spans="1:7" ht="15" hidden="1" customHeight="1">
      <c r="A25" s="232"/>
      <c r="B25" s="20" t="s">
        <v>36</v>
      </c>
      <c r="C25" s="21">
        <v>0</v>
      </c>
      <c r="D25" s="21">
        <v>0</v>
      </c>
      <c r="E25" s="21">
        <v>0</v>
      </c>
      <c r="F25" s="38">
        <v>0</v>
      </c>
      <c r="G25"/>
    </row>
    <row r="26" spans="1:7" ht="15" hidden="1" customHeight="1">
      <c r="A26" s="232"/>
      <c r="B26" s="20" t="s">
        <v>57</v>
      </c>
      <c r="C26" s="21">
        <v>0</v>
      </c>
      <c r="D26" s="21">
        <v>0</v>
      </c>
      <c r="E26" s="21">
        <v>0</v>
      </c>
      <c r="F26" s="38">
        <v>0</v>
      </c>
      <c r="G26"/>
    </row>
    <row r="27" spans="1:7" ht="15" hidden="1" customHeight="1">
      <c r="A27" s="232"/>
      <c r="B27" s="20" t="s">
        <v>34</v>
      </c>
      <c r="C27" s="21">
        <v>0</v>
      </c>
      <c r="D27" s="21">
        <v>0</v>
      </c>
      <c r="E27" s="21">
        <v>0</v>
      </c>
      <c r="F27" s="38">
        <v>0</v>
      </c>
      <c r="G27"/>
    </row>
    <row r="28" spans="1:7" ht="15" customHeight="1">
      <c r="A28" s="232"/>
      <c r="B28" s="20" t="s">
        <v>37</v>
      </c>
      <c r="C28" s="21">
        <v>0</v>
      </c>
      <c r="D28" s="21">
        <v>0</v>
      </c>
      <c r="E28" s="21">
        <v>2.56</v>
      </c>
      <c r="F28" s="38">
        <v>5.0196078431372547E-2</v>
      </c>
      <c r="G28"/>
    </row>
    <row r="29" spans="1:7" ht="15" hidden="1" customHeight="1">
      <c r="A29" s="232"/>
      <c r="B29" s="20" t="s">
        <v>38</v>
      </c>
      <c r="C29" s="21">
        <v>0</v>
      </c>
      <c r="D29" s="21">
        <v>0</v>
      </c>
      <c r="E29" s="21">
        <v>0</v>
      </c>
      <c r="F29" s="38">
        <v>0</v>
      </c>
      <c r="G29"/>
    </row>
    <row r="30" spans="1:7" ht="15" hidden="1" customHeight="1">
      <c r="A30" s="232"/>
      <c r="B30" s="20" t="s">
        <v>39</v>
      </c>
      <c r="C30" s="21">
        <v>0</v>
      </c>
      <c r="D30" s="21">
        <v>0</v>
      </c>
      <c r="E30" s="21">
        <v>0</v>
      </c>
      <c r="F30" s="38">
        <v>0</v>
      </c>
      <c r="G30"/>
    </row>
    <row r="31" spans="1:7" ht="15" customHeight="1">
      <c r="A31" s="232"/>
      <c r="B31" s="20" t="s">
        <v>40</v>
      </c>
      <c r="C31" s="21">
        <v>0</v>
      </c>
      <c r="D31" s="21">
        <v>0</v>
      </c>
      <c r="E31" s="21">
        <v>1.6</v>
      </c>
      <c r="F31" s="38">
        <v>3.1372549019607843E-2</v>
      </c>
      <c r="G31"/>
    </row>
    <row r="32" spans="1:7" ht="15" customHeight="1">
      <c r="A32" s="232"/>
      <c r="B32" s="20" t="s">
        <v>41</v>
      </c>
      <c r="C32" s="21">
        <v>0</v>
      </c>
      <c r="D32" s="21">
        <v>0</v>
      </c>
      <c r="E32" s="21">
        <v>2.4</v>
      </c>
      <c r="F32" s="38">
        <v>4.7058823529411771E-2</v>
      </c>
      <c r="G32"/>
    </row>
    <row r="33" spans="1:7" ht="15" customHeight="1">
      <c r="A33" s="232"/>
      <c r="B33" s="20" t="s">
        <v>42</v>
      </c>
      <c r="C33" s="21">
        <v>0</v>
      </c>
      <c r="D33" s="21">
        <v>0</v>
      </c>
      <c r="E33" s="21">
        <v>4.12</v>
      </c>
      <c r="F33" s="38">
        <v>8.0784313725490178E-2</v>
      </c>
      <c r="G33"/>
    </row>
    <row r="34" spans="1:7" ht="15" customHeight="1" collapsed="1" thickBot="1">
      <c r="A34" s="232"/>
      <c r="B34" s="32" t="s">
        <v>0</v>
      </c>
      <c r="C34" s="24">
        <f>SUM(C7:C33)-C27</f>
        <v>0</v>
      </c>
      <c r="D34" s="24">
        <f>SUM(D7:D33)-D27</f>
        <v>0</v>
      </c>
      <c r="E34" s="24">
        <f>SUM(E7:E33)-E27</f>
        <v>51.000000000000007</v>
      </c>
      <c r="F34" s="24">
        <f>SUM(F7:F33)-F27</f>
        <v>0.99999999999999989</v>
      </c>
    </row>
    <row r="38" spans="1:7" collapsed="1"/>
    <row r="56" collapsed="1"/>
    <row r="60" collapsed="1"/>
    <row r="70" collapsed="1"/>
    <row r="75" collapsed="1"/>
    <row r="77" collapsed="1"/>
    <row r="81" collapsed="1"/>
    <row r="83" collapsed="1"/>
    <row r="87" collapsed="1"/>
    <row r="128" collapsed="1"/>
    <row r="140" collapsed="1"/>
    <row r="142" collapsed="1"/>
    <row r="145" collapsed="1"/>
    <row r="149" collapsed="1"/>
    <row r="160" collapsed="1"/>
    <row r="181" collapsed="1"/>
    <row r="186" collapsed="1"/>
    <row r="189" collapsed="1"/>
    <row r="201" collapsed="1"/>
    <row r="204" collapsed="1"/>
    <row r="235" collapsed="1"/>
    <row r="276" collapsed="1"/>
    <row r="279" collapsed="1"/>
    <row r="282" collapsed="1"/>
    <row r="314" collapsed="1"/>
    <row r="316" collapsed="1"/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88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5" name="adaytum_page_1_drop_2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1276350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4">
    <pageSetUpPr fitToPage="1"/>
  </sheetPr>
  <dimension ref="A1:G34"/>
  <sheetViews>
    <sheetView zoomScale="95" zoomScaleNormal="95" workbookViewId="0">
      <pane xSplit="1" ySplit="2" topLeftCell="B20" activePane="bottomRight" state="frozen"/>
      <selection activeCell="H4" sqref="H4"/>
      <selection pane="topRight" activeCell="H4" sqref="H4"/>
      <selection pane="bottomLeft" activeCell="H4" sqref="H4"/>
      <selection pane="bottomRight" activeCell="F30" sqref="F30"/>
    </sheetView>
  </sheetViews>
  <sheetFormatPr defaultRowHeight="12.75"/>
  <cols>
    <col min="1" max="1" width="5.42578125" customWidth="1"/>
    <col min="2" max="2" width="26.85546875" customWidth="1"/>
    <col min="3" max="3" width="17.42578125" style="31" bestFit="1" customWidth="1"/>
    <col min="4" max="4" width="14.85546875" style="31" customWidth="1"/>
    <col min="5" max="5" width="3.85546875" customWidth="1"/>
    <col min="7" max="7" width="16.140625" bestFit="1" customWidth="1"/>
    <col min="8" max="8" width="14.5703125" bestFit="1" customWidth="1"/>
  </cols>
  <sheetData>
    <row r="1" spans="1:7" s="3" customFormat="1" ht="23.25" customHeight="1">
      <c r="A1" s="2"/>
      <c r="B1" s="2"/>
      <c r="C1" s="29"/>
      <c r="D1" s="29"/>
      <c r="E1" s="2"/>
      <c r="G1" s="3" t="s">
        <v>83</v>
      </c>
    </row>
    <row r="2" spans="1:7" s="3" customFormat="1" ht="23.25" customHeight="1">
      <c r="A2" s="2"/>
      <c r="B2" s="2"/>
      <c r="C2" s="29"/>
      <c r="D2" s="29"/>
      <c r="E2" s="2"/>
    </row>
    <row r="3" spans="1:7" s="3" customFormat="1" ht="23.25" customHeight="1">
      <c r="A3" s="4"/>
      <c r="B3" s="18" t="s">
        <v>1</v>
      </c>
      <c r="C3" s="30"/>
      <c r="D3" s="30"/>
      <c r="E3" s="4"/>
    </row>
    <row r="4" spans="1:7" s="3" customFormat="1" ht="18" customHeight="1">
      <c r="A4" s="5"/>
      <c r="B4" s="35" t="s">
        <v>0</v>
      </c>
      <c r="C4" s="167" t="s">
        <v>3</v>
      </c>
      <c r="D4" s="30"/>
      <c r="E4" s="4"/>
    </row>
    <row r="5" spans="1:7" ht="18">
      <c r="A5" s="4"/>
      <c r="B5" s="4"/>
      <c r="C5" s="30"/>
      <c r="D5" s="30"/>
      <c r="E5" s="4"/>
    </row>
    <row r="6" spans="1:7" s="9" customFormat="1" ht="46.5" customHeight="1" thickBot="1">
      <c r="A6" s="1" t="s">
        <v>18</v>
      </c>
      <c r="B6" s="6"/>
      <c r="C6" s="168" t="s">
        <v>20</v>
      </c>
      <c r="D6" s="64" t="s">
        <v>17</v>
      </c>
      <c r="E6" s="8"/>
    </row>
    <row r="7" spans="1:7" ht="18" customHeight="1">
      <c r="A7" s="212"/>
      <c r="B7" s="19" t="s">
        <v>2</v>
      </c>
      <c r="C7" s="33">
        <v>46962383.047219239</v>
      </c>
      <c r="D7" s="33">
        <v>293.40258212560394</v>
      </c>
      <c r="E7" s="14"/>
    </row>
    <row r="8" spans="1:7" ht="18" customHeight="1">
      <c r="A8" s="212"/>
      <c r="B8" s="19" t="s">
        <v>22</v>
      </c>
      <c r="C8" s="33">
        <v>9099070.0798571669</v>
      </c>
      <c r="D8" s="33">
        <v>94.728739130434789</v>
      </c>
      <c r="E8" s="14"/>
    </row>
    <row r="9" spans="1:7" ht="18" customHeight="1">
      <c r="A9" s="212"/>
      <c r="B9" s="19" t="s">
        <v>23</v>
      </c>
      <c r="C9" s="33">
        <v>95273181.918874562</v>
      </c>
      <c r="D9" s="33">
        <v>214.06426449275364</v>
      </c>
      <c r="E9" s="14"/>
    </row>
    <row r="10" spans="1:7" ht="18" customHeight="1">
      <c r="A10" s="212"/>
      <c r="B10" s="19" t="s">
        <v>24</v>
      </c>
      <c r="C10" s="33">
        <v>30508999.866823908</v>
      </c>
      <c r="D10" s="33">
        <v>117.89196014492755</v>
      </c>
      <c r="E10" s="14"/>
    </row>
    <row r="11" spans="1:7" ht="18" customHeight="1">
      <c r="A11" s="212"/>
      <c r="B11" s="19" t="s">
        <v>25</v>
      </c>
      <c r="C11" s="33">
        <v>6291931.4231246971</v>
      </c>
      <c r="D11" s="33">
        <v>25.004538647342997</v>
      </c>
      <c r="E11" s="14"/>
    </row>
    <row r="12" spans="1:7" ht="18" customHeight="1">
      <c r="A12" s="212"/>
      <c r="B12" s="19" t="s">
        <v>26</v>
      </c>
      <c r="C12" s="33">
        <v>9476832.7600170095</v>
      </c>
      <c r="D12" s="33">
        <v>77.650566425120786</v>
      </c>
      <c r="E12" s="14"/>
    </row>
    <row r="13" spans="1:7" ht="18" customHeight="1">
      <c r="A13" s="212"/>
      <c r="B13" s="19" t="s">
        <v>27</v>
      </c>
      <c r="C13" s="33">
        <v>8987192.3761355132</v>
      </c>
      <c r="D13" s="33">
        <v>41.491410628019338</v>
      </c>
      <c r="E13" s="14"/>
    </row>
    <row r="14" spans="1:7" ht="18" customHeight="1">
      <c r="A14" s="212"/>
      <c r="B14" s="19" t="s">
        <v>28</v>
      </c>
      <c r="C14" s="33">
        <v>10786801.262889316</v>
      </c>
      <c r="D14" s="33">
        <v>44.877229710144931</v>
      </c>
      <c r="E14" s="14"/>
    </row>
    <row r="15" spans="1:7" ht="18" customHeight="1">
      <c r="A15" s="212"/>
      <c r="B15" s="19" t="s">
        <v>4</v>
      </c>
      <c r="C15" s="33">
        <v>20900292.020790804</v>
      </c>
      <c r="D15" s="33">
        <v>105.65407971014494</v>
      </c>
      <c r="E15" s="14"/>
    </row>
    <row r="16" spans="1:7" ht="18" customHeight="1">
      <c r="A16" s="212"/>
      <c r="B16" s="19" t="s">
        <v>5</v>
      </c>
      <c r="C16" s="33">
        <v>7584789.6464062147</v>
      </c>
      <c r="D16" s="33">
        <v>44.098847826086967</v>
      </c>
      <c r="E16" s="14"/>
    </row>
    <row r="17" spans="1:5" ht="18" customHeight="1">
      <c r="A17" s="212"/>
      <c r="B17" s="19" t="s">
        <v>29</v>
      </c>
      <c r="C17" s="33">
        <v>9825694.7862614989</v>
      </c>
      <c r="D17" s="33">
        <v>33.852598309178752</v>
      </c>
      <c r="E17" s="14"/>
    </row>
    <row r="18" spans="1:5" ht="18" customHeight="1">
      <c r="A18" s="212"/>
      <c r="B18" s="19" t="s">
        <v>30</v>
      </c>
      <c r="C18" s="33">
        <v>1825489.7567023116</v>
      </c>
      <c r="D18" s="33">
        <v>7.6155917874396142</v>
      </c>
      <c r="E18" s="14"/>
    </row>
    <row r="19" spans="1:5" ht="18" customHeight="1">
      <c r="A19" s="212"/>
      <c r="B19" s="19" t="s">
        <v>31</v>
      </c>
      <c r="C19" s="33">
        <v>6015362.263283005</v>
      </c>
      <c r="D19" s="33">
        <v>38.950067149758461</v>
      </c>
      <c r="E19" s="14"/>
    </row>
    <row r="20" spans="1:5" ht="18" customHeight="1">
      <c r="A20" s="212"/>
      <c r="B20" s="19" t="s">
        <v>33</v>
      </c>
      <c r="C20" s="33">
        <v>1046147.0365891174</v>
      </c>
      <c r="D20" s="33">
        <v>7.7412439613526569</v>
      </c>
      <c r="E20" s="14"/>
    </row>
    <row r="21" spans="1:5" ht="18" customHeight="1">
      <c r="A21" s="212"/>
      <c r="B21" s="19" t="s">
        <v>32</v>
      </c>
      <c r="C21" s="33">
        <v>27242757.583085056</v>
      </c>
      <c r="D21" s="33">
        <v>238.78159710144928</v>
      </c>
      <c r="E21" s="14"/>
    </row>
    <row r="22" spans="1:5" ht="18" customHeight="1">
      <c r="A22" s="212"/>
      <c r="B22" s="19" t="s">
        <v>6</v>
      </c>
      <c r="C22" s="33">
        <v>8035799.9442231636</v>
      </c>
      <c r="D22" s="33">
        <v>43.655205314009649</v>
      </c>
      <c r="E22" s="14"/>
    </row>
    <row r="23" spans="1:5" ht="18" customHeight="1">
      <c r="A23" s="212"/>
      <c r="B23" s="19" t="s">
        <v>7</v>
      </c>
      <c r="C23" s="33">
        <v>2286823.1757713053</v>
      </c>
      <c r="D23" s="33">
        <v>8.0446859903381647</v>
      </c>
      <c r="E23" s="14"/>
    </row>
    <row r="24" spans="1:5" ht="18" customHeight="1">
      <c r="A24" s="212"/>
      <c r="B24" s="19" t="s">
        <v>35</v>
      </c>
      <c r="C24" s="33">
        <v>288916.69796496007</v>
      </c>
      <c r="D24" s="33">
        <v>1.4343478260869562</v>
      </c>
      <c r="E24" s="14"/>
    </row>
    <row r="25" spans="1:5" ht="18" customHeight="1">
      <c r="A25" s="212"/>
      <c r="B25" s="19" t="s">
        <v>36</v>
      </c>
      <c r="C25" s="33">
        <v>176063.83423672628</v>
      </c>
      <c r="D25" s="33">
        <v>0.92976449275362283</v>
      </c>
      <c r="E25" s="14"/>
    </row>
    <row r="26" spans="1:5" ht="18" customHeight="1">
      <c r="A26" s="212"/>
      <c r="B26" s="19" t="s">
        <v>57</v>
      </c>
      <c r="C26" s="33">
        <v>153067122.34536725</v>
      </c>
      <c r="D26" s="33">
        <v>19.321262077294683</v>
      </c>
      <c r="E26" s="14"/>
    </row>
    <row r="27" spans="1:5" ht="18" customHeight="1">
      <c r="A27" s="212"/>
      <c r="B27" s="19" t="s">
        <v>34</v>
      </c>
      <c r="C27" s="33">
        <v>9910.8003960661608</v>
      </c>
      <c r="D27" s="33">
        <v>4.4685990338164255E-2</v>
      </c>
      <c r="E27" s="14"/>
    </row>
    <row r="28" spans="1:5" ht="18" customHeight="1">
      <c r="A28" s="212"/>
      <c r="B28" s="19" t="s">
        <v>37</v>
      </c>
      <c r="C28" s="33">
        <v>35655140.722098693</v>
      </c>
      <c r="D28" s="33">
        <v>179.98785869565219</v>
      </c>
      <c r="E28" s="14"/>
    </row>
    <row r="29" spans="1:5" ht="18" customHeight="1">
      <c r="A29" s="212"/>
      <c r="B29" s="19" t="s">
        <v>38</v>
      </c>
      <c r="C29" s="33">
        <v>1844525.8202176068</v>
      </c>
      <c r="D29" s="33">
        <v>8.3572826086956535</v>
      </c>
      <c r="E29" s="14"/>
    </row>
    <row r="30" spans="1:5" ht="18" customHeight="1">
      <c r="A30" s="212"/>
      <c r="B30" s="19" t="s">
        <v>39</v>
      </c>
      <c r="C30" s="33">
        <v>4771094.0338182431</v>
      </c>
      <c r="D30" s="33">
        <v>21.60143115942029</v>
      </c>
      <c r="E30" s="14"/>
    </row>
    <row r="31" spans="1:5" ht="18" customHeight="1">
      <c r="A31" s="212"/>
      <c r="B31" s="19" t="s">
        <v>40</v>
      </c>
      <c r="C31" s="33">
        <v>27242757.583085056</v>
      </c>
      <c r="D31" s="33">
        <v>238.78159710144928</v>
      </c>
      <c r="E31" s="14"/>
    </row>
    <row r="32" spans="1:5" ht="18" customHeight="1">
      <c r="A32" s="212"/>
      <c r="B32" s="19" t="s">
        <v>41</v>
      </c>
      <c r="C32" s="33">
        <v>16899607.264954742</v>
      </c>
      <c r="D32" s="33">
        <v>126.33706521739133</v>
      </c>
      <c r="E32" s="14"/>
    </row>
    <row r="33" spans="1:5" ht="18" customHeight="1">
      <c r="A33" s="212"/>
      <c r="B33" s="19" t="s">
        <v>42</v>
      </c>
      <c r="C33" s="33">
        <v>21391294.922353297</v>
      </c>
      <c r="D33" s="33">
        <v>143.9494963768116</v>
      </c>
      <c r="E33" s="14"/>
    </row>
    <row r="34" spans="1:5" ht="18" customHeight="1" thickBot="1">
      <c r="A34" s="213"/>
      <c r="B34" s="15" t="s">
        <v>0</v>
      </c>
      <c r="C34" s="65">
        <f>SUM(C7:C33)</f>
        <v>563495982.97254658</v>
      </c>
      <c r="D34" s="65">
        <f>SUM(D7:D33)</f>
        <v>2178.2500000000005</v>
      </c>
      <c r="E34" s="17"/>
    </row>
  </sheetData>
  <mergeCells count="1">
    <mergeCell ref="A6:A34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4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752475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">
    <pageSetUpPr fitToPage="1"/>
  </sheetPr>
  <dimension ref="A1:G40"/>
  <sheetViews>
    <sheetView zoomScale="95" zoomScaleNormal="95" workbookViewId="0">
      <pane xSplit="1" ySplit="2" topLeftCell="B4" activePane="bottomRight" state="frozen"/>
      <selection activeCell="A6" sqref="A6:A20"/>
      <selection pane="topRight" activeCell="A6" sqref="A6:A20"/>
      <selection pane="bottomLeft" activeCell="A6" sqref="A6:A20"/>
      <selection pane="bottomRight" activeCell="C10" sqref="C10"/>
    </sheetView>
  </sheetViews>
  <sheetFormatPr defaultRowHeight="12.75"/>
  <cols>
    <col min="1" max="1" width="5.42578125" customWidth="1"/>
    <col min="2" max="2" width="25.28515625" customWidth="1"/>
    <col min="3" max="3" width="11.28515625" customWidth="1"/>
    <col min="4" max="4" width="14" customWidth="1"/>
    <col min="5" max="5" width="12.140625" customWidth="1"/>
    <col min="6" max="6" width="14.7109375" customWidth="1"/>
    <col min="7" max="7" width="3.85546875" customWidth="1"/>
    <col min="9" max="9" width="16.140625" bestFit="1" customWidth="1"/>
    <col min="10" max="10" width="14.5703125" bestFit="1" customWidth="1"/>
  </cols>
  <sheetData>
    <row r="1" spans="1:7" s="3" customFormat="1" ht="23.25" customHeight="1">
      <c r="A1" s="2"/>
      <c r="B1" s="2"/>
      <c r="C1" s="2"/>
      <c r="D1" s="2"/>
      <c r="E1" s="2"/>
      <c r="F1" s="2"/>
      <c r="G1" s="2"/>
    </row>
    <row r="2" spans="1:7" s="3" customFormat="1" ht="23.25" customHeight="1">
      <c r="A2" s="2"/>
      <c r="B2" s="2"/>
      <c r="C2" s="2"/>
      <c r="D2" s="2"/>
      <c r="E2" s="2"/>
      <c r="F2" s="2"/>
      <c r="G2" s="2"/>
    </row>
    <row r="3" spans="1:7" s="3" customFormat="1" ht="23.25" customHeight="1">
      <c r="A3" s="4"/>
      <c r="B3" s="18" t="s">
        <v>1</v>
      </c>
      <c r="C3" s="4"/>
      <c r="D3" s="4"/>
      <c r="E3" s="4"/>
      <c r="F3" s="4"/>
      <c r="G3" s="4"/>
    </row>
    <row r="4" spans="1:7" s="3" customFormat="1" ht="18" customHeight="1">
      <c r="A4" s="5"/>
      <c r="B4" s="35" t="s">
        <v>3</v>
      </c>
      <c r="C4" s="35" t="s">
        <v>46</v>
      </c>
      <c r="D4" s="4"/>
      <c r="E4" s="4"/>
      <c r="F4" s="4"/>
      <c r="G4" s="4"/>
    </row>
    <row r="5" spans="1:7" ht="18">
      <c r="A5" s="4"/>
      <c r="B5" s="4"/>
      <c r="C5" s="4"/>
      <c r="D5" s="4"/>
      <c r="E5" s="4"/>
      <c r="F5" s="4"/>
      <c r="G5" s="4"/>
    </row>
    <row r="6" spans="1:7" s="9" customFormat="1" ht="46.5" customHeight="1" thickBot="1">
      <c r="A6" s="1" t="s">
        <v>18</v>
      </c>
      <c r="B6" s="6"/>
      <c r="C6" s="168" t="s">
        <v>16</v>
      </c>
      <c r="D6" s="168" t="s">
        <v>43</v>
      </c>
      <c r="E6" s="64" t="s">
        <v>44</v>
      </c>
      <c r="F6" s="7" t="s">
        <v>45</v>
      </c>
      <c r="G6" s="8"/>
    </row>
    <row r="7" spans="1:7" ht="18" customHeight="1">
      <c r="A7" s="212"/>
      <c r="B7" s="19" t="s">
        <v>8</v>
      </c>
      <c r="C7" s="33">
        <v>945</v>
      </c>
      <c r="D7" s="34">
        <v>223242515.76492527</v>
      </c>
      <c r="E7" s="34">
        <v>165403.90991471207</v>
      </c>
      <c r="F7" s="11">
        <f t="shared" ref="F7:F12" si="0">D7/250</f>
        <v>892970.06305970112</v>
      </c>
      <c r="G7" s="14"/>
    </row>
    <row r="8" spans="1:7" ht="18" customHeight="1">
      <c r="A8" s="212"/>
      <c r="B8" s="19" t="s">
        <v>9</v>
      </c>
      <c r="C8" s="33">
        <v>1273.5</v>
      </c>
      <c r="D8" s="34">
        <v>201643077.07276136</v>
      </c>
      <c r="E8" s="34">
        <v>136979.96792099581</v>
      </c>
      <c r="F8" s="11">
        <f t="shared" si="0"/>
        <v>806572.30829104548</v>
      </c>
      <c r="G8" s="14"/>
    </row>
    <row r="9" spans="1:7" ht="18" customHeight="1">
      <c r="A9" s="212"/>
      <c r="B9" s="22" t="s">
        <v>10</v>
      </c>
      <c r="C9" s="33">
        <v>11871</v>
      </c>
      <c r="D9" s="34">
        <v>1340738872.4189119</v>
      </c>
      <c r="E9" s="34">
        <v>79225.381895258455</v>
      </c>
      <c r="F9" s="11">
        <f t="shared" si="0"/>
        <v>5362955.4896756476</v>
      </c>
      <c r="G9" s="14"/>
    </row>
    <row r="10" spans="1:7" ht="18" customHeight="1">
      <c r="A10" s="212"/>
      <c r="B10" s="22" t="s">
        <v>11</v>
      </c>
      <c r="C10" s="33">
        <v>1377</v>
      </c>
      <c r="D10" s="34">
        <v>191565273.27425379</v>
      </c>
      <c r="E10" s="34">
        <v>109788.14109599066</v>
      </c>
      <c r="F10" s="11">
        <f t="shared" si="0"/>
        <v>766261.09309701517</v>
      </c>
      <c r="G10" s="14"/>
    </row>
    <row r="11" spans="1:7" ht="18" customHeight="1">
      <c r="A11" s="212"/>
      <c r="B11" s="22" t="s">
        <v>12</v>
      </c>
      <c r="C11" s="33">
        <v>1703.25</v>
      </c>
      <c r="D11" s="34">
        <v>149354098.32089558</v>
      </c>
      <c r="E11" s="34">
        <v>72685.241231096807</v>
      </c>
      <c r="F11" s="11">
        <f t="shared" si="0"/>
        <v>597416.39328358229</v>
      </c>
      <c r="G11" s="14"/>
    </row>
    <row r="12" spans="1:7" ht="18" customHeight="1">
      <c r="A12" s="212"/>
      <c r="B12" s="22" t="s">
        <v>13</v>
      </c>
      <c r="C12" s="33">
        <v>1296</v>
      </c>
      <c r="D12" s="34">
        <v>207317219.73414174</v>
      </c>
      <c r="E12" s="34">
        <v>128339.78282416044</v>
      </c>
      <c r="F12" s="11">
        <f t="shared" si="0"/>
        <v>829268.87893656699</v>
      </c>
      <c r="G12" s="14"/>
    </row>
    <row r="13" spans="1:7" ht="18" customHeight="1">
      <c r="A13" s="212"/>
      <c r="B13" s="10"/>
      <c r="C13" s="11"/>
      <c r="D13" s="12"/>
      <c r="E13" s="12"/>
      <c r="F13" s="11"/>
      <c r="G13" s="14"/>
    </row>
    <row r="14" spans="1:7" ht="18" customHeight="1">
      <c r="A14" s="212"/>
      <c r="B14" s="10"/>
      <c r="C14" s="11"/>
      <c r="D14" s="12"/>
      <c r="E14" s="12"/>
      <c r="F14" s="11"/>
      <c r="G14" s="14"/>
    </row>
    <row r="15" spans="1:7" ht="18" customHeight="1">
      <c r="A15" s="212"/>
      <c r="B15" s="10"/>
      <c r="C15" s="11"/>
      <c r="D15" s="12"/>
      <c r="E15" s="12"/>
      <c r="F15" s="11"/>
      <c r="G15" s="14"/>
    </row>
    <row r="16" spans="1:7" ht="18" customHeight="1">
      <c r="A16" s="212"/>
      <c r="B16" s="10"/>
      <c r="C16" s="11"/>
      <c r="D16" s="12"/>
      <c r="E16" s="12"/>
      <c r="F16" s="11"/>
      <c r="G16" s="14"/>
    </row>
    <row r="17" spans="1:7" ht="18" customHeight="1">
      <c r="A17" s="212"/>
      <c r="B17" s="10"/>
      <c r="C17" s="11"/>
      <c r="D17" s="12"/>
      <c r="E17" s="12"/>
      <c r="F17" s="11"/>
      <c r="G17" s="14"/>
    </row>
    <row r="18" spans="1:7" ht="18" customHeight="1">
      <c r="A18" s="212"/>
      <c r="B18" s="10"/>
      <c r="C18" s="11"/>
      <c r="D18" s="12"/>
      <c r="E18" s="12"/>
      <c r="F18" s="11"/>
      <c r="G18" s="14"/>
    </row>
    <row r="19" spans="1:7" ht="18" customHeight="1">
      <c r="A19" s="212"/>
      <c r="B19" s="10"/>
      <c r="C19" s="11"/>
      <c r="D19" s="12"/>
      <c r="E19" s="12"/>
      <c r="F19" s="11"/>
      <c r="G19" s="14"/>
    </row>
    <row r="20" spans="1:7" ht="18" customHeight="1">
      <c r="A20" s="212"/>
      <c r="B20" s="10"/>
      <c r="C20" s="11"/>
      <c r="D20" s="12"/>
      <c r="E20" s="12"/>
      <c r="F20" s="11"/>
      <c r="G20" s="14"/>
    </row>
    <row r="21" spans="1:7" ht="18" customHeight="1">
      <c r="A21" s="212"/>
      <c r="B21" s="10"/>
      <c r="C21" s="11"/>
      <c r="D21" s="12"/>
      <c r="E21" s="12"/>
      <c r="F21" s="11"/>
      <c r="G21" s="14"/>
    </row>
    <row r="22" spans="1:7" ht="18" customHeight="1">
      <c r="A22" s="212"/>
      <c r="B22" s="10"/>
      <c r="C22" s="11"/>
      <c r="D22" s="12"/>
      <c r="E22" s="12"/>
      <c r="F22" s="11"/>
      <c r="G22" s="14"/>
    </row>
    <row r="23" spans="1:7" ht="18" customHeight="1">
      <c r="A23" s="212"/>
      <c r="B23" s="10"/>
      <c r="C23" s="11"/>
      <c r="D23" s="12"/>
      <c r="E23" s="12"/>
      <c r="F23" s="11"/>
      <c r="G23" s="14"/>
    </row>
    <row r="24" spans="1:7" ht="18" customHeight="1">
      <c r="A24" s="212"/>
      <c r="B24" s="10"/>
      <c r="C24" s="11"/>
      <c r="D24" s="12"/>
      <c r="E24" s="12"/>
      <c r="F24" s="11"/>
      <c r="G24" s="14"/>
    </row>
    <row r="25" spans="1:7" ht="18" customHeight="1">
      <c r="A25" s="212"/>
      <c r="B25" s="10"/>
      <c r="C25" s="11"/>
      <c r="D25" s="12"/>
      <c r="E25" s="12"/>
      <c r="F25" s="11"/>
      <c r="G25" s="14"/>
    </row>
    <row r="26" spans="1:7" ht="18" customHeight="1">
      <c r="A26" s="212"/>
      <c r="B26" s="10"/>
      <c r="C26" s="11"/>
      <c r="D26" s="12"/>
      <c r="E26" s="12"/>
      <c r="F26" s="11"/>
      <c r="G26" s="14"/>
    </row>
    <row r="27" spans="1:7" ht="18" customHeight="1">
      <c r="A27" s="212"/>
      <c r="B27" s="10"/>
      <c r="C27" s="11"/>
      <c r="D27" s="12"/>
      <c r="E27" s="12"/>
      <c r="F27" s="11"/>
      <c r="G27" s="14"/>
    </row>
    <row r="28" spans="1:7" ht="18" customHeight="1">
      <c r="A28" s="212"/>
      <c r="B28" s="10"/>
      <c r="C28" s="11"/>
      <c r="D28" s="12"/>
      <c r="E28" s="12"/>
      <c r="F28" s="11"/>
      <c r="G28" s="14"/>
    </row>
    <row r="29" spans="1:7" ht="18" customHeight="1">
      <c r="A29" s="212"/>
      <c r="B29" s="10"/>
      <c r="C29" s="11"/>
      <c r="D29" s="12"/>
      <c r="E29" s="12"/>
      <c r="F29" s="11"/>
      <c r="G29" s="14"/>
    </row>
    <row r="30" spans="1:7" ht="18" customHeight="1">
      <c r="A30" s="212"/>
      <c r="B30" s="10"/>
      <c r="C30" s="11"/>
      <c r="D30" s="12"/>
      <c r="E30" s="12"/>
      <c r="F30" s="11"/>
      <c r="G30" s="14"/>
    </row>
    <row r="31" spans="1:7" ht="18" customHeight="1">
      <c r="A31" s="212"/>
      <c r="B31" s="10"/>
      <c r="C31" s="11"/>
      <c r="D31" s="12"/>
      <c r="E31" s="12"/>
      <c r="F31" s="11"/>
      <c r="G31" s="14"/>
    </row>
    <row r="32" spans="1:7" ht="18" customHeight="1">
      <c r="A32" s="212"/>
      <c r="B32" s="10"/>
      <c r="C32" s="11"/>
      <c r="D32" s="12"/>
      <c r="E32" s="12"/>
      <c r="F32" s="11"/>
      <c r="G32" s="14"/>
    </row>
    <row r="33" spans="1:7" ht="18" customHeight="1">
      <c r="A33" s="212"/>
      <c r="B33" s="10"/>
      <c r="C33" s="11"/>
      <c r="D33" s="12"/>
      <c r="E33" s="12"/>
      <c r="F33" s="11"/>
      <c r="G33" s="14"/>
    </row>
    <row r="34" spans="1:7" ht="18" customHeight="1">
      <c r="A34" s="212"/>
      <c r="B34" s="10"/>
      <c r="C34" s="11"/>
      <c r="D34" s="12"/>
      <c r="E34" s="12"/>
      <c r="F34" s="11"/>
      <c r="G34" s="14"/>
    </row>
    <row r="35" spans="1:7" ht="18" customHeight="1">
      <c r="A35" s="212"/>
      <c r="B35" s="10"/>
      <c r="C35" s="11"/>
      <c r="D35" s="12"/>
      <c r="E35" s="12"/>
      <c r="F35" s="11"/>
      <c r="G35" s="14"/>
    </row>
    <row r="36" spans="1:7" ht="18" customHeight="1">
      <c r="A36" s="212"/>
      <c r="B36" s="10"/>
      <c r="C36" s="11"/>
      <c r="D36" s="12"/>
      <c r="E36" s="12"/>
      <c r="F36" s="11"/>
      <c r="G36" s="14"/>
    </row>
    <row r="37" spans="1:7" ht="18" customHeight="1">
      <c r="A37" s="212"/>
      <c r="B37" s="10"/>
      <c r="C37" s="11"/>
      <c r="D37" s="12"/>
      <c r="E37" s="12"/>
      <c r="F37" s="11"/>
      <c r="G37" s="14"/>
    </row>
    <row r="38" spans="1:7" ht="18" customHeight="1">
      <c r="A38" s="212"/>
      <c r="B38" s="10"/>
      <c r="C38" s="11"/>
      <c r="D38" s="12"/>
      <c r="E38" s="12"/>
      <c r="F38" s="11"/>
      <c r="G38" s="14"/>
    </row>
    <row r="39" spans="1:7" ht="18" customHeight="1">
      <c r="A39" s="212"/>
      <c r="B39" s="10"/>
      <c r="C39" s="11"/>
      <c r="D39" s="12"/>
      <c r="E39" s="12"/>
      <c r="F39" s="11"/>
      <c r="G39" s="14"/>
    </row>
    <row r="40" spans="1:7" ht="18" customHeight="1" thickBot="1">
      <c r="A40" s="213"/>
      <c r="B40" s="15" t="s">
        <v>0</v>
      </c>
      <c r="C40" s="16">
        <f>SUM(C7:C39)</f>
        <v>18465.75</v>
      </c>
      <c r="D40" s="16">
        <f>SUM(D7:D39)</f>
        <v>2313861056.5858898</v>
      </c>
      <c r="E40" s="16">
        <f>SUM(E7:E39)</f>
        <v>692422.42488221417</v>
      </c>
      <c r="F40" s="16">
        <f>SUM(F7:F39)</f>
        <v>9255444.2263435572</v>
      </c>
      <c r="G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orientation="portrait" r:id="rId1"/>
  <headerFooter alignWithMargins="0">
    <oddFooter>&amp;L&amp;8Enron Europe Confidential&amp;C&amp;8Source : Financial Planning &amp; Analysis&amp;R&amp;8Printed : 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2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>
    <pageSetUpPr fitToPage="1"/>
  </sheetPr>
  <dimension ref="A1:V40"/>
  <sheetViews>
    <sheetView zoomScale="95" zoomScaleNormal="95" workbookViewId="0">
      <pane xSplit="1" ySplit="2" topLeftCell="B3" activePane="bottomRight" state="frozen"/>
      <selection activeCell="A6" sqref="A6:A20"/>
      <selection pane="topRight" activeCell="A6" sqref="A6:A20"/>
      <selection pane="bottomLeft" activeCell="A6" sqref="A6:A20"/>
      <selection pane="bottomRight" activeCell="A5" sqref="A5"/>
    </sheetView>
  </sheetViews>
  <sheetFormatPr defaultRowHeight="12.75"/>
  <cols>
    <col min="1" max="1" width="5.5703125" customWidth="1"/>
    <col min="2" max="2" width="25.7109375" customWidth="1"/>
    <col min="3" max="3" width="13.7109375" customWidth="1"/>
    <col min="4" max="7" width="14.7109375" customWidth="1"/>
    <col min="8" max="8" width="11.28515625" customWidth="1"/>
    <col min="9" max="10" width="13.140625" customWidth="1"/>
    <col min="11" max="11" width="8.85546875" customWidth="1"/>
    <col min="12" max="12" width="13.7109375" customWidth="1"/>
    <col min="13" max="14" width="10.42578125" customWidth="1"/>
    <col min="15" max="16" width="14.7109375" customWidth="1"/>
    <col min="17" max="18" width="14" customWidth="1"/>
    <col min="19" max="19" width="12.7109375" customWidth="1"/>
    <col min="20" max="20" width="5.140625" customWidth="1"/>
    <col min="21" max="21" width="14.7109375" customWidth="1"/>
    <col min="22" max="22" width="3.85546875" customWidth="1"/>
    <col min="24" max="24" width="16.140625" bestFit="1" customWidth="1"/>
    <col min="25" max="25" width="14.5703125" bestFit="1" customWidth="1"/>
  </cols>
  <sheetData>
    <row r="1" spans="1:22" s="3" customFormat="1" ht="23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3" customFormat="1" ht="23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3" customFormat="1" ht="23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s="3" customFormat="1" ht="18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s="9" customFormat="1" ht="46.5" customHeight="1" thickBot="1">
      <c r="A6" s="1" t="s">
        <v>18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ht="18" customHeight="1">
      <c r="A7" s="212"/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3"/>
      <c r="T7" s="11"/>
      <c r="U7" s="11"/>
      <c r="V7" s="14"/>
    </row>
    <row r="8" spans="1:22" ht="18" customHeight="1">
      <c r="A8" s="212"/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3"/>
      <c r="T8" s="11"/>
      <c r="U8" s="11"/>
      <c r="V8" s="14"/>
    </row>
    <row r="9" spans="1:22" ht="18" customHeight="1">
      <c r="A9" s="212"/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1"/>
      <c r="U9" s="11"/>
      <c r="V9" s="14"/>
    </row>
    <row r="10" spans="1:22" ht="18" customHeight="1">
      <c r="A10" s="212"/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T10" s="11"/>
      <c r="U10" s="11"/>
      <c r="V10" s="14"/>
    </row>
    <row r="11" spans="1:22" ht="18" customHeight="1">
      <c r="A11" s="212"/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T11" s="11"/>
      <c r="U11" s="11"/>
      <c r="V11" s="14"/>
    </row>
    <row r="12" spans="1:22" ht="18" customHeight="1">
      <c r="A12" s="212"/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T12" s="11"/>
      <c r="U12" s="11"/>
      <c r="V12" s="14"/>
    </row>
    <row r="13" spans="1:22" ht="18" customHeight="1">
      <c r="A13" s="212"/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T13" s="11"/>
      <c r="U13" s="11"/>
      <c r="V13" s="14"/>
    </row>
    <row r="14" spans="1:22" ht="18" customHeight="1">
      <c r="A14" s="212"/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1"/>
      <c r="U14" s="11"/>
      <c r="V14" s="14"/>
    </row>
    <row r="15" spans="1:22" ht="18" customHeight="1">
      <c r="A15" s="212"/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T15" s="11"/>
      <c r="U15" s="11"/>
      <c r="V15" s="14"/>
    </row>
    <row r="16" spans="1:22" ht="18" customHeight="1">
      <c r="A16" s="212"/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1"/>
      <c r="U16" s="11"/>
      <c r="V16" s="14"/>
    </row>
    <row r="17" spans="1:22" ht="18" customHeight="1">
      <c r="A17" s="212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  <c r="T17" s="11"/>
      <c r="U17" s="11"/>
      <c r="V17" s="14"/>
    </row>
    <row r="18" spans="1:22" ht="18" customHeight="1">
      <c r="A18" s="212"/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11"/>
      <c r="U18" s="11"/>
      <c r="V18" s="14"/>
    </row>
    <row r="19" spans="1:22" ht="18" customHeight="1">
      <c r="A19" s="212"/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1"/>
      <c r="U19" s="11"/>
      <c r="V19" s="14"/>
    </row>
    <row r="20" spans="1:22" ht="18" customHeight="1">
      <c r="A20" s="212"/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11"/>
      <c r="U20" s="11"/>
      <c r="V20" s="14"/>
    </row>
    <row r="21" spans="1:22" ht="18" customHeight="1">
      <c r="A21" s="212"/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1"/>
      <c r="U21" s="11"/>
      <c r="V21" s="14"/>
    </row>
    <row r="22" spans="1:22" ht="18" customHeight="1">
      <c r="A22" s="212"/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  <c r="T22" s="11"/>
      <c r="U22" s="11"/>
      <c r="V22" s="14"/>
    </row>
    <row r="23" spans="1:22" ht="18" customHeight="1">
      <c r="A23" s="212"/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1"/>
      <c r="U23" s="11"/>
      <c r="V23" s="14"/>
    </row>
    <row r="24" spans="1:22" ht="18" customHeight="1">
      <c r="A24" s="212"/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  <c r="T24" s="11"/>
      <c r="U24" s="11"/>
      <c r="V24" s="14"/>
    </row>
    <row r="25" spans="1:22" ht="18" customHeight="1">
      <c r="A25" s="212"/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  <c r="T25" s="11"/>
      <c r="U25" s="11"/>
      <c r="V25" s="14"/>
    </row>
    <row r="26" spans="1:22" ht="18" customHeight="1">
      <c r="A26" s="212"/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  <c r="T26" s="11"/>
      <c r="U26" s="11"/>
      <c r="V26" s="14"/>
    </row>
    <row r="27" spans="1:22" ht="18" customHeight="1">
      <c r="A27" s="212"/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1"/>
      <c r="U27" s="11"/>
      <c r="V27" s="14"/>
    </row>
    <row r="28" spans="1:22" ht="18" customHeight="1">
      <c r="A28" s="212"/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1"/>
      <c r="U28" s="11"/>
      <c r="V28" s="14"/>
    </row>
    <row r="29" spans="1:22" ht="18" customHeight="1">
      <c r="A29" s="212"/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1"/>
      <c r="U29" s="11"/>
      <c r="V29" s="14"/>
    </row>
    <row r="30" spans="1:22" ht="18" customHeight="1">
      <c r="A30" s="212"/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1"/>
      <c r="U30" s="11"/>
      <c r="V30" s="14"/>
    </row>
    <row r="31" spans="1:22" ht="18" customHeight="1">
      <c r="A31" s="212"/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1"/>
      <c r="U31" s="11"/>
      <c r="V31" s="14"/>
    </row>
    <row r="32" spans="1:22" ht="18" customHeight="1">
      <c r="A32" s="212"/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1"/>
      <c r="U32" s="11"/>
      <c r="V32" s="14"/>
    </row>
    <row r="33" spans="1:22" ht="18" customHeight="1">
      <c r="A33" s="212"/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1"/>
      <c r="U33" s="11"/>
      <c r="V33" s="14"/>
    </row>
    <row r="34" spans="1:22" ht="18" customHeight="1">
      <c r="A34" s="212"/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1"/>
      <c r="U34" s="11"/>
      <c r="V34" s="14"/>
    </row>
    <row r="35" spans="1:22" ht="18" customHeight="1">
      <c r="A35" s="212"/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1"/>
      <c r="U35" s="11"/>
      <c r="V35" s="14"/>
    </row>
    <row r="36" spans="1:22" ht="18" customHeight="1">
      <c r="A36" s="212"/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1"/>
      <c r="U36" s="11"/>
      <c r="V36" s="14"/>
    </row>
    <row r="37" spans="1:22" ht="18" customHeight="1">
      <c r="A37" s="212"/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1"/>
      <c r="U37" s="11"/>
      <c r="V37" s="14"/>
    </row>
    <row r="38" spans="1:22" ht="18" customHeight="1">
      <c r="A38" s="212"/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1"/>
      <c r="U38" s="11"/>
      <c r="V38" s="14"/>
    </row>
    <row r="39" spans="1:22" ht="18" customHeight="1">
      <c r="A39" s="212"/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1"/>
      <c r="U39" s="11"/>
      <c r="V39" s="14"/>
    </row>
    <row r="40" spans="1:22" ht="18" customHeight="1" thickBot="1">
      <c r="A40" s="213"/>
      <c r="B40" s="15" t="s">
        <v>0</v>
      </c>
      <c r="C40" s="16">
        <f t="shared" ref="C40:S40" si="0">SUM(C7:C39)</f>
        <v>0</v>
      </c>
      <c r="D40" s="16">
        <f t="shared" si="0"/>
        <v>0</v>
      </c>
      <c r="E40" s="16">
        <f t="shared" si="0"/>
        <v>0</v>
      </c>
      <c r="F40" s="16">
        <f t="shared" si="0"/>
        <v>0</v>
      </c>
      <c r="G40" s="16">
        <f t="shared" si="0"/>
        <v>0</v>
      </c>
      <c r="H40" s="16">
        <f t="shared" si="0"/>
        <v>0</v>
      </c>
      <c r="I40" s="16">
        <f t="shared" si="0"/>
        <v>0</v>
      </c>
      <c r="J40" s="16">
        <f t="shared" si="0"/>
        <v>0</v>
      </c>
      <c r="K40" s="16">
        <f t="shared" si="0"/>
        <v>0</v>
      </c>
      <c r="L40" s="16">
        <f t="shared" si="0"/>
        <v>0</v>
      </c>
      <c r="M40" s="16">
        <f t="shared" si="0"/>
        <v>0</v>
      </c>
      <c r="N40" s="16">
        <f t="shared" si="0"/>
        <v>0</v>
      </c>
      <c r="O40" s="16">
        <f t="shared" si="0"/>
        <v>0</v>
      </c>
      <c r="P40" s="16">
        <f t="shared" si="0"/>
        <v>0</v>
      </c>
      <c r="Q40" s="16">
        <f t="shared" si="0"/>
        <v>0</v>
      </c>
      <c r="R40" s="16">
        <f t="shared" si="0"/>
        <v>0</v>
      </c>
      <c r="S40" s="16">
        <f t="shared" si="0"/>
        <v>0</v>
      </c>
      <c r="T40" s="16"/>
      <c r="U40" s="16">
        <f>SUM(U7:U39)</f>
        <v>0</v>
      </c>
      <c r="V40" s="17"/>
    </row>
  </sheetData>
  <mergeCells count="1">
    <mergeCell ref="A6:A40"/>
  </mergeCells>
  <printOptions horizontalCentered="1"/>
  <pageMargins left="0.35433070866141736" right="0.39370078740157483" top="0.55118110236220474" bottom="0.35433070866141736" header="0.27559055118110237" footer="0.15748031496062992"/>
  <pageSetup paperSize="9" scale="35" orientation="portrait" r:id="rId1"/>
  <headerFooter alignWithMargins="0">
    <oddFooter>&amp;L&amp;8Enron Europe Confidential&amp;C&amp;8Source : Financial Planning &amp; Analysis&amp;R&amp;8Printed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54</vt:i4>
      </vt:variant>
    </vt:vector>
  </HeadingPairs>
  <TitlesOfParts>
    <vt:vector size="63" baseType="lpstr">
      <vt:lpstr>Summary</vt:lpstr>
      <vt:lpstr>Direct</vt:lpstr>
      <vt:lpstr>rsc</vt:lpstr>
      <vt:lpstr>headcount</vt:lpstr>
      <vt:lpstr>Alloc out by CC (IO)</vt:lpstr>
      <vt:lpstr>Alloc out by CC (HC)</vt:lpstr>
      <vt:lpstr>Total Allocations graph data</vt:lpstr>
      <vt:lpstr>costs per day</vt:lpstr>
      <vt:lpstr>template</vt:lpstr>
      <vt:lpstr>'Alloc out by CC (HC)'!adaytum_col_1</vt:lpstr>
      <vt:lpstr>'Alloc out by CC (IO)'!adaytum_col_1</vt:lpstr>
      <vt:lpstr>'costs per day'!adaytum_col_1</vt:lpstr>
      <vt:lpstr>Direct!adaytum_col_1</vt:lpstr>
      <vt:lpstr>'Total Allocations graph data'!adaytum_col_1</vt:lpstr>
      <vt:lpstr>Direct!adaytum_col_2</vt:lpstr>
      <vt:lpstr>Direct!adaytum_col_3</vt:lpstr>
      <vt:lpstr>Direct!adaytum_col_4</vt:lpstr>
      <vt:lpstr>'Alloc out by CC (HC)'!adaytum_data_1</vt:lpstr>
      <vt:lpstr>'Alloc out by CC (IO)'!adaytum_data_1</vt:lpstr>
      <vt:lpstr>'costs per day'!adaytum_data_1</vt:lpstr>
      <vt:lpstr>Direct!adaytum_data_1</vt:lpstr>
      <vt:lpstr>'Total Allocations graph data'!adaytum_data_1</vt:lpstr>
      <vt:lpstr>Direct!adaytum_data_2</vt:lpstr>
      <vt:lpstr>Direct!adaytum_data_3</vt:lpstr>
      <vt:lpstr>Direct!adaytum_data_5</vt:lpstr>
      <vt:lpstr>'Alloc out by CC (HC)'!adaytum_page_1</vt:lpstr>
      <vt:lpstr>'Alloc out by CC (IO)'!adaytum_page_1</vt:lpstr>
      <vt:lpstr>'costs per day'!adaytum_page_1</vt:lpstr>
      <vt:lpstr>Direct!adaytum_page_1</vt:lpstr>
      <vt:lpstr>'Total Allocations graph data'!adaytum_page_1</vt:lpstr>
      <vt:lpstr>Direct!adaytum_page_2</vt:lpstr>
      <vt:lpstr>Direct!adaytum_page_3</vt:lpstr>
      <vt:lpstr>Direct!adaytum_page_4</vt:lpstr>
      <vt:lpstr>'Alloc out by CC (HC)'!adaytum_row_1</vt:lpstr>
      <vt:lpstr>'Alloc out by CC (IO)'!adaytum_row_1</vt:lpstr>
      <vt:lpstr>'costs per day'!adaytum_row_1</vt:lpstr>
      <vt:lpstr>Direct!adaytum_row_1</vt:lpstr>
      <vt:lpstr>'Total Allocations graph data'!adaytum_row_1</vt:lpstr>
      <vt:lpstr>Direct!adaytum_row_2</vt:lpstr>
      <vt:lpstr>Direct!adaytum_row_3</vt:lpstr>
      <vt:lpstr>Direct!adaytum_row_4</vt:lpstr>
      <vt:lpstr>'Alloc out by CC (HC)'!adaytum_view_1</vt:lpstr>
      <vt:lpstr>'Alloc out by CC (IO)'!adaytum_view_1</vt:lpstr>
      <vt:lpstr>'costs per day'!adaytum_view_1</vt:lpstr>
      <vt:lpstr>Direct!adaytum_view_1</vt:lpstr>
      <vt:lpstr>'Total Allocations graph data'!adaytum_view_1</vt:lpstr>
      <vt:lpstr>Direct!adaytum_view_2</vt:lpstr>
      <vt:lpstr>Direct!adaytum_view_4</vt:lpstr>
      <vt:lpstr>Direct!adaytum_view_5</vt:lpstr>
      <vt:lpstr>'Alloc out by CC (HC)'!Print_Area</vt:lpstr>
      <vt:lpstr>'Alloc out by CC (IO)'!Print_Area</vt:lpstr>
      <vt:lpstr>'costs per day'!Print_Area</vt:lpstr>
      <vt:lpstr>Direct!Print_Area</vt:lpstr>
      <vt:lpstr>Summary!Print_Area</vt:lpstr>
      <vt:lpstr>template!Print_Area</vt:lpstr>
      <vt:lpstr>'Total Allocations graph data'!Print_Area</vt:lpstr>
      <vt:lpstr>'Alloc out by CC (HC)'!Print_Titles</vt:lpstr>
      <vt:lpstr>'Alloc out by CC (IO)'!Print_Titles</vt:lpstr>
      <vt:lpstr>'costs per day'!Print_Titles</vt:lpstr>
      <vt:lpstr>Direct!Print_Titles</vt:lpstr>
      <vt:lpstr>Summary!Print_Titles</vt:lpstr>
      <vt:lpstr>template!Print_Titles</vt:lpstr>
      <vt:lpstr>'Total Allocations graph data'!Print_Titles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IMorse</dc:creator>
  <cp:lastModifiedBy>Felienne</cp:lastModifiedBy>
  <cp:lastPrinted>2000-12-06T15:00:39Z</cp:lastPrinted>
  <dcterms:created xsi:type="dcterms:W3CDTF">2000-10-04T07:13:05Z</dcterms:created>
  <dcterms:modified xsi:type="dcterms:W3CDTF">2014-09-05T10:46:10Z</dcterms:modified>
</cp:coreProperties>
</file>