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1.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7.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drawings/drawing18.xml" ContentType="application/vnd.openxmlformats-officedocument.drawing+xml"/>
  <Override PartName="/xl/charts/chart62.xml" ContentType="application/vnd.openxmlformats-officedocument.drawingml.chart+xml"/>
  <Override PartName="/xl/drawings/drawing19.xml" ContentType="application/vnd.openxmlformats-officedocument.drawing+xml"/>
  <Override PartName="/xl/charts/chart63.xml" ContentType="application/vnd.openxmlformats-officedocument.drawingml.chart+xml"/>
  <Override PartName="/xl/drawings/drawing20.xml" ContentType="application/vnd.openxmlformats-officedocument.drawing+xml"/>
  <Override PartName="/xl/charts/chart64.xml" ContentType="application/vnd.openxmlformats-officedocument.drawingml.chart+xml"/>
  <Override PartName="/xl/drawings/drawing21.xml" ContentType="application/vnd.openxmlformats-officedocument.drawing+xml"/>
  <Override PartName="/xl/charts/chart65.xml" ContentType="application/vnd.openxmlformats-officedocument.drawingml.chart+xml"/>
  <Override PartName="/xl/drawings/drawing22.xml" ContentType="application/vnd.openxmlformats-officedocument.drawing+xml"/>
  <Override PartName="/xl/charts/chart66.xml" ContentType="application/vnd.openxmlformats-officedocument.drawingml.chart+xml"/>
  <Override PartName="/xl/drawings/drawing23.xml" ContentType="application/vnd.openxmlformats-officedocument.drawing+xml"/>
  <Override PartName="/xl/charts/chart67.xml" ContentType="application/vnd.openxmlformats-officedocument.drawingml.chart+xml"/>
  <Override PartName="/xl/drawings/drawing24.xml" ContentType="application/vnd.openxmlformats-officedocument.drawing+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drawings/drawing26.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drawings/drawing27.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28.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29.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6465" windowWidth="15330" windowHeight="2235" tabRatio="643"/>
  </bookViews>
  <sheets>
    <sheet name="Graph Data Aug 13" sheetId="41" r:id="rId1"/>
    <sheet name="summary 0813" sheetId="42" r:id="rId2"/>
    <sheet name="Graph Data Aug 06" sheetId="39" r:id="rId3"/>
    <sheet name="summary 0806" sheetId="40" r:id="rId4"/>
    <sheet name="Graph Data July30" sheetId="37" r:id="rId5"/>
    <sheet name="summary 0730" sheetId="38" r:id="rId6"/>
    <sheet name="Graph Data July23" sheetId="36" r:id="rId7"/>
    <sheet name="summary 0723" sheetId="35" r:id="rId8"/>
    <sheet name="Graph Data July16" sheetId="33" r:id="rId9"/>
    <sheet name="summary 0716" sheetId="34" r:id="rId10"/>
    <sheet name="Graph Data July9" sheetId="31" r:id="rId11"/>
    <sheet name="summary 0709" sheetId="32" r:id="rId12"/>
    <sheet name="Graph Data July 2" sheetId="29" r:id="rId13"/>
    <sheet name="summary 0702" sheetId="30" r:id="rId14"/>
    <sheet name="Graph Data June 25" sheetId="27" r:id="rId15"/>
    <sheet name="summary 0625" sheetId="28" r:id="rId16"/>
    <sheet name="Graph Data June 18" sheetId="25" r:id="rId17"/>
    <sheet name="summary 0618" sheetId="26" r:id="rId18"/>
    <sheet name="Graph Data June 11" sheetId="23" r:id="rId19"/>
    <sheet name="summary 0611" sheetId="24" r:id="rId20"/>
    <sheet name="Graph Data June 4" sheetId="21" r:id="rId21"/>
    <sheet name="summary 0604" sheetId="22" r:id="rId22"/>
    <sheet name="summary 0528" sheetId="19" r:id="rId23"/>
    <sheet name="summary 0518" sheetId="13" r:id="rId24"/>
    <sheet name="chart0518" sheetId="14" r:id="rId25"/>
    <sheet name="Chart0518A" sheetId="15" r:id="rId26"/>
    <sheet name="Summary0510" sheetId="1" r:id="rId27"/>
    <sheet name="Chart1 0510" sheetId="6" r:id="rId28"/>
    <sheet name="Chart2 0510" sheetId="9" r:id="rId29"/>
    <sheet name="Summary0502" sheetId="3" r:id="rId30"/>
    <sheet name="Chart1 0502" sheetId="10" r:id="rId31"/>
    <sheet name="Chart2 0502" sheetId="11" r:id="rId32"/>
    <sheet name="Chart1 Official Books" sheetId="12" r:id="rId33"/>
    <sheet name="Officialized Books As Of 0530" sheetId="18" r:id="rId34"/>
    <sheet name="Graph Data May 28" sheetId="20" r:id="rId35"/>
    <sheet name="Graphing Data" sheetId="2" r:id="rId36"/>
    <sheet name="DPR Graph" sheetId="16" r:id="rId37"/>
    <sheet name="Chart0518 to 0525" sheetId="17" r:id="rId38"/>
    <sheet name="Chart of 0502 to 0517" sheetId="7" r:id="rId39"/>
  </sheets>
  <externalReferences>
    <externalReference r:id="rId40"/>
    <externalReference r:id="rId41"/>
    <externalReference r:id="rId42"/>
    <externalReference r:id="rId43"/>
    <externalReference r:id="rId44"/>
    <externalReference r:id="rId45"/>
    <externalReference r:id="rId46"/>
    <externalReference r:id="rId47"/>
  </externalReferences>
  <definedNames>
    <definedName name="_xlnm.Print_Area" localSheetId="38">'Chart of 0502 to 0517'!$A$1:$O$74</definedName>
    <definedName name="_xlnm.Print_Area" localSheetId="2">'Graph Data Aug 06'!$A$88:$L$146</definedName>
    <definedName name="_xlnm.Print_Area" localSheetId="0">'Graph Data Aug 13'!$A$16:$J$74</definedName>
    <definedName name="_xlnm.Print_Area" localSheetId="12">'Graph Data July 2'!$A$89:$L$147</definedName>
    <definedName name="_xlnm.Print_Area" localSheetId="8">'Graph Data July16'!$A$89:$L$150</definedName>
    <definedName name="_xlnm.Print_Area" localSheetId="6">'Graph Data July23'!$A$16:$J$75</definedName>
    <definedName name="_xlnm.Print_Area" localSheetId="4">'Graph Data July30'!$A$88:$L$152</definedName>
    <definedName name="_xlnm.Print_Area" localSheetId="10">'Graph Data July9'!$A$89:$K$144</definedName>
    <definedName name="_xlnm.Print_Area" localSheetId="18">'Graph Data June 11'!$A$87:$L$134</definedName>
    <definedName name="_xlnm.Print_Area" localSheetId="16">'Graph Data June 18'!$A$88:$L$135</definedName>
    <definedName name="_xlnm.Print_Area" localSheetId="14">'Graph Data June 25'!$A$87:$L$138</definedName>
    <definedName name="_xlnm.Print_Area" localSheetId="20">'Graph Data June 4'!$A$15:$Q$72</definedName>
    <definedName name="_xlnm.Print_Area" localSheetId="34">'Graph Data May 28'!$A$15:$I$70</definedName>
  </definedNames>
  <calcPr calcId="152511" calcOnSave="0"/>
</workbook>
</file>

<file path=xl/calcChain.xml><?xml version="1.0" encoding="utf-8"?>
<calcChain xmlns="http://schemas.openxmlformats.org/spreadsheetml/2006/main">
  <c r="H2" i="39" l="1"/>
  <c r="J2" i="39"/>
  <c r="P3" i="39"/>
  <c r="R3" i="39"/>
  <c r="G4" i="39"/>
  <c r="H4" i="39"/>
  <c r="I4" i="39"/>
  <c r="J4" i="39"/>
  <c r="N4" i="39"/>
  <c r="P4" i="39"/>
  <c r="R4" i="39"/>
  <c r="S4" i="39"/>
  <c r="G5" i="39"/>
  <c r="H5" i="39"/>
  <c r="I5" i="39"/>
  <c r="J5" i="39"/>
  <c r="N5" i="39"/>
  <c r="N11" i="39" s="1"/>
  <c r="U5" i="39"/>
  <c r="V5" i="39"/>
  <c r="W5" i="39"/>
  <c r="G6" i="39"/>
  <c r="H6" i="39"/>
  <c r="I6" i="39"/>
  <c r="J6" i="39"/>
  <c r="O6" i="39"/>
  <c r="T6" i="39"/>
  <c r="U6" i="39"/>
  <c r="G7" i="39"/>
  <c r="N7" i="39"/>
  <c r="O7" i="39"/>
  <c r="G8" i="39"/>
  <c r="H8" i="39"/>
  <c r="I8" i="39"/>
  <c r="J8" i="39"/>
  <c r="N8" i="39"/>
  <c r="T8" i="39"/>
  <c r="X8" i="39"/>
  <c r="O9" i="39"/>
  <c r="X9" i="39"/>
  <c r="S10" i="39"/>
  <c r="U10" i="39"/>
  <c r="U11" i="39" s="1"/>
  <c r="V10" i="39"/>
  <c r="K11" i="39"/>
  <c r="L11" i="39"/>
  <c r="M11" i="39"/>
  <c r="D156" i="39"/>
  <c r="C157" i="39"/>
  <c r="D157" i="39"/>
  <c r="E157" i="39" s="1"/>
  <c r="D158" i="39"/>
  <c r="D159" i="39"/>
  <c r="D160" i="39"/>
  <c r="D161" i="39"/>
  <c r="D163" i="39"/>
  <c r="H2" i="41"/>
  <c r="J2" i="41"/>
  <c r="J11" i="41" s="1"/>
  <c r="P2" i="41"/>
  <c r="P3" i="41"/>
  <c r="G4" i="41"/>
  <c r="H4" i="41"/>
  <c r="I4" i="41"/>
  <c r="J4" i="41"/>
  <c r="N4" i="41"/>
  <c r="N11" i="41" s="1"/>
  <c r="S4" i="41"/>
  <c r="Y4" i="41"/>
  <c r="G5" i="41"/>
  <c r="H5" i="41"/>
  <c r="I5" i="41"/>
  <c r="J5" i="41"/>
  <c r="N5" i="41"/>
  <c r="P5" i="41"/>
  <c r="Q5" i="41"/>
  <c r="U5" i="41"/>
  <c r="V5" i="41"/>
  <c r="W5" i="41"/>
  <c r="X5" i="41"/>
  <c r="Y5" i="41"/>
  <c r="G6" i="41"/>
  <c r="H6" i="41"/>
  <c r="I6" i="41"/>
  <c r="J6" i="41"/>
  <c r="O6" i="41"/>
  <c r="T6" i="41"/>
  <c r="U6" i="41"/>
  <c r="U11" i="41" s="1"/>
  <c r="G7" i="41"/>
  <c r="N7" i="41"/>
  <c r="O7" i="41"/>
  <c r="G8" i="41"/>
  <c r="H8" i="41"/>
  <c r="I8" i="41"/>
  <c r="J8" i="41"/>
  <c r="N8" i="41"/>
  <c r="Q8" i="41"/>
  <c r="T8" i="41"/>
  <c r="X8" i="41"/>
  <c r="W9" i="41"/>
  <c r="X9" i="41"/>
  <c r="U10" i="41"/>
  <c r="X10" i="41"/>
  <c r="K11" i="41"/>
  <c r="L11" i="41"/>
  <c r="M11" i="41"/>
  <c r="C162" i="41"/>
  <c r="D162" i="41"/>
  <c r="D163" i="41"/>
  <c r="C164" i="41"/>
  <c r="E164" i="41" s="1"/>
  <c r="D164" i="41"/>
  <c r="D165" i="41"/>
  <c r="E165" i="41"/>
  <c r="C166" i="41"/>
  <c r="D166" i="41"/>
  <c r="E166" i="41"/>
  <c r="C167" i="41"/>
  <c r="D167" i="41"/>
  <c r="D169" i="41"/>
  <c r="C170" i="41"/>
  <c r="H2" i="29"/>
  <c r="J2" i="29"/>
  <c r="P2" i="29"/>
  <c r="P3" i="29"/>
  <c r="G4" i="29"/>
  <c r="H4" i="29"/>
  <c r="I4" i="29"/>
  <c r="J4" i="29"/>
  <c r="N4" i="29"/>
  <c r="O4" i="29"/>
  <c r="P4" i="29"/>
  <c r="G5" i="29"/>
  <c r="H5" i="29"/>
  <c r="I5" i="29"/>
  <c r="J5" i="29"/>
  <c r="N5" i="29"/>
  <c r="S5" i="29"/>
  <c r="G6" i="29"/>
  <c r="H6" i="29"/>
  <c r="I6" i="29"/>
  <c r="J6" i="29"/>
  <c r="G7" i="29"/>
  <c r="N7" i="29"/>
  <c r="O7" i="29"/>
  <c r="Q7" i="29"/>
  <c r="G8" i="29"/>
  <c r="H8" i="29"/>
  <c r="I8" i="29"/>
  <c r="J8" i="29"/>
  <c r="N8" i="29"/>
  <c r="Q8" i="29"/>
  <c r="J11" i="29"/>
  <c r="K11" i="29"/>
  <c r="L11" i="29"/>
  <c r="M11" i="29"/>
  <c r="D160" i="29"/>
  <c r="D161" i="29"/>
  <c r="D162" i="29"/>
  <c r="D163" i="29"/>
  <c r="D164" i="29"/>
  <c r="C165" i="29"/>
  <c r="D165" i="29"/>
  <c r="C166" i="29"/>
  <c r="C167" i="29"/>
  <c r="D167" i="29"/>
  <c r="C168" i="29"/>
  <c r="H2" i="33"/>
  <c r="J2" i="33"/>
  <c r="P2" i="33"/>
  <c r="P3" i="33"/>
  <c r="R3" i="33"/>
  <c r="G4" i="33"/>
  <c r="H4" i="33"/>
  <c r="I4" i="33"/>
  <c r="J4" i="33"/>
  <c r="N4" i="33"/>
  <c r="P4" i="33"/>
  <c r="G5" i="33"/>
  <c r="H5" i="33"/>
  <c r="I5" i="33"/>
  <c r="J5" i="33"/>
  <c r="J11" i="33" s="1"/>
  <c r="N5" i="33"/>
  <c r="T5" i="33"/>
  <c r="U5" i="33"/>
  <c r="G6" i="33"/>
  <c r="H6" i="33"/>
  <c r="I6" i="33"/>
  <c r="J6" i="33"/>
  <c r="U6" i="33"/>
  <c r="G7" i="33"/>
  <c r="N7" i="33"/>
  <c r="G8" i="33"/>
  <c r="H8" i="33"/>
  <c r="I8" i="33"/>
  <c r="J8" i="33"/>
  <c r="N8" i="33"/>
  <c r="T8" i="33"/>
  <c r="O9" i="33"/>
  <c r="Q9" i="33"/>
  <c r="U10" i="33"/>
  <c r="K11" i="33"/>
  <c r="L11" i="33"/>
  <c r="M11" i="33"/>
  <c r="N11" i="33"/>
  <c r="U11" i="33"/>
  <c r="C165" i="33"/>
  <c r="C174" i="33" s="1"/>
  <c r="B166" i="33" s="1"/>
  <c r="D165" i="33"/>
  <c r="C166" i="33"/>
  <c r="D166" i="33"/>
  <c r="C167" i="33"/>
  <c r="B167" i="33" s="1"/>
  <c r="D167" i="33"/>
  <c r="D174" i="33" s="1"/>
  <c r="C168" i="33"/>
  <c r="D168" i="33"/>
  <c r="C169" i="33"/>
  <c r="D169" i="33"/>
  <c r="C170" i="33"/>
  <c r="B170" i="33" s="1"/>
  <c r="D170" i="33"/>
  <c r="C171" i="33"/>
  <c r="C172" i="33"/>
  <c r="B172" i="33" s="1"/>
  <c r="D172" i="33"/>
  <c r="C173" i="33"/>
  <c r="B173" i="33" s="1"/>
  <c r="H2" i="36"/>
  <c r="J2" i="36"/>
  <c r="P2" i="36"/>
  <c r="P3" i="36"/>
  <c r="R3" i="36"/>
  <c r="G4" i="36"/>
  <c r="H4" i="36"/>
  <c r="I4" i="36"/>
  <c r="J4" i="36"/>
  <c r="N4" i="36"/>
  <c r="O4" i="36"/>
  <c r="P4" i="36"/>
  <c r="G5" i="36"/>
  <c r="H5" i="36"/>
  <c r="I5" i="36"/>
  <c r="J5" i="36"/>
  <c r="J11" i="36" s="1"/>
  <c r="N5" i="36"/>
  <c r="O5" i="36"/>
  <c r="U5" i="36"/>
  <c r="V5" i="36"/>
  <c r="G6" i="36"/>
  <c r="H6" i="36"/>
  <c r="I6" i="36"/>
  <c r="J6" i="36"/>
  <c r="U6" i="36"/>
  <c r="V6" i="36"/>
  <c r="G7" i="36"/>
  <c r="N7" i="36"/>
  <c r="S7" i="36"/>
  <c r="T7" i="36"/>
  <c r="G8" i="36"/>
  <c r="H8" i="36"/>
  <c r="I8" i="36"/>
  <c r="J8" i="36"/>
  <c r="N8" i="36"/>
  <c r="P8" i="36"/>
  <c r="Q8" i="36"/>
  <c r="T8" i="36"/>
  <c r="U10" i="36"/>
  <c r="K11" i="36"/>
  <c r="L11" i="36"/>
  <c r="M11" i="36"/>
  <c r="C165" i="36"/>
  <c r="D165" i="36"/>
  <c r="D166" i="36"/>
  <c r="D167" i="36"/>
  <c r="C168" i="36"/>
  <c r="D168" i="36"/>
  <c r="D169" i="36"/>
  <c r="C170" i="36"/>
  <c r="D170" i="36"/>
  <c r="C171" i="36"/>
  <c r="C172" i="36"/>
  <c r="D172" i="36"/>
  <c r="C173" i="36"/>
  <c r="D174" i="36"/>
  <c r="H2" i="37"/>
  <c r="J2" i="37"/>
  <c r="P3" i="37"/>
  <c r="R3" i="37"/>
  <c r="G4" i="37"/>
  <c r="H4" i="37"/>
  <c r="I4" i="37"/>
  <c r="J4" i="37"/>
  <c r="N4" i="37"/>
  <c r="P4" i="37"/>
  <c r="R4" i="37"/>
  <c r="S4" i="37"/>
  <c r="G5" i="37"/>
  <c r="H5" i="37"/>
  <c r="I5" i="37"/>
  <c r="J5" i="37"/>
  <c r="N5" i="37"/>
  <c r="P5" i="37"/>
  <c r="U5" i="37"/>
  <c r="U11" i="37" s="1"/>
  <c r="V5" i="37"/>
  <c r="W5" i="37"/>
  <c r="G6" i="37"/>
  <c r="H6" i="37"/>
  <c r="I6" i="37"/>
  <c r="J6" i="37"/>
  <c r="T6" i="37"/>
  <c r="U6" i="37"/>
  <c r="V6" i="37"/>
  <c r="G7" i="37"/>
  <c r="N7" i="37"/>
  <c r="Q7" i="37"/>
  <c r="S7" i="37"/>
  <c r="G8" i="37"/>
  <c r="H8" i="37"/>
  <c r="I8" i="37"/>
  <c r="J8" i="37"/>
  <c r="N8" i="37"/>
  <c r="Q8" i="37"/>
  <c r="V9" i="37"/>
  <c r="W9" i="37"/>
  <c r="U10" i="37"/>
  <c r="K11" i="37"/>
  <c r="L11" i="37"/>
  <c r="M11" i="37"/>
  <c r="N11" i="37"/>
  <c r="C165" i="37"/>
  <c r="D165" i="37"/>
  <c r="E165" i="37"/>
  <c r="C166" i="37"/>
  <c r="D166" i="37"/>
  <c r="D174" i="37" s="1"/>
  <c r="D167" i="37"/>
  <c r="E167" i="37"/>
  <c r="C168" i="37"/>
  <c r="D168" i="37"/>
  <c r="D169" i="37"/>
  <c r="E169" i="37"/>
  <c r="C170" i="37"/>
  <c r="D170" i="37"/>
  <c r="C171" i="37"/>
  <c r="E171" i="37"/>
  <c r="C172" i="37"/>
  <c r="D172" i="37"/>
  <c r="E172" i="37"/>
  <c r="H2" i="31"/>
  <c r="J2" i="31"/>
  <c r="J11" i="31" s="1"/>
  <c r="P2" i="31"/>
  <c r="P3" i="31"/>
  <c r="G4" i="31"/>
  <c r="H4" i="31"/>
  <c r="I4" i="31"/>
  <c r="J4" i="31"/>
  <c r="N4" i="31"/>
  <c r="N11" i="31" s="1"/>
  <c r="S4" i="31"/>
  <c r="G5" i="31"/>
  <c r="H5" i="31"/>
  <c r="I5" i="31"/>
  <c r="J5" i="31"/>
  <c r="N5" i="31"/>
  <c r="S5" i="31"/>
  <c r="G6" i="31"/>
  <c r="H6" i="31"/>
  <c r="I6" i="31"/>
  <c r="J6" i="31"/>
  <c r="O6" i="31"/>
  <c r="G7" i="31"/>
  <c r="N7" i="31"/>
  <c r="S7" i="31"/>
  <c r="T7" i="31"/>
  <c r="G8" i="31"/>
  <c r="H8" i="31"/>
  <c r="I8" i="31"/>
  <c r="J8" i="31"/>
  <c r="N8" i="31"/>
  <c r="Q8" i="31"/>
  <c r="T8" i="31"/>
  <c r="O9" i="31"/>
  <c r="Q9" i="31"/>
  <c r="K11" i="31"/>
  <c r="L11" i="31"/>
  <c r="M11" i="31"/>
  <c r="C165" i="31"/>
  <c r="D165" i="31"/>
  <c r="D166" i="31"/>
  <c r="C167" i="31"/>
  <c r="D167" i="31"/>
  <c r="C168" i="31"/>
  <c r="D168" i="31"/>
  <c r="D169" i="31"/>
  <c r="C170" i="31"/>
  <c r="D170" i="31"/>
  <c r="C171" i="31"/>
  <c r="C172" i="31"/>
  <c r="D172" i="31"/>
  <c r="H2" i="23"/>
  <c r="J2" i="23"/>
  <c r="P3" i="23"/>
  <c r="G4" i="23"/>
  <c r="H4" i="23"/>
  <c r="I4" i="23"/>
  <c r="J4" i="23"/>
  <c r="N4" i="23"/>
  <c r="G5" i="23"/>
  <c r="H5" i="23"/>
  <c r="I5" i="23"/>
  <c r="J5" i="23"/>
  <c r="J10" i="23" s="1"/>
  <c r="N5" i="23"/>
  <c r="G6" i="23"/>
  <c r="H6" i="23"/>
  <c r="I6" i="23"/>
  <c r="J6" i="23"/>
  <c r="O6" i="23"/>
  <c r="G7" i="23"/>
  <c r="N7" i="23"/>
  <c r="G8" i="23"/>
  <c r="H8" i="23"/>
  <c r="I8" i="23"/>
  <c r="J8" i="23"/>
  <c r="N8" i="23"/>
  <c r="K10" i="23"/>
  <c r="L10" i="23"/>
  <c r="M10" i="23"/>
  <c r="N10" i="23"/>
  <c r="C141" i="23"/>
  <c r="D141" i="23"/>
  <c r="D150" i="23" s="1"/>
  <c r="D142" i="23"/>
  <c r="D143" i="23"/>
  <c r="C144" i="23"/>
  <c r="D144" i="23"/>
  <c r="C145" i="23"/>
  <c r="D145" i="23"/>
  <c r="D146" i="23"/>
  <c r="C147" i="23"/>
  <c r="C148" i="23"/>
  <c r="H2" i="25"/>
  <c r="J2" i="25"/>
  <c r="J10" i="25" s="1"/>
  <c r="P2" i="25"/>
  <c r="P3" i="25"/>
  <c r="G4" i="25"/>
  <c r="H4" i="25"/>
  <c r="I4" i="25"/>
  <c r="J4" i="25"/>
  <c r="N4" i="25"/>
  <c r="P4" i="25"/>
  <c r="G5" i="25"/>
  <c r="H5" i="25"/>
  <c r="I5" i="25"/>
  <c r="J5" i="25"/>
  <c r="N5" i="25"/>
  <c r="O5" i="25"/>
  <c r="P5" i="25"/>
  <c r="G6" i="25"/>
  <c r="H6" i="25"/>
  <c r="I6" i="25"/>
  <c r="J6" i="25"/>
  <c r="O6" i="25"/>
  <c r="G7" i="25"/>
  <c r="N7" i="25"/>
  <c r="G8" i="25"/>
  <c r="H8" i="25"/>
  <c r="I8" i="25"/>
  <c r="J8" i="25"/>
  <c r="N8" i="25"/>
  <c r="K10" i="25"/>
  <c r="L10" i="25"/>
  <c r="M10" i="25"/>
  <c r="C141" i="25"/>
  <c r="D141" i="25"/>
  <c r="C142" i="25"/>
  <c r="D142" i="25"/>
  <c r="D143" i="25"/>
  <c r="C144" i="25"/>
  <c r="D144" i="25"/>
  <c r="D145" i="25"/>
  <c r="D146" i="25"/>
  <c r="C147" i="25"/>
  <c r="C148" i="25"/>
  <c r="D150" i="25"/>
  <c r="H2" i="27"/>
  <c r="J2" i="27"/>
  <c r="P3" i="27"/>
  <c r="G4" i="27"/>
  <c r="H4" i="27"/>
  <c r="I4" i="27"/>
  <c r="J4" i="27"/>
  <c r="J10" i="27" s="1"/>
  <c r="N4" i="27"/>
  <c r="R4" i="27"/>
  <c r="G5" i="27"/>
  <c r="H5" i="27"/>
  <c r="I5" i="27"/>
  <c r="J5" i="27"/>
  <c r="N5" i="27"/>
  <c r="Q5" i="27"/>
  <c r="R5" i="27"/>
  <c r="G6" i="27"/>
  <c r="H6" i="27"/>
  <c r="I6" i="27"/>
  <c r="J6" i="27"/>
  <c r="G7" i="27"/>
  <c r="N7" i="27"/>
  <c r="N10" i="27" s="1"/>
  <c r="O7" i="27"/>
  <c r="Q7" i="27"/>
  <c r="G8" i="27"/>
  <c r="H8" i="27"/>
  <c r="I8" i="27"/>
  <c r="J8" i="27"/>
  <c r="N8" i="27"/>
  <c r="P8" i="27"/>
  <c r="Q8" i="27"/>
  <c r="K10" i="27"/>
  <c r="L10" i="27"/>
  <c r="M10" i="27"/>
  <c r="C159" i="27"/>
  <c r="D159" i="27"/>
  <c r="D160" i="27"/>
  <c r="D161" i="27"/>
  <c r="D168" i="27" s="1"/>
  <c r="C162" i="27"/>
  <c r="D162" i="27"/>
  <c r="D163" i="27"/>
  <c r="C164" i="27"/>
  <c r="D164" i="27"/>
  <c r="C165" i="27"/>
  <c r="D166" i="27"/>
  <c r="H2" i="21"/>
  <c r="J2" i="21"/>
  <c r="G4" i="21"/>
  <c r="H4" i="21"/>
  <c r="I4" i="21"/>
  <c r="J4" i="21"/>
  <c r="N4" i="21"/>
  <c r="G5" i="21"/>
  <c r="H5" i="21"/>
  <c r="I5" i="21"/>
  <c r="J5" i="21"/>
  <c r="N5" i="21"/>
  <c r="O5" i="21"/>
  <c r="G6" i="21"/>
  <c r="H6" i="21"/>
  <c r="I6" i="21"/>
  <c r="J6" i="21"/>
  <c r="G7" i="21"/>
  <c r="N7" i="21"/>
  <c r="O7" i="21"/>
  <c r="G8" i="21"/>
  <c r="H8" i="21"/>
  <c r="I8" i="21"/>
  <c r="J8" i="21"/>
  <c r="N8" i="21"/>
  <c r="J10" i="21"/>
  <c r="K10" i="21"/>
  <c r="L10" i="21"/>
  <c r="M10" i="21"/>
  <c r="C141" i="21"/>
  <c r="D141" i="21"/>
  <c r="C142" i="21"/>
  <c r="D142" i="21"/>
  <c r="D143" i="21"/>
  <c r="C144" i="21"/>
  <c r="D145" i="21"/>
  <c r="D146" i="21"/>
  <c r="C147" i="21"/>
  <c r="C148" i="21"/>
  <c r="C149" i="21"/>
  <c r="H2" i="20"/>
  <c r="J2" i="20"/>
  <c r="G4" i="20"/>
  <c r="H4" i="20"/>
  <c r="I4" i="20"/>
  <c r="J4" i="20"/>
  <c r="N4" i="20"/>
  <c r="G5" i="20"/>
  <c r="H5" i="20"/>
  <c r="I5" i="20"/>
  <c r="J5" i="20"/>
  <c r="N5" i="20"/>
  <c r="N10" i="20" s="1"/>
  <c r="G6" i="20"/>
  <c r="H6" i="20"/>
  <c r="I6" i="20"/>
  <c r="J6" i="20"/>
  <c r="G7" i="20"/>
  <c r="N7" i="20"/>
  <c r="G8" i="20"/>
  <c r="H8" i="20"/>
  <c r="I8" i="20"/>
  <c r="J8" i="20"/>
  <c r="N8" i="20"/>
  <c r="K10" i="20"/>
  <c r="L10" i="20"/>
  <c r="M10" i="20"/>
  <c r="B109" i="20"/>
  <c r="B110" i="20"/>
  <c r="C110" i="20"/>
  <c r="C111" i="20"/>
  <c r="B111" i="20" s="1"/>
  <c r="B112" i="20"/>
  <c r="C113" i="20"/>
  <c r="B113" i="20" s="1"/>
  <c r="B114" i="20"/>
  <c r="C114" i="20"/>
  <c r="B115" i="20"/>
  <c r="C116" i="20"/>
  <c r="B116" i="20" s="1"/>
  <c r="K5" i="13"/>
  <c r="I32" i="13"/>
  <c r="K5" i="19"/>
  <c r="K12" i="19"/>
  <c r="K13" i="19"/>
  <c r="K15" i="19"/>
  <c r="K16" i="19"/>
  <c r="I33" i="19"/>
  <c r="K12" i="22"/>
  <c r="O4" i="33" s="1"/>
  <c r="K13" i="22"/>
  <c r="K14" i="22"/>
  <c r="O6" i="29" s="1"/>
  <c r="K15" i="22"/>
  <c r="O7" i="33" s="1"/>
  <c r="K17" i="22"/>
  <c r="O9" i="29" s="1"/>
  <c r="I25" i="22"/>
  <c r="I26" i="22"/>
  <c r="C143" i="21" s="1"/>
  <c r="I28" i="22"/>
  <c r="C145" i="21" s="1"/>
  <c r="I29" i="22"/>
  <c r="C146" i="21" s="1"/>
  <c r="K10" i="24"/>
  <c r="P2" i="27" s="1"/>
  <c r="K12" i="24"/>
  <c r="P4" i="41" s="1"/>
  <c r="K13" i="24"/>
  <c r="P5" i="39" s="1"/>
  <c r="K14" i="24"/>
  <c r="K16" i="24"/>
  <c r="P8" i="29" s="1"/>
  <c r="I25" i="24"/>
  <c r="C142" i="23" s="1"/>
  <c r="I26" i="24"/>
  <c r="C143" i="23" s="1"/>
  <c r="I28" i="24"/>
  <c r="I29" i="24"/>
  <c r="C146" i="23" s="1"/>
  <c r="I32" i="24"/>
  <c r="C149" i="23" s="1"/>
  <c r="K12" i="26"/>
  <c r="Q4" i="36" s="1"/>
  <c r="K13" i="26"/>
  <c r="K15" i="26"/>
  <c r="Q7" i="39" s="1"/>
  <c r="K16" i="26"/>
  <c r="Q8" i="25" s="1"/>
  <c r="K17" i="26"/>
  <c r="Q9" i="39" s="1"/>
  <c r="K18" i="26"/>
  <c r="I26" i="26"/>
  <c r="C143" i="25" s="1"/>
  <c r="I28" i="26"/>
  <c r="I29" i="26"/>
  <c r="C146" i="25" s="1"/>
  <c r="I30" i="26"/>
  <c r="I32" i="26"/>
  <c r="C149" i="25" s="1"/>
  <c r="K11" i="28"/>
  <c r="R3" i="29" s="1"/>
  <c r="K12" i="28"/>
  <c r="R4" i="33" s="1"/>
  <c r="K13" i="28"/>
  <c r="R5" i="31" s="1"/>
  <c r="K15" i="28"/>
  <c r="K17" i="28"/>
  <c r="I25" i="28"/>
  <c r="C160" i="27" s="1"/>
  <c r="I26" i="28"/>
  <c r="C161" i="27" s="1"/>
  <c r="I27" i="28"/>
  <c r="I28" i="28"/>
  <c r="C163" i="27" s="1"/>
  <c r="I29" i="28"/>
  <c r="I30" i="28"/>
  <c r="I31" i="28"/>
  <c r="C166" i="27" s="1"/>
  <c r="I32" i="28"/>
  <c r="C167" i="27" s="1"/>
  <c r="I33" i="28"/>
  <c r="K5" i="30"/>
  <c r="K12" i="30"/>
  <c r="S4" i="33" s="1"/>
  <c r="K13" i="30"/>
  <c r="S5" i="41" s="1"/>
  <c r="K15" i="30"/>
  <c r="S7" i="29" s="1"/>
  <c r="K18" i="30"/>
  <c r="I24" i="30"/>
  <c r="I25" i="30"/>
  <c r="C161" i="29" s="1"/>
  <c r="I26" i="30"/>
  <c r="C162" i="29" s="1"/>
  <c r="I27" i="30"/>
  <c r="C163" i="29" s="1"/>
  <c r="I28" i="30"/>
  <c r="C164" i="29" s="1"/>
  <c r="K10" i="32"/>
  <c r="T3" i="33" s="1"/>
  <c r="K12" i="32"/>
  <c r="K13" i="32"/>
  <c r="T6" i="33" s="1"/>
  <c r="K14" i="32"/>
  <c r="T7" i="33" s="1"/>
  <c r="K15" i="32"/>
  <c r="T8" i="37" s="1"/>
  <c r="I24" i="32"/>
  <c r="I25" i="32"/>
  <c r="C166" i="31" s="1"/>
  <c r="I26" i="32"/>
  <c r="I27" i="32"/>
  <c r="I28" i="32"/>
  <c r="C169" i="31" s="1"/>
  <c r="I32" i="32"/>
  <c r="C173" i="31" s="1"/>
  <c r="I33" i="32"/>
  <c r="K5" i="34"/>
  <c r="I33" i="34"/>
  <c r="K12" i="35"/>
  <c r="K13" i="35"/>
  <c r="K16" i="35"/>
  <c r="V8" i="41" s="1"/>
  <c r="K17" i="35"/>
  <c r="K18" i="35"/>
  <c r="I25" i="35"/>
  <c r="C166" i="36" s="1"/>
  <c r="I26" i="35"/>
  <c r="C167" i="36" s="1"/>
  <c r="I27" i="35"/>
  <c r="I28" i="35"/>
  <c r="C169" i="36" s="1"/>
  <c r="I32" i="35"/>
  <c r="I33" i="35"/>
  <c r="K12" i="38"/>
  <c r="K13" i="38"/>
  <c r="K14" i="38"/>
  <c r="W6" i="37" s="1"/>
  <c r="K15" i="38"/>
  <c r="W7" i="37" s="1"/>
  <c r="K17" i="38"/>
  <c r="W9" i="39" s="1"/>
  <c r="K18" i="38"/>
  <c r="I25" i="38"/>
  <c r="I26" i="38"/>
  <c r="C167" i="37" s="1"/>
  <c r="I28" i="38"/>
  <c r="C169" i="37" s="1"/>
  <c r="I29" i="38"/>
  <c r="I32" i="38"/>
  <c r="C173" i="37" s="1"/>
  <c r="K12" i="40"/>
  <c r="X4" i="41" s="1"/>
  <c r="K13" i="40"/>
  <c r="X5" i="39" s="1"/>
  <c r="K14" i="40"/>
  <c r="K15" i="40"/>
  <c r="K16" i="40"/>
  <c r="K17" i="40"/>
  <c r="K18" i="40"/>
  <c r="X10" i="39" s="1"/>
  <c r="I25" i="40"/>
  <c r="I26" i="40"/>
  <c r="I28" i="40"/>
  <c r="C160" i="39" s="1"/>
  <c r="I29" i="40"/>
  <c r="C161" i="39" s="1"/>
  <c r="I32" i="40"/>
  <c r="C164" i="39" s="1"/>
  <c r="K12" i="42"/>
  <c r="K13" i="42"/>
  <c r="K14" i="42"/>
  <c r="K15" i="42"/>
  <c r="Y7" i="41" s="1"/>
  <c r="K16" i="42"/>
  <c r="Y8" i="41" s="1"/>
  <c r="K17" i="42"/>
  <c r="Y9" i="41" s="1"/>
  <c r="I25" i="42"/>
  <c r="C163" i="41" s="1"/>
  <c r="I26" i="42"/>
  <c r="K5" i="3"/>
  <c r="I31" i="3"/>
  <c r="K5" i="1"/>
  <c r="I32" i="1"/>
  <c r="T11" i="33" l="1"/>
  <c r="C150" i="23"/>
  <c r="B142" i="23"/>
  <c r="B145" i="23"/>
  <c r="B147" i="23"/>
  <c r="B144" i="25"/>
  <c r="P11" i="36"/>
  <c r="E160" i="39"/>
  <c r="B160" i="39"/>
  <c r="X11" i="41"/>
  <c r="B167" i="27"/>
  <c r="B148" i="23"/>
  <c r="P6" i="23"/>
  <c r="K5" i="24"/>
  <c r="P6" i="29"/>
  <c r="P11" i="29" s="1"/>
  <c r="P6" i="33"/>
  <c r="P6" i="27"/>
  <c r="P10" i="27" s="1"/>
  <c r="R9" i="31"/>
  <c r="R9" i="39"/>
  <c r="R9" i="29"/>
  <c r="R9" i="36"/>
  <c r="R9" i="27"/>
  <c r="R9" i="41"/>
  <c r="B144" i="23"/>
  <c r="C174" i="36"/>
  <c r="B172" i="36" s="1"/>
  <c r="I33" i="30"/>
  <c r="R7" i="39"/>
  <c r="R7" i="41"/>
  <c r="R7" i="27"/>
  <c r="R7" i="33"/>
  <c r="R11" i="33" s="1"/>
  <c r="R7" i="31"/>
  <c r="R9" i="33"/>
  <c r="W4" i="39"/>
  <c r="W4" i="37"/>
  <c r="B146" i="23"/>
  <c r="J10" i="20"/>
  <c r="D150" i="21"/>
  <c r="O4" i="21"/>
  <c r="P6" i="37"/>
  <c r="T3" i="37"/>
  <c r="C160" i="29"/>
  <c r="N11" i="29"/>
  <c r="D171" i="41"/>
  <c r="P6" i="39"/>
  <c r="T3" i="39"/>
  <c r="K5" i="38"/>
  <c r="V10" i="37"/>
  <c r="V10" i="41"/>
  <c r="T5" i="41"/>
  <c r="T5" i="37"/>
  <c r="T5" i="39"/>
  <c r="I33" i="22"/>
  <c r="O5" i="29"/>
  <c r="O5" i="23"/>
  <c r="O5" i="31"/>
  <c r="O5" i="27"/>
  <c r="N10" i="21"/>
  <c r="C168" i="27"/>
  <c r="B159" i="27" s="1"/>
  <c r="T5" i="31"/>
  <c r="E168" i="37"/>
  <c r="P8" i="37"/>
  <c r="R7" i="37"/>
  <c r="O5" i="37"/>
  <c r="Q4" i="37"/>
  <c r="V10" i="36"/>
  <c r="Q4" i="33"/>
  <c r="B166" i="41"/>
  <c r="E162" i="41"/>
  <c r="C171" i="41"/>
  <c r="B167" i="41" s="1"/>
  <c r="Q7" i="41"/>
  <c r="O5" i="39"/>
  <c r="Q4" i="39"/>
  <c r="R11" i="39"/>
  <c r="C158" i="39"/>
  <c r="I33" i="40"/>
  <c r="B170" i="36"/>
  <c r="B168" i="33"/>
  <c r="T7" i="39"/>
  <c r="T7" i="41"/>
  <c r="B149" i="23"/>
  <c r="T7" i="37"/>
  <c r="R7" i="36"/>
  <c r="O11" i="29"/>
  <c r="T3" i="41"/>
  <c r="T3" i="31"/>
  <c r="K5" i="32"/>
  <c r="V11" i="36"/>
  <c r="Y11" i="41"/>
  <c r="D165" i="39"/>
  <c r="P6" i="36"/>
  <c r="K5" i="26"/>
  <c r="C150" i="21"/>
  <c r="N11" i="36"/>
  <c r="B165" i="33"/>
  <c r="B174" i="33" s="1"/>
  <c r="B164" i="41"/>
  <c r="B143" i="25"/>
  <c r="R9" i="37"/>
  <c r="S10" i="41"/>
  <c r="S10" i="33"/>
  <c r="S10" i="31"/>
  <c r="S11" i="31" s="1"/>
  <c r="S10" i="29"/>
  <c r="X7" i="39"/>
  <c r="X7" i="41"/>
  <c r="V8" i="37"/>
  <c r="V11" i="37" s="1"/>
  <c r="V9" i="41"/>
  <c r="V9" i="39"/>
  <c r="V9" i="36"/>
  <c r="C174" i="31"/>
  <c r="B166" i="31" s="1"/>
  <c r="E163" i="41"/>
  <c r="B163" i="41"/>
  <c r="W10" i="39"/>
  <c r="W10" i="37"/>
  <c r="W10" i="41"/>
  <c r="I33" i="24"/>
  <c r="P6" i="31"/>
  <c r="J11" i="37"/>
  <c r="S10" i="36"/>
  <c r="U11" i="36"/>
  <c r="T3" i="36"/>
  <c r="B169" i="33"/>
  <c r="O5" i="33"/>
  <c r="O11" i="33" s="1"/>
  <c r="D169" i="29"/>
  <c r="V8" i="39"/>
  <c r="J11" i="39"/>
  <c r="X4" i="39"/>
  <c r="K5" i="40"/>
  <c r="Q4" i="29"/>
  <c r="Q4" i="25"/>
  <c r="Q4" i="41"/>
  <c r="Q11" i="41" s="1"/>
  <c r="Q4" i="31"/>
  <c r="Q4" i="27"/>
  <c r="Q10" i="27" s="1"/>
  <c r="I33" i="26"/>
  <c r="C145" i="25"/>
  <c r="B147" i="21"/>
  <c r="E166" i="37"/>
  <c r="C174" i="37"/>
  <c r="B173" i="37" s="1"/>
  <c r="B171" i="33"/>
  <c r="K5" i="42"/>
  <c r="Y6" i="41"/>
  <c r="C150" i="25"/>
  <c r="B142" i="25" s="1"/>
  <c r="R7" i="29"/>
  <c r="P6" i="41"/>
  <c r="P11" i="41" s="1"/>
  <c r="R5" i="41"/>
  <c r="R5" i="37"/>
  <c r="R11" i="37" s="1"/>
  <c r="R5" i="39"/>
  <c r="R5" i="33"/>
  <c r="R5" i="36"/>
  <c r="R5" i="29"/>
  <c r="I33" i="38"/>
  <c r="B163" i="27"/>
  <c r="B143" i="23"/>
  <c r="B146" i="21"/>
  <c r="O4" i="41"/>
  <c r="O4" i="31"/>
  <c r="O4" i="27"/>
  <c r="O4" i="23"/>
  <c r="O4" i="39"/>
  <c r="O11" i="39" s="1"/>
  <c r="O4" i="37"/>
  <c r="O11" i="37" s="1"/>
  <c r="O4" i="25"/>
  <c r="O10" i="25" s="1"/>
  <c r="T6" i="31"/>
  <c r="E161" i="39"/>
  <c r="X6" i="41"/>
  <c r="X6" i="39"/>
  <c r="V6" i="41"/>
  <c r="V11" i="41" s="1"/>
  <c r="V6" i="39"/>
  <c r="V11" i="39" s="1"/>
  <c r="Q7" i="33"/>
  <c r="Q7" i="31"/>
  <c r="Q7" i="25"/>
  <c r="Q7" i="36"/>
  <c r="K5" i="22"/>
  <c r="B144" i="21"/>
  <c r="N10" i="25"/>
  <c r="K5" i="35"/>
  <c r="B161" i="27"/>
  <c r="Q5" i="37"/>
  <c r="Q5" i="25"/>
  <c r="Q5" i="39"/>
  <c r="Q5" i="33"/>
  <c r="Q5" i="36"/>
  <c r="Q11" i="36" s="1"/>
  <c r="Q5" i="29"/>
  <c r="P8" i="25"/>
  <c r="P8" i="23"/>
  <c r="P8" i="39"/>
  <c r="P8" i="33"/>
  <c r="P8" i="41"/>
  <c r="P8" i="31"/>
  <c r="P6" i="25"/>
  <c r="P10" i="25" s="1"/>
  <c r="B141" i="23"/>
  <c r="D174" i="31"/>
  <c r="Q5" i="31"/>
  <c r="E170" i="37"/>
  <c r="S10" i="37"/>
  <c r="V8" i="36"/>
  <c r="T6" i="36"/>
  <c r="T5" i="36"/>
  <c r="O5" i="41"/>
  <c r="W4" i="41"/>
  <c r="W11" i="41" s="1"/>
  <c r="O9" i="21"/>
  <c r="P5" i="27"/>
  <c r="R3" i="27"/>
  <c r="Q9" i="25"/>
  <c r="O7" i="23"/>
  <c r="P4" i="23"/>
  <c r="P2" i="23"/>
  <c r="P5" i="31"/>
  <c r="R4" i="31"/>
  <c r="Q9" i="37"/>
  <c r="O7" i="37"/>
  <c r="O6" i="37"/>
  <c r="O6" i="36"/>
  <c r="O11" i="36" s="1"/>
  <c r="S5" i="36"/>
  <c r="Q8" i="33"/>
  <c r="S7" i="33"/>
  <c r="S5" i="33"/>
  <c r="S11" i="33" s="1"/>
  <c r="E167" i="41"/>
  <c r="W7" i="41"/>
  <c r="R4" i="41"/>
  <c r="C165" i="39"/>
  <c r="Q8" i="39"/>
  <c r="W7" i="39"/>
  <c r="S5" i="39"/>
  <c r="S11" i="39" s="1"/>
  <c r="I33" i="42"/>
  <c r="O6" i="21"/>
  <c r="O6" i="27"/>
  <c r="P4" i="27"/>
  <c r="O9" i="25"/>
  <c r="O9" i="23"/>
  <c r="P5" i="23"/>
  <c r="O9" i="37"/>
  <c r="S5" i="37"/>
  <c r="S11" i="37" s="1"/>
  <c r="P2" i="37"/>
  <c r="O7" i="36"/>
  <c r="O6" i="33"/>
  <c r="S4" i="29"/>
  <c r="S11" i="29" s="1"/>
  <c r="Q9" i="41"/>
  <c r="W6" i="39"/>
  <c r="P2" i="39"/>
  <c r="K5" i="28"/>
  <c r="Q9" i="27"/>
  <c r="O7" i="25"/>
  <c r="O7" i="31"/>
  <c r="P4" i="31"/>
  <c r="P11" i="31" s="1"/>
  <c r="R3" i="31"/>
  <c r="Q9" i="36"/>
  <c r="S4" i="36"/>
  <c r="Q9" i="29"/>
  <c r="P5" i="29"/>
  <c r="R4" i="29"/>
  <c r="R11" i="29" s="1"/>
  <c r="O9" i="41"/>
  <c r="S7" i="41"/>
  <c r="S11" i="41" s="1"/>
  <c r="W6" i="41"/>
  <c r="R3" i="41"/>
  <c r="R11" i="41" s="1"/>
  <c r="S7" i="39"/>
  <c r="O9" i="27"/>
  <c r="O9" i="36"/>
  <c r="P5" i="36"/>
  <c r="R4" i="36"/>
  <c r="P5" i="33"/>
  <c r="P11" i="33" s="1"/>
  <c r="B156" i="39" l="1"/>
  <c r="B159" i="39"/>
  <c r="B162" i="39"/>
  <c r="B163" i="39"/>
  <c r="B141" i="21"/>
  <c r="B149" i="21"/>
  <c r="B148" i="21"/>
  <c r="Q11" i="33"/>
  <c r="C169" i="29"/>
  <c r="B160" i="29"/>
  <c r="B168" i="31"/>
  <c r="R11" i="36"/>
  <c r="B169" i="37"/>
  <c r="B173" i="36"/>
  <c r="B141" i="25"/>
  <c r="B171" i="36"/>
  <c r="R10" i="27"/>
  <c r="B161" i="39"/>
  <c r="O11" i="31"/>
  <c r="B166" i="27"/>
  <c r="X11" i="39"/>
  <c r="T11" i="36"/>
  <c r="T11" i="31"/>
  <c r="Q11" i="39"/>
  <c r="B167" i="37"/>
  <c r="T11" i="37"/>
  <c r="W11" i="37"/>
  <c r="B165" i="36"/>
  <c r="P10" i="23"/>
  <c r="B170" i="31"/>
  <c r="Q10" i="25"/>
  <c r="O10" i="23"/>
  <c r="B166" i="37"/>
  <c r="Q11" i="29"/>
  <c r="B167" i="31"/>
  <c r="E158" i="39"/>
  <c r="B158" i="39"/>
  <c r="B150" i="23"/>
  <c r="O10" i="27"/>
  <c r="B145" i="25"/>
  <c r="P11" i="37"/>
  <c r="B143" i="21"/>
  <c r="B169" i="36"/>
  <c r="B149" i="25"/>
  <c r="O11" i="41"/>
  <c r="B142" i="21"/>
  <c r="T11" i="41"/>
  <c r="Q11" i="37"/>
  <c r="B148" i="25"/>
  <c r="T11" i="39"/>
  <c r="W11" i="39"/>
  <c r="B146" i="25"/>
  <c r="B147" i="25"/>
  <c r="B162" i="27"/>
  <c r="B165" i="37"/>
  <c r="B171" i="37"/>
  <c r="B168" i="37"/>
  <c r="B170" i="37"/>
  <c r="B172" i="31"/>
  <c r="B171" i="31"/>
  <c r="B169" i="31"/>
  <c r="B164" i="39"/>
  <c r="B164" i="27"/>
  <c r="B160" i="27"/>
  <c r="B168" i="27" s="1"/>
  <c r="B172" i="37"/>
  <c r="R11" i="31"/>
  <c r="S11" i="36"/>
  <c r="P11" i="39"/>
  <c r="Q11" i="31"/>
  <c r="B157" i="39"/>
  <c r="B165" i="41"/>
  <c r="B168" i="41"/>
  <c r="B169" i="41"/>
  <c r="B162" i="41"/>
  <c r="B170" i="41"/>
  <c r="O10" i="21"/>
  <c r="B168" i="36"/>
  <c r="B166" i="36"/>
  <c r="B167" i="36"/>
  <c r="B165" i="27"/>
  <c r="B145" i="21"/>
  <c r="B165" i="31"/>
  <c r="B173" i="31"/>
  <c r="B163" i="29" l="1"/>
  <c r="B169" i="29" s="1"/>
  <c r="B162" i="29"/>
  <c r="B168" i="29"/>
  <c r="B166" i="29"/>
  <c r="B167" i="29"/>
  <c r="B161" i="29"/>
  <c r="B165" i="29"/>
  <c r="B164" i="29"/>
  <c r="B150" i="25"/>
  <c r="B174" i="36"/>
  <c r="B174" i="37"/>
  <c r="B150" i="21"/>
  <c r="B174" i="31"/>
  <c r="B171" i="41"/>
  <c r="B165" i="39"/>
</calcChain>
</file>

<file path=xl/sharedStrings.xml><?xml version="1.0" encoding="utf-8"?>
<sst xmlns="http://schemas.openxmlformats.org/spreadsheetml/2006/main" count="6276" uniqueCount="400">
  <si>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</si>
  <si>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</si>
  <si>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</si>
  <si>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</si>
  <si>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</si>
  <si>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</si>
  <si>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</si>
  <si>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</si>
  <si>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</si>
  <si>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</si>
  <si>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</si>
  <si>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</si>
  <si>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</si>
  <si>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</si>
  <si>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</si>
  <si>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</si>
  <si>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</si>
  <si>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</si>
  <si>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</si>
  <si>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</si>
  <si>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</si>
  <si>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</si>
  <si>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</si>
  <si>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</si>
  <si>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</si>
  <si>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</si>
  <si>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</si>
  <si>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</si>
  <si>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</si>
  <si>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</si>
  <si>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</si>
  <si>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</si>
  <si>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</si>
  <si>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</si>
  <si>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</si>
  <si>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</si>
  <si>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</si>
  <si>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</si>
  <si>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</si>
  <si>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</si>
  <si>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</si>
  <si>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</si>
  <si>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</si>
  <si>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</si>
  <si>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</si>
  <si>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</si>
  <si>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</si>
  <si>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</si>
  <si>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</si>
  <si>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</si>
  <si>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</si>
  <si>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</si>
  <si>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</si>
  <si>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</si>
  <si>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</si>
  <si>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</si>
  <si>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</si>
  <si>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</si>
  <si>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</si>
  <si>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</si>
  <si>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</si>
  <si>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</si>
  <si>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</si>
  <si>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</si>
  <si>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</si>
  <si>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</si>
  <si>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</si>
  <si>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</si>
  <si>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</si>
  <si>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</si>
  <si>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</si>
  <si>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</si>
  <si>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</si>
  <si>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</si>
  <si>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</si>
  <si>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</si>
  <si>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</si>
  <si>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</si>
  <si>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</si>
  <si>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</si>
  <si>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</si>
  <si>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</si>
  <si>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</si>
  <si>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</si>
  <si>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</si>
  <si>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</si>
  <si>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</si>
  <si>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</si>
  <si>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</si>
  <si>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</si>
  <si>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</si>
  <si>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</si>
  <si>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</si>
  <si>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</si>
  <si>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</si>
  <si>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</si>
  <si>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</si>
  <si>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</si>
  <si>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</si>
  <si>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</si>
  <si>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</si>
  <si>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</si>
  <si>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</si>
  <si>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</si>
  <si>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</si>
  <si>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</si>
  <si>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</si>
  <si>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</si>
  <si>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</si>
  <si>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</si>
  <si>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</si>
  <si>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</si>
  <si>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</si>
  <si>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</si>
  <si>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</si>
  <si>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</si>
  <si>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</si>
  <si>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</si>
  <si>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</si>
  <si>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</si>
  <si>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</si>
  <si>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</si>
  <si>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</si>
  <si>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</si>
  <si>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</si>
  <si>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</si>
  <si>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</si>
  <si>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</si>
  <si>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</si>
  <si>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</si>
  <si>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</si>
  <si>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</si>
  <si>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</si>
  <si>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</si>
  <si>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</si>
  <si>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</si>
  <si>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</si>
  <si>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</si>
  <si>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</si>
  <si>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</si>
  <si>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</si>
  <si>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</si>
  <si>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</si>
  <si>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</si>
  <si>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</si>
  <si>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</si>
  <si>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</si>
  <si>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</si>
  <si>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</si>
  <si>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</si>
  <si>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</si>
  <si>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</si>
  <si>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</si>
  <si>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</si>
  <si>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</si>
  <si>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</si>
  <si>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</si>
  <si>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</si>
  <si>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</si>
  <si>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</si>
  <si>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</si>
  <si>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</si>
  <si>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</si>
  <si>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</si>
  <si>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</si>
  <si>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</si>
  <si>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</si>
  <si>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</si>
  <si>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</si>
  <si>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</si>
  <si>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</si>
  <si>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</si>
  <si>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</si>
  <si>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</si>
  <si>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</si>
  <si>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</si>
  <si>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</si>
  <si>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</si>
  <si>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</si>
  <si>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</si>
  <si>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</si>
  <si>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</si>
  <si>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</si>
  <si>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</si>
  <si>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</si>
  <si>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</si>
  <si>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</si>
  <si>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</si>
  <si>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</si>
  <si>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</si>
  <si>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</si>
  <si>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</si>
  <si>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</si>
  <si>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</si>
  <si>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</si>
  <si>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</si>
  <si>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</si>
  <si>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</si>
  <si>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</si>
  <si>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</si>
  <si>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</si>
  <si>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</si>
  <si>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</si>
  <si>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</si>
  <si>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</si>
  <si>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</si>
  <si>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</si>
  <si>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</si>
  <si>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</si>
  <si>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</si>
  <si>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</si>
  <si>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</si>
  <si>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</si>
  <si>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</si>
  <si>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</si>
  <si>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</si>
  <si>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</si>
  <si>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</si>
  <si>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</si>
  <si>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</si>
  <si>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</si>
  <si>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</si>
  <si>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</si>
  <si>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</si>
  <si>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</si>
  <si>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</si>
  <si>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</si>
  <si>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</si>
  <si>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</si>
  <si>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</si>
  <si>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</si>
  <si>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</si>
  <si>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</si>
  <si>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</si>
  <si>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</si>
  <si>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</si>
  <si>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</si>
  <si>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</si>
  <si>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</si>
  <si>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</si>
  <si>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</si>
  <si>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</si>
  <si>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</si>
  <si>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</si>
  <si>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</si>
  <si>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</si>
  <si>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</si>
  <si>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</si>
  <si>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</si>
  <si>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</si>
  <si>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</si>
  <si>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</si>
  <si>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</si>
  <si>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</si>
  <si>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</si>
  <si>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</si>
  <si>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</si>
  <si>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</si>
  <si>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</si>
  <si>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</si>
  <si>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</si>
  <si>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</si>
  <si>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</si>
  <si>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</si>
  <si>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</si>
  <si>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</si>
  <si>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</si>
  <si>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</si>
  <si>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</si>
  <si>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</si>
  <si>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</si>
  <si>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</si>
  <si>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</si>
  <si>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</si>
  <si>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</si>
  <si>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</si>
  <si>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</si>
  <si>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</si>
  <si>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</si>
  <si>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</si>
  <si>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</si>
  <si>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</si>
  <si>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</si>
  <si>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</si>
  <si>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</si>
  <si>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</si>
  <si>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</si>
  <si>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</si>
  <si>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</si>
  <si>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</si>
  <si>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</si>
  <si>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</si>
  <si>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</si>
  <si>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</si>
  <si>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</si>
  <si>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</si>
  <si>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</si>
  <si>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</si>
  <si>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</si>
  <si>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</si>
  <si>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</si>
  <si>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</si>
  <si>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</si>
  <si>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</si>
  <si>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</si>
  <si>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</si>
  <si>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</si>
  <si>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</si>
  <si>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</si>
  <si>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</si>
  <si>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</si>
  <si>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</si>
  <si>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</si>
  <si>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</si>
  <si>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</si>
  <si>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</si>
  <si>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</si>
  <si>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</si>
  <si>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</si>
  <si>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</si>
  <si>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</si>
  <si>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</si>
  <si>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</si>
  <si>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</si>
  <si>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</si>
  <si>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</si>
  <si>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</si>
  <si>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</si>
  <si>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</si>
  <si>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</si>
  <si>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</si>
  <si>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</si>
  <si>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</si>
  <si>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</si>
  <si>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</si>
  <si>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</si>
  <si>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</si>
  <si>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</si>
  <si>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</si>
  <si>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</si>
  <si>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</si>
  <si>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</si>
  <si>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</si>
  <si>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</si>
  <si>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</si>
  <si>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</si>
  <si>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</si>
  <si>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</si>
  <si>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</si>
  <si>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</si>
  <si>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</si>
  <si>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</si>
  <si>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</si>
  <si>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</si>
  <si>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</si>
  <si>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</si>
  <si>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</si>
  <si>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</si>
  <si>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</si>
  <si>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</si>
  <si>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</si>
  <si>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</si>
  <si>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</si>
  <si>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</si>
  <si>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</si>
  <si>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</si>
  <si>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</si>
  <si>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</si>
  <si>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</si>
  <si>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</si>
  <si>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</si>
  <si>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</si>
  <si>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</si>
  <si>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</si>
  <si>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</si>
  <si>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</si>
  <si>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</si>
  <si>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</si>
  <si>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</si>
  <si>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</si>
  <si>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</si>
  <si>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</si>
  <si>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</si>
  <si>
    <t>Book was officialized, however only 1 of 4 files were received in feed.</t>
  </si>
  <si>
    <t>Freight VaR rerun</t>
  </si>
  <si>
    <t>US Freight</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</si>
  <si>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</si>
  <si>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</si>
  <si>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Power R3 Vol Curve</t>
  </si>
  <si>
    <t>US Power</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</si>
  <si>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</si>
  <si>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</si>
  <si>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</si>
  <si>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</si>
  <si>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08/13-08/20</t>
  </si>
  <si>
    <t>SUMMARY BY WEEK FOR  08/13-08/20</t>
  </si>
  <si>
    <t>Change in primary/secondary mapping caused large change in Var.</t>
  </si>
  <si>
    <t>Preventive maintenance for identified virus caused problems in MTM process</t>
  </si>
  <si>
    <t>Book was officialized with wrong effective date</t>
  </si>
  <si>
    <t>Change in R3 curve after calc caused error in Power Var.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</si>
</sst>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2.xml"/><Relationship Id="rId39" Type="http://schemas.openxmlformats.org/officeDocument/2006/relationships/worksheet" Target="worksheets/sheet31.xml"/><Relationship Id="rId21" Type="http://schemas.openxmlformats.org/officeDocument/2006/relationships/worksheet" Target="worksheets/sheet21.xml"/><Relationship Id="rId34" Type="http://schemas.openxmlformats.org/officeDocument/2006/relationships/chartsheet" Target="chartsheets/sheet8.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hartsheet" Target="chartsheets/sheet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hartsheet" Target="chartsheets/sheet6.xml"/><Relationship Id="rId37" Type="http://schemas.openxmlformats.org/officeDocument/2006/relationships/worksheet" Target="worksheets/sheet29.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hartsheet" Target="chartsheets/sheet3.xml"/><Relationship Id="rId36" Type="http://schemas.openxmlformats.org/officeDocument/2006/relationships/worksheet" Target="worksheets/sheet28.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5.xml"/><Relationship Id="rId44"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5.xml"/><Relationship Id="rId30" Type="http://schemas.openxmlformats.org/officeDocument/2006/relationships/worksheet" Target="worksheets/sheet26.xml"/><Relationship Id="rId35"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hartsheet" Target="chartsheets/sheet1.xml"/><Relationship Id="rId33" Type="http://schemas.openxmlformats.org/officeDocument/2006/relationships/chartsheet" Target="chartsheets/sheet7.xml"/><Relationship Id="rId38" Type="http://schemas.openxmlformats.org/officeDocument/2006/relationships/worksheet" Target="worksheets/sheet30.xml"/><Relationship Id="rId46" Type="http://schemas.openxmlformats.org/officeDocument/2006/relationships/externalLink" Target="externalLinks/externalLink7.xml"/><Relationship Id="rId20" Type="http://schemas.openxmlformats.org/officeDocument/2006/relationships/worksheet" Target="worksheets/sheet20.xml"/><Relationship Id="rId4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13'!$A$2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13'!$G$2:$Y$2</c:f>
              <c:numCache>
                <c:formatCode>General</c:formatCode>
                <c:ptCount val="19"/>
                <c:pt idx="1">
                  <c:v>2</c:v>
                </c:pt>
                <c:pt idx="3">
                  <c:v>1</c:v>
                </c:pt>
                <c:pt idx="9">
                  <c:v>1</c:v>
                </c:pt>
              </c:numCache>
            </c:numRef>
          </c:val>
        </c:ser>
        <c:ser>
          <c:idx val="1"/>
          <c:order val="1"/>
          <c:tx>
            <c:strRef>
              <c:f>'Graph Data Aug 13'!$A$3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 val="-5.5371318683627435E-3"/>
                  <c:y val="-1.6278530070934383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13'!$G$3:$Y$3</c:f>
              <c:numCache>
                <c:formatCode>General</c:formatCode>
                <c:ptCount val="19"/>
                <c:pt idx="7">
                  <c:v>1</c:v>
                </c:pt>
                <c:pt idx="9">
                  <c:v>1</c:v>
                </c:pt>
                <c:pt idx="11">
                  <c:v>2</c:v>
                </c:pt>
                <c:pt idx="13">
                  <c:v>1</c:v>
                </c:pt>
              </c:numCache>
            </c:numRef>
          </c:val>
        </c:ser>
        <c:ser>
          <c:idx val="2"/>
          <c:order val="2"/>
          <c:tx>
            <c:strRef>
              <c:f>'Graph Data Aug 13'!$A$4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 val="3.9447028732786382E-4"/>
                  <c:y val="1.8228704250249361E-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13'!$G$4:$Y$4</c:f>
              <c:numCache>
                <c:formatCode>General</c:formatCode>
                <c:ptCount val="19"/>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numCache>
            </c:numRef>
          </c:val>
        </c:ser>
        <c:ser>
          <c:idx val="3"/>
          <c:order val="3"/>
          <c:tx>
            <c:strRef>
              <c:f>'Graph Data Aug 13'!$A$5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 val="1.1843563438177496E-3"/>
                  <c:y val="3.088906468908359E-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13'!$G$5:$Y$5</c:f>
              <c:numCache>
                <c:formatCode>General</c:formatCode>
                <c:ptCount val="19"/>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numCache>
            </c:numRef>
          </c:val>
        </c:ser>
        <c:ser>
          <c:idx val="4"/>
          <c:order val="4"/>
          <c:tx>
            <c:strRef>
              <c:f>'Graph Data Aug 13'!$A$6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 val="-3.4290144530563782E-3"/>
                  <c:y val="-1.4253194941100555E-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7.8774554854097456E-3"/>
                  <c:y val="-1.0582126168934614E-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13'!$G$6:$Y$6</c:f>
              <c:numCache>
                <c:formatCode>General</c:formatCode>
                <c:ptCount val="19"/>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13'!$A$7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5.928685819756141E-3"/>
                  <c:y val="-2.5645776315667224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435498517538436E-3"/>
                  <c:y val="-6.9110573967686717E-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13'!$G$7:$Y$7</c:f>
              <c:numCache>
                <c:formatCode>General</c:formatCode>
                <c:ptCount val="19"/>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13'!$A$8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13'!$G$8:$Y$8</c:f>
              <c:numCache>
                <c:formatCode>General</c:formatCode>
                <c:ptCount val="19"/>
                <c:pt idx="0">
                  <c:v>4</c:v>
                </c:pt>
                <c:pt idx="1">
                  <c:v>1</c:v>
                </c:pt>
                <c:pt idx="2">
                  <c:v>5</c:v>
                </c:pt>
                <c:pt idx="3">
                  <c:v>1</c:v>
                </c:pt>
                <c:pt idx="4">
                  <c:v>2</c:v>
                </c:pt>
                <c:pt idx="5">
                  <c:v>1</c:v>
                </c:pt>
                <c:pt idx="7">
                  <c:v>3</c:v>
                </c:pt>
                <c:pt idx="9">
                  <c:v>3</c:v>
                </c:pt>
                <c:pt idx="10">
                  <c:v>1</c:v>
                </c:pt>
                <c:pt idx="13">
                  <c:v>2</c:v>
                </c:pt>
                <c:pt idx="15">
                  <c:v>2</c:v>
                </c:pt>
                <c:pt idx="17">
                  <c:v>1</c:v>
                </c:pt>
                <c:pt idx="18">
                  <c:v>1</c:v>
                </c:pt>
              </c:numCache>
            </c:numRef>
          </c:val>
        </c:ser>
        <c:ser>
          <c:idx val="7"/>
          <c:order val="7"/>
          <c:tx>
            <c:strRef>
              <c:f>'Graph Data Aug 13'!$A$9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 val="-4.9975748164454714E-5"/>
                  <c:y val="-1.710112240719408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13'!$G$9:$Y$9</c:f>
              <c:numCache>
                <c:formatCode>General</c:formatCode>
                <c:ptCount val="19"/>
                <c:pt idx="4">
                  <c:v>1</c:v>
                </c:pt>
                <c:pt idx="6">
                  <c:v>1</c:v>
                </c:pt>
                <c:pt idx="8">
                  <c:v>2</c:v>
                </c:pt>
                <c:pt idx="10">
                  <c:v>4</c:v>
                </c:pt>
                <c:pt idx="11">
                  <c:v>7</c:v>
                </c:pt>
                <c:pt idx="15">
                  <c:v>2</c:v>
                </c:pt>
                <c:pt idx="16">
                  <c:v>3</c:v>
                </c:pt>
                <c:pt idx="17">
                  <c:v>3</c:v>
                </c:pt>
                <c:pt idx="18">
                  <c:v>2</c:v>
                </c:pt>
              </c:numCache>
            </c:numRef>
          </c:val>
        </c:ser>
        <c:ser>
          <c:idx val="8"/>
          <c:order val="8"/>
          <c:tx>
            <c:strRef>
              <c:f>'Graph Data Aug 13'!$A$10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13'!$G$10:$Y$10</c:f>
              <c:numCache>
                <c:formatCode>General</c:formatCode>
                <c:ptCount val="19"/>
                <c:pt idx="12">
                  <c:v>1</c:v>
                </c:pt>
                <c:pt idx="14">
                  <c:v>1</c:v>
                </c:pt>
                <c:pt idx="15">
                  <c:v>1</c:v>
                </c:pt>
                <c:pt idx="16">
                  <c:v>2</c:v>
                </c:pt>
                <c:pt idx="17">
                  <c:v>1</c:v>
                </c:pt>
              </c:numCache>
            </c:numRef>
          </c:val>
        </c:ser>
        <c:dLbls>
          <c:showLegendKey val="0"/>
          <c:showVal val="1"/>
          <c:showCatName val="0"/>
          <c:showSerName val="0"/>
          <c:showPercent val="0"/>
          <c:showBubbleSize val="0"/>
        </c:dLbls>
        <c:gapWidth val="110"/>
        <c:overlap val="50"/>
        <c:axId val="225156592"/>
        <c:axId val="225157152"/>
      </c:barChart>
      <c:catAx>
        <c:axId val="2251565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5157152"/>
        <c:crosses val="autoZero"/>
        <c:auto val="0"/>
        <c:lblAlgn val="ctr"/>
        <c:lblOffset val="100"/>
        <c:tickLblSkip val="1"/>
        <c:tickMarkSkip val="1"/>
        <c:noMultiLvlLbl val="0"/>
      </c:catAx>
      <c:valAx>
        <c:axId val="225157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515659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0865153415109411E-2"/>
          <c:y val="0.13913473416982192"/>
          <c:w val="0.9469429067755567"/>
          <c:h val="0.68118046937308652"/>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ser>
        <c:dLbls>
          <c:showLegendKey val="0"/>
          <c:showVal val="0"/>
          <c:showCatName val="0"/>
          <c:showSerName val="0"/>
          <c:showPercent val="0"/>
          <c:showBubbleSize val="0"/>
        </c:dLbls>
        <c:gapWidth val="150"/>
        <c:axId val="223765584"/>
        <c:axId val="223766144"/>
      </c:barChart>
      <c:catAx>
        <c:axId val="223765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766144"/>
        <c:crosses val="autoZero"/>
        <c:auto val="1"/>
        <c:lblAlgn val="ctr"/>
        <c:lblOffset val="100"/>
        <c:tickLblSkip val="1"/>
        <c:tickMarkSkip val="1"/>
        <c:noMultiLvlLbl val="0"/>
      </c:catAx>
      <c:valAx>
        <c:axId val="22376614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7655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5147072"/>
        <c:axId val="225147632"/>
      </c:lineChart>
      <c:dateAx>
        <c:axId val="2251470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5147632"/>
        <c:crossesAt val="0"/>
        <c:auto val="1"/>
        <c:lblOffset val="100"/>
        <c:baseTimeUnit val="days"/>
        <c:majorUnit val="5"/>
        <c:majorTimeUnit val="days"/>
        <c:minorUnit val="1"/>
        <c:minorTimeUnit val="days"/>
      </c:dateAx>
      <c:valAx>
        <c:axId val="22514763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1470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6333848972350845"/>
          <c:y val="0.17379449268668634"/>
          <c:w val="0.68835506383478562"/>
          <c:h val="0.56411982872071964"/>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ser>
        <c:dLbls>
          <c:showLegendKey val="0"/>
          <c:showVal val="0"/>
          <c:showCatName val="0"/>
          <c:showSerName val="0"/>
          <c:showPercent val="0"/>
          <c:showBubbleSize val="0"/>
        </c:dLbls>
        <c:marker val="1"/>
        <c:smooth val="0"/>
        <c:axId val="225150992"/>
        <c:axId val="225151552"/>
      </c:lineChart>
      <c:catAx>
        <c:axId val="22515099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168060996663"/>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5151552"/>
        <c:crossesAt val="0"/>
        <c:auto val="1"/>
        <c:lblAlgn val="ctr"/>
        <c:lblOffset val="100"/>
        <c:tickLblSkip val="19"/>
        <c:tickMarkSkip val="1"/>
        <c:noMultiLvlLbl val="0"/>
      </c:catAx>
      <c:valAx>
        <c:axId val="225151552"/>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15099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495520227883256"/>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1573478095981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4177515833474884"/>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058069019420955"/>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545596484473299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ser>
        <c:dLbls>
          <c:showLegendKey val="0"/>
          <c:showVal val="1"/>
          <c:showCatName val="0"/>
          <c:showSerName val="0"/>
          <c:showPercent val="0"/>
          <c:showBubbleSize val="0"/>
        </c:dLbls>
        <c:gapWidth val="110"/>
        <c:overlap val="50"/>
        <c:axId val="227868400"/>
        <c:axId val="227868960"/>
      </c:barChart>
      <c:catAx>
        <c:axId val="2278684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7868960"/>
        <c:crosses val="autoZero"/>
        <c:auto val="0"/>
        <c:lblAlgn val="ctr"/>
        <c:lblOffset val="100"/>
        <c:tickLblSkip val="1"/>
        <c:tickMarkSkip val="1"/>
        <c:noMultiLvlLbl val="0"/>
      </c:catAx>
      <c:valAx>
        <c:axId val="227868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7868400"/>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ser>
        <c:dLbls>
          <c:showLegendKey val="0"/>
          <c:showVal val="0"/>
          <c:showCatName val="0"/>
          <c:showSerName val="0"/>
          <c:showPercent val="0"/>
          <c:showBubbleSize val="0"/>
        </c:dLbls>
        <c:marker val="1"/>
        <c:smooth val="0"/>
        <c:axId val="227871200"/>
        <c:axId val="227871760"/>
      </c:lineChart>
      <c:catAx>
        <c:axId val="2278712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7871760"/>
        <c:crosses val="autoZero"/>
        <c:auto val="0"/>
        <c:lblAlgn val="ctr"/>
        <c:lblOffset val="100"/>
        <c:tickLblSkip val="1"/>
        <c:tickMarkSkip val="1"/>
        <c:noMultiLvlLbl val="0"/>
      </c:catAx>
      <c:valAx>
        <c:axId val="22787176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78712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47246187852058"/>
          <c:y val="0.8461812948068068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9.5073351186905297E-2"/>
          <c:w val="0.82568444646042438"/>
          <c:h val="0.59508875372544423"/>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5"/>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5"/>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ser>
        <c:dLbls>
          <c:showLegendKey val="0"/>
          <c:showVal val="1"/>
          <c:showCatName val="0"/>
          <c:showSerName val="0"/>
          <c:showPercent val="0"/>
          <c:showBubbleSize val="0"/>
        </c:dLbls>
        <c:gapWidth val="150"/>
        <c:axId val="227875120"/>
        <c:axId val="227875680"/>
      </c:barChart>
      <c:catAx>
        <c:axId val="22787512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Ratios expressed in %</a:t>
                </a:r>
              </a:p>
            </c:rich>
          </c:tx>
          <c:layout>
            <c:manualLayout>
              <c:xMode val="edge"/>
              <c:yMode val="edge"/>
              <c:x val="0.32237878786104218"/>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27875680"/>
        <c:crosses val="autoZero"/>
        <c:auto val="1"/>
        <c:lblAlgn val="ctr"/>
        <c:lblOffset val="100"/>
        <c:tickLblSkip val="1"/>
        <c:tickMarkSkip val="1"/>
        <c:noMultiLvlLbl val="0"/>
      </c:catAx>
      <c:valAx>
        <c:axId val="22787568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7875120"/>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2.4648646604012482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5.4322670010592565E-2"/>
          <c:y val="0.13043881328420806"/>
          <c:w val="0.92348539018007358"/>
          <c:h val="0.58552533963133391"/>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ser>
        <c:dLbls>
          <c:showLegendKey val="0"/>
          <c:showVal val="0"/>
          <c:showCatName val="0"/>
          <c:showSerName val="0"/>
          <c:showPercent val="0"/>
          <c:showBubbleSize val="0"/>
        </c:dLbls>
        <c:gapWidth val="150"/>
        <c:axId val="227877920"/>
        <c:axId val="227878480"/>
      </c:barChart>
      <c:catAx>
        <c:axId val="227877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878480"/>
        <c:crosses val="autoZero"/>
        <c:auto val="1"/>
        <c:lblAlgn val="ctr"/>
        <c:lblOffset val="100"/>
        <c:tickLblSkip val="1"/>
        <c:tickMarkSkip val="1"/>
        <c:noMultiLvlLbl val="0"/>
      </c:catAx>
      <c:valAx>
        <c:axId val="227878480"/>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87792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7882960"/>
        <c:axId val="227883520"/>
      </c:lineChart>
      <c:dateAx>
        <c:axId val="2278829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7883520"/>
        <c:crossesAt val="0"/>
        <c:auto val="1"/>
        <c:lblOffset val="100"/>
        <c:baseTimeUnit val="days"/>
        <c:majorUnit val="5"/>
        <c:majorTimeUnit val="days"/>
        <c:minorUnit val="1"/>
        <c:minorTimeUnit val="days"/>
      </c:dateAx>
      <c:valAx>
        <c:axId val="2278835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8829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2834369872990987"/>
          <c:y val="2.8490900440440385E-2"/>
        </c:manualLayout>
      </c:layout>
      <c:overlay val="0"/>
      <c:spPr>
        <a:noFill/>
        <a:ln w="25400">
          <a:noFill/>
        </a:ln>
      </c:spPr>
    </c:title>
    <c:autoTitleDeleted val="0"/>
    <c:plotArea>
      <c:layout>
        <c:manualLayout>
          <c:layoutTarget val="inner"/>
          <c:xMode val="edge"/>
          <c:yMode val="edge"/>
          <c:x val="0.1733388054208661"/>
          <c:y val="0.11966178184984962"/>
          <c:w val="0.76335743156496805"/>
          <c:h val="0.54987437850049947"/>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ser>
        <c:dLbls>
          <c:showLegendKey val="0"/>
          <c:showVal val="0"/>
          <c:showCatName val="0"/>
          <c:showSerName val="0"/>
          <c:showPercent val="0"/>
          <c:showBubbleSize val="0"/>
        </c:dLbls>
        <c:marker val="1"/>
        <c:smooth val="0"/>
        <c:axId val="227886880"/>
        <c:axId val="227887440"/>
      </c:lineChart>
      <c:dateAx>
        <c:axId val="227886880"/>
        <c:scaling>
          <c:orientation val="minMax"/>
          <c:max val="37106"/>
          <c:min val="37032"/>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9001546917052535"/>
              <c:y val="0.857576103257255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227887440"/>
        <c:crossesAt val="0"/>
        <c:auto val="0"/>
        <c:lblOffset val="100"/>
        <c:baseTimeUnit val="days"/>
        <c:majorUnit val="7"/>
        <c:majorTimeUnit val="days"/>
        <c:minorUnit val="1"/>
        <c:minorTimeUnit val="days"/>
      </c:dateAx>
      <c:valAx>
        <c:axId val="227887440"/>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2.5000789243394151E-2"/>
              <c:y val="0.245021743787787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7886880"/>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626268579980118"/>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075021326485352"/>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666338891092122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259842316587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8012862867249229"/>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ser>
        <c:dLbls>
          <c:showLegendKey val="0"/>
          <c:showVal val="1"/>
          <c:showCatName val="0"/>
          <c:showSerName val="0"/>
          <c:showPercent val="0"/>
          <c:showBubbleSize val="0"/>
        </c:dLbls>
        <c:gapWidth val="110"/>
        <c:overlap val="50"/>
        <c:axId val="227490800"/>
        <c:axId val="227491360"/>
      </c:barChart>
      <c:catAx>
        <c:axId val="2274908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7491360"/>
        <c:crosses val="autoZero"/>
        <c:auto val="0"/>
        <c:lblAlgn val="ctr"/>
        <c:lblOffset val="100"/>
        <c:tickLblSkip val="1"/>
        <c:tickMarkSkip val="1"/>
        <c:noMultiLvlLbl val="0"/>
      </c:catAx>
      <c:valAx>
        <c:axId val="227491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7490800"/>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25400">
                <a:solidFill>
                  <a:srgbClr val="000000"/>
                </a:solidFill>
                <a:prstDash val="solid"/>
              </a:ln>
            </c:spPr>
            <c:trendlineType val="linear"/>
            <c:dispRSqr val="0"/>
            <c:dispEq val="0"/>
          </c:trendline>
          <c:cat>
            <c:numRef>
              <c:f>'Graph Data Aug 13'!$G$12:$Y$12</c:f>
              <c:numCache>
                <c:formatCode>m/d/yyyy</c:formatCode>
                <c:ptCount val="19"/>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numCache>
            </c:numRef>
          </c:cat>
          <c:val>
            <c:numRef>
              <c:f>'Graph Data Aug 13'!$G$11:$Y$11</c:f>
              <c:numCache>
                <c:formatCode>General</c:formatCode>
                <c:ptCount val="19"/>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numCache>
            </c:numRef>
          </c:val>
          <c:smooth val="0"/>
        </c:ser>
        <c:dLbls>
          <c:showLegendKey val="0"/>
          <c:showVal val="0"/>
          <c:showCatName val="0"/>
          <c:showSerName val="0"/>
          <c:showPercent val="0"/>
          <c:showBubbleSize val="0"/>
        </c:dLbls>
        <c:marker val="1"/>
        <c:smooth val="0"/>
        <c:axId val="225159392"/>
        <c:axId val="225159952"/>
      </c:lineChart>
      <c:catAx>
        <c:axId val="2251593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5159952"/>
        <c:crosses val="autoZero"/>
        <c:auto val="0"/>
        <c:lblAlgn val="ctr"/>
        <c:lblOffset val="100"/>
        <c:tickLblSkip val="1"/>
        <c:tickMarkSkip val="1"/>
        <c:noMultiLvlLbl val="0"/>
      </c:catAx>
      <c:valAx>
        <c:axId val="22515995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51593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ser>
        <c:dLbls>
          <c:showLegendKey val="0"/>
          <c:showVal val="0"/>
          <c:showCatName val="0"/>
          <c:showSerName val="0"/>
          <c:showPercent val="0"/>
          <c:showBubbleSize val="0"/>
        </c:dLbls>
        <c:marker val="1"/>
        <c:smooth val="0"/>
        <c:axId val="227493600"/>
        <c:axId val="227494160"/>
      </c:lineChart>
      <c:catAx>
        <c:axId val="2274936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7494160"/>
        <c:crosses val="autoZero"/>
        <c:auto val="0"/>
        <c:lblAlgn val="ctr"/>
        <c:lblOffset val="100"/>
        <c:tickLblSkip val="1"/>
        <c:tickMarkSkip val="1"/>
        <c:noMultiLvlLbl val="0"/>
      </c:catAx>
      <c:valAx>
        <c:axId val="22749416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74936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034571623562488"/>
          <c:y val="0.85317452864818533"/>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434771180240036"/>
                  <c:y val="0.2464864660401248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744441865908746"/>
                  <c:y val="0.3274748763104515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ser>
        <c:dLbls>
          <c:showLegendKey val="0"/>
          <c:showVal val="1"/>
          <c:showCatName val="0"/>
          <c:showSerName val="0"/>
          <c:showPercent val="0"/>
          <c:showBubbleSize val="0"/>
        </c:dLbls>
        <c:gapWidth val="150"/>
        <c:shape val="box"/>
        <c:axId val="227496960"/>
        <c:axId val="227497520"/>
        <c:axId val="227629504"/>
      </c:bar3DChart>
      <c:catAx>
        <c:axId val="2274969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227497520"/>
        <c:crosses val="autoZero"/>
        <c:auto val="1"/>
        <c:lblAlgn val="ctr"/>
        <c:lblOffset val="100"/>
        <c:tickLblSkip val="1"/>
        <c:tickMarkSkip val="1"/>
        <c:noMultiLvlLbl val="1"/>
      </c:catAx>
      <c:valAx>
        <c:axId val="22749752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7496960"/>
        <c:crosses val="autoZero"/>
        <c:crossBetween val="between"/>
      </c:valAx>
      <c:serAx>
        <c:axId val="2276295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27497520"/>
        <c:crosses val="autoZero"/>
        <c:tickLblSkip val="4"/>
        <c:tickMarkSkip val="1"/>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3.4568971824922544E-2"/>
          <c:y val="0.12754017298900341"/>
          <c:w val="0.94447369450234797"/>
          <c:h val="0.6927750305539049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27499760"/>
        <c:axId val="227500320"/>
      </c:barChart>
      <c:catAx>
        <c:axId val="227499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500320"/>
        <c:crosses val="autoZero"/>
        <c:auto val="1"/>
        <c:lblAlgn val="ctr"/>
        <c:lblOffset val="100"/>
        <c:tickLblSkip val="1"/>
        <c:tickMarkSkip val="1"/>
        <c:noMultiLvlLbl val="0"/>
      </c:catAx>
      <c:valAx>
        <c:axId val="22750032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749976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109407412440415"/>
          <c:y val="0.12059233401104606"/>
          <c:w val="0.670649009008025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7504800"/>
        <c:axId val="227505360"/>
      </c:lineChart>
      <c:dateAx>
        <c:axId val="227504800"/>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4260140950338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7505360"/>
        <c:crossesAt val="0"/>
        <c:auto val="1"/>
        <c:lblOffset val="100"/>
        <c:baseTimeUnit val="days"/>
        <c:majorUnit val="5"/>
        <c:majorTimeUnit val="days"/>
        <c:minorUnit val="1"/>
        <c:minorTimeUnit val="days"/>
      </c:dateAx>
      <c:valAx>
        <c:axId val="227505360"/>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7165529478806103E-2"/>
              <c:y val="0.235302115143504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50480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 DPR Completion Times</a:t>
            </a:r>
          </a:p>
        </c:rich>
      </c:tx>
      <c:layout>
        <c:manualLayout>
          <c:xMode val="edge"/>
          <c:yMode val="edge"/>
          <c:x val="0.3366772951443745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533539588940338"/>
          <c:h val="0.5014398477517507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27862800"/>
        <c:axId val="227863360"/>
      </c:lineChart>
      <c:dateAx>
        <c:axId val="227862800"/>
        <c:scaling>
          <c:orientation val="minMax"/>
          <c:max val="37099"/>
          <c:min val="37034"/>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3834717140084412"/>
              <c:y val="0.8632742833453436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7863360"/>
        <c:crossesAt val="0"/>
        <c:auto val="0"/>
        <c:lblOffset val="100"/>
        <c:baseTimeUnit val="days"/>
        <c:majorUnit val="5"/>
        <c:majorTimeUnit val="days"/>
        <c:minorUnit val="1"/>
        <c:minorTimeUnit val="days"/>
      </c:dateAx>
      <c:valAx>
        <c:axId val="227863360"/>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7862800"/>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04294306823797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24081643054362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9499384528473672"/>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764660790967498"/>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0862411058967882"/>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ser>
        <c:dLbls>
          <c:showLegendKey val="0"/>
          <c:showVal val="1"/>
          <c:showCatName val="0"/>
          <c:showSerName val="0"/>
          <c:showPercent val="0"/>
          <c:showBubbleSize val="0"/>
        </c:dLbls>
        <c:gapWidth val="110"/>
        <c:overlap val="50"/>
        <c:axId val="226587104"/>
        <c:axId val="226587664"/>
      </c:barChart>
      <c:catAx>
        <c:axId val="2265871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6587664"/>
        <c:crosses val="autoZero"/>
        <c:auto val="0"/>
        <c:lblAlgn val="ctr"/>
        <c:lblOffset val="100"/>
        <c:tickLblSkip val="1"/>
        <c:tickMarkSkip val="1"/>
        <c:noMultiLvlLbl val="0"/>
      </c:catAx>
      <c:valAx>
        <c:axId val="22658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6587104"/>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ser>
        <c:dLbls>
          <c:showLegendKey val="0"/>
          <c:showVal val="0"/>
          <c:showCatName val="0"/>
          <c:showSerName val="0"/>
          <c:showPercent val="0"/>
          <c:showBubbleSize val="0"/>
        </c:dLbls>
        <c:marker val="1"/>
        <c:smooth val="0"/>
        <c:axId val="226589904"/>
        <c:axId val="226590464"/>
      </c:lineChart>
      <c:catAx>
        <c:axId val="2265899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6590464"/>
        <c:crosses val="autoZero"/>
        <c:auto val="0"/>
        <c:lblAlgn val="ctr"/>
        <c:lblOffset val="100"/>
        <c:tickLblSkip val="1"/>
        <c:tickMarkSkip val="1"/>
        <c:noMultiLvlLbl val="0"/>
      </c:catAx>
      <c:valAx>
        <c:axId val="22659046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65899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983410386728915"/>
          <c:y val="0.8636643794102532"/>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5823198823563071"/>
          <c:y val="3.873358752059104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9.8687384039094547E-3"/>
          <c:y val="0.12324323302006242"/>
          <c:w val="0.67765337040178253"/>
          <c:h val="0.4612818150179479"/>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1678007111292854"/>
                  <c:y val="0.408463286580778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599250153638527"/>
                  <c:y val="0.4014208161224890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1875703461999291"/>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303509584149488"/>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579962892510255"/>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6843290041261961"/>
                  <c:y val="0.461281815017947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1284222323021219"/>
                  <c:y val="0.4788879911636710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6712028445171416"/>
                  <c:y val="0.4929729320802496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139834567321619"/>
                  <c:y val="0.50001540253853893"/>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57567640689471822"/>
                  <c:y val="0.5387489900591300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158317871879271"/>
                  <c:y val="0.3204324058521622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17434771180240036"/>
                  <c:y val="0.2500077012692694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22698098328991745"/>
                  <c:y val="0.36620846383104261"/>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2779694650434496"/>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31744441865908746"/>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37172247988058943"/>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34224489772016"/>
                  <c:y val="0.41550575703906756"/>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8192339205757834"/>
                  <c:y val="0.4295906979556461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ser>
        <c:dLbls>
          <c:showLegendKey val="0"/>
          <c:showVal val="1"/>
          <c:showCatName val="0"/>
          <c:showSerName val="0"/>
          <c:showPercent val="0"/>
          <c:showBubbleSize val="0"/>
        </c:dLbls>
        <c:gapWidth val="150"/>
        <c:shape val="box"/>
        <c:axId val="226593264"/>
        <c:axId val="226593824"/>
        <c:axId val="143447152"/>
      </c:bar3DChart>
      <c:catAx>
        <c:axId val="2265932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800000"/>
                </a:solidFill>
                <a:latin typeface="Arial"/>
                <a:ea typeface="Arial"/>
                <a:cs typeface="Arial"/>
              </a:defRPr>
            </a:pPr>
            <a:endParaRPr lang="en-US"/>
          </a:p>
        </c:txPr>
        <c:crossAx val="226593824"/>
        <c:crosses val="autoZero"/>
        <c:auto val="1"/>
        <c:lblAlgn val="ctr"/>
        <c:lblOffset val="100"/>
        <c:tickLblSkip val="1"/>
        <c:tickMarkSkip val="1"/>
        <c:noMultiLvlLbl val="1"/>
      </c:catAx>
      <c:valAx>
        <c:axId val="22659382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6593264"/>
        <c:crosses val="autoZero"/>
        <c:crossBetween val="between"/>
      </c:valAx>
      <c:serAx>
        <c:axId val="143447152"/>
        <c:scaling>
          <c:orientation val="minMax"/>
        </c:scaling>
        <c:delete val="1"/>
        <c:axPos val="b"/>
        <c:majorTickMark val="out"/>
        <c:minorTickMark val="none"/>
        <c:tickLblPos val="nextTo"/>
        <c:crossAx val="226593824"/>
        <c:crosses val="autoZero"/>
      </c:serAx>
      <c:spPr>
        <a:noFill/>
        <a:ln w="25400">
          <a:noFill/>
        </a:ln>
      </c:spPr>
    </c:plotArea>
    <c:legend>
      <c:legendPos val="r"/>
      <c:layout>
        <c:manualLayout>
          <c:xMode val="edge"/>
          <c:yMode val="edge"/>
          <c:x val="0.73193143162328456"/>
          <c:y val="0.27113511264413731"/>
          <c:w val="0.26152156770360052"/>
          <c:h val="0.1514131148532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30 Day Rolling Late</a:t>
            </a:r>
          </a:p>
        </c:rich>
      </c:tx>
      <c:layout>
        <c:manualLayout>
          <c:xMode val="edge"/>
          <c:yMode val="edge"/>
          <c:x val="0.43211214781153179"/>
          <c:y val="3.4783683542455479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67538318878267722"/>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27071344"/>
        <c:axId val="227071904"/>
      </c:barChart>
      <c:catAx>
        <c:axId val="22707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071904"/>
        <c:crosses val="autoZero"/>
        <c:auto val="1"/>
        <c:lblAlgn val="ctr"/>
        <c:lblOffset val="100"/>
        <c:tickLblSkip val="1"/>
        <c:tickMarkSkip val="1"/>
        <c:noMultiLvlLbl val="0"/>
      </c:catAx>
      <c:valAx>
        <c:axId val="22707190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70713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3826815357806455"/>
          <c:y val="0.11470978113245844"/>
          <c:w val="0.67132487066520374"/>
          <c:h val="0.60002039361593651"/>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7076384"/>
        <c:axId val="227076944"/>
      </c:lineChart>
      <c:dateAx>
        <c:axId val="227076384"/>
        <c:scaling>
          <c:orientation val="minMax"/>
          <c:max val="37085"/>
          <c:min val="37020"/>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50088487759476341"/>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Times New Roman"/>
                <a:ea typeface="Times New Roman"/>
                <a:cs typeface="Times New Roman"/>
              </a:defRPr>
            </a:pPr>
            <a:endParaRPr lang="en-US"/>
          </a:p>
        </c:txPr>
        <c:crossAx val="227076944"/>
        <c:crossesAt val="0"/>
        <c:auto val="1"/>
        <c:lblOffset val="100"/>
        <c:baseTimeUnit val="days"/>
        <c:majorUnit val="5"/>
        <c:majorTimeUnit val="days"/>
        <c:minorUnit val="1"/>
        <c:minorTimeUnit val="days"/>
      </c:dateAx>
      <c:valAx>
        <c:axId val="227076944"/>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2.7826937644153525E-2"/>
              <c:y val="0.23824339158279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0763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08/13/2001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13'!$C$161</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 val="1.3350397228557576E-3"/>
                  <c:y val="3.8194828500837108E-3"/>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13'!$C$162:$C$171</c:f>
              <c:numCache>
                <c:formatCode>General</c:formatCode>
                <c:ptCount val="10"/>
                <c:pt idx="0">
                  <c:v>0</c:v>
                </c:pt>
                <c:pt idx="1">
                  <c:v>5</c:v>
                </c:pt>
                <c:pt idx="2">
                  <c:v>9</c:v>
                </c:pt>
                <c:pt idx="4">
                  <c:v>1</c:v>
                </c:pt>
                <c:pt idx="5">
                  <c:v>1</c:v>
                </c:pt>
                <c:pt idx="8">
                  <c:v>1</c:v>
                </c:pt>
                <c:pt idx="9">
                  <c:v>17</c:v>
                </c:pt>
              </c:numCache>
            </c:numRef>
          </c:val>
        </c:ser>
        <c:ser>
          <c:idx val="0"/>
          <c:order val="1"/>
          <c:tx>
            <c:strRef>
              <c:f>'Graph Data Aug 13'!$E$161</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 val="7.8638362072063761E-3"/>
                  <c:y val="1.6865362073964607E-2"/>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13'!$E$162:$E$169</c:f>
              <c:numCache>
                <c:formatCode>_(* #,##0_);_(* \(#,##0\);_(* "-"??_);_(@_)</c:formatCode>
                <c:ptCount val="8"/>
                <c:pt idx="0">
                  <c:v>0</c:v>
                </c:pt>
                <c:pt idx="1">
                  <c:v>0.79617834394904463</c:v>
                </c:pt>
                <c:pt idx="2">
                  <c:v>28.125</c:v>
                </c:pt>
                <c:pt idx="3">
                  <c:v>0</c:v>
                </c:pt>
                <c:pt idx="4">
                  <c:v>0.22371364653243847</c:v>
                </c:pt>
                <c:pt idx="5">
                  <c:v>0.66225165562913912</c:v>
                </c:pt>
              </c:numCache>
            </c:numRef>
          </c:val>
        </c:ser>
        <c:dLbls>
          <c:showLegendKey val="0"/>
          <c:showVal val="1"/>
          <c:showCatName val="0"/>
          <c:showSerName val="0"/>
          <c:showPercent val="0"/>
          <c:showBubbleSize val="0"/>
        </c:dLbls>
        <c:gapWidth val="150"/>
        <c:axId val="225614288"/>
        <c:axId val="225614848"/>
      </c:barChart>
      <c:catAx>
        <c:axId val="225614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25614848"/>
        <c:crosses val="autoZero"/>
        <c:auto val="1"/>
        <c:lblAlgn val="ctr"/>
        <c:lblOffset val="100"/>
        <c:tickLblSkip val="1"/>
        <c:tickMarkSkip val="1"/>
        <c:noMultiLvlLbl val="0"/>
      </c:catAx>
      <c:valAx>
        <c:axId val="22561484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561428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60 Day  DPR Completion Times</a:t>
            </a:r>
          </a:p>
        </c:rich>
      </c:tx>
      <c:layout>
        <c:manualLayout>
          <c:xMode val="edge"/>
          <c:yMode val="edge"/>
          <c:x val="0.35495985980225453"/>
          <c:y val="2.8490900440440385E-2"/>
        </c:manualLayout>
      </c:layout>
      <c:overlay val="0"/>
      <c:spPr>
        <a:noFill/>
        <a:ln w="25400">
          <a:noFill/>
        </a:ln>
      </c:spPr>
    </c:title>
    <c:autoTitleDeleted val="0"/>
    <c:plotArea>
      <c:layout>
        <c:manualLayout>
          <c:layoutTarget val="inner"/>
          <c:xMode val="edge"/>
          <c:yMode val="edge"/>
          <c:x val="0.15188186308846469"/>
          <c:y val="0.1709454026426423"/>
          <c:w val="0.68090857721682474"/>
          <c:h val="0.5299307481921911"/>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27080304"/>
        <c:axId val="227080864"/>
      </c:lineChart>
      <c:dateAx>
        <c:axId val="227080304"/>
        <c:scaling>
          <c:orientation val="minMax"/>
          <c:min val="37027"/>
        </c:scaling>
        <c:delete val="0"/>
        <c:axPos val="b"/>
        <c:title>
          <c:tx>
            <c:rich>
              <a:bodyPr/>
              <a:lstStyle/>
              <a:p>
                <a:pPr>
                  <a:defRPr sz="825" b="1" i="0" u="none" strike="noStrike" baseline="0">
                    <a:solidFill>
                      <a:srgbClr val="000000"/>
                    </a:solidFill>
                    <a:latin typeface="Arial"/>
                    <a:ea typeface="Arial"/>
                    <a:cs typeface="Arial"/>
                  </a:defRPr>
                </a:pPr>
                <a:r>
                  <a:rPr lang="en-US"/>
                  <a:t>Report Dates</a:t>
                </a:r>
              </a:p>
            </c:rich>
          </c:tx>
          <c:layout>
            <c:manualLayout>
              <c:xMode val="edge"/>
              <c:yMode val="edge"/>
              <c:x val="0.42834098466522058"/>
              <c:y val="0.883217913653651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7080864"/>
        <c:crossesAt val="0"/>
        <c:auto val="0"/>
        <c:lblOffset val="100"/>
        <c:baseTimeUnit val="days"/>
        <c:majorUnit val="5"/>
        <c:majorTimeUnit val="days"/>
        <c:minorUnit val="1"/>
        <c:minorTimeUnit val="days"/>
      </c:dateAx>
      <c:valAx>
        <c:axId val="227080864"/>
        <c:scaling>
          <c:orientation val="minMax"/>
          <c:max val="0.8"/>
          <c:min val="0.29166666666666702"/>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a:t>Completion Times</a:t>
                </a:r>
              </a:p>
            </c:rich>
          </c:tx>
          <c:layout>
            <c:manualLayout>
              <c:xMode val="edge"/>
              <c:yMode val="edge"/>
              <c:x val="3.0717680175195102E-2"/>
              <c:y val="0.284909004404403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27080304"/>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488751340001902"/>
          <c:y val="2.2152580482287864E-2"/>
        </c:manualLayout>
      </c:layout>
      <c:overlay val="0"/>
      <c:spPr>
        <a:noFill/>
        <a:ln w="25400">
          <a:noFill/>
        </a:ln>
      </c:spPr>
    </c:title>
    <c:autoTitleDeleted val="0"/>
    <c:plotArea>
      <c:layout>
        <c:manualLayout>
          <c:layoutTarget val="inner"/>
          <c:xMode val="edge"/>
          <c:yMode val="edge"/>
          <c:x val="5.3803678835297471E-2"/>
          <c:y val="0.17089133514907781"/>
          <c:w val="0.80059874106922635"/>
          <c:h val="0.51583865980184596"/>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84073436767344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679916537743777"/>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727605258591526"/>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7059285672970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409063178908573"/>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ser>
        <c:dLbls>
          <c:showLegendKey val="0"/>
          <c:showVal val="1"/>
          <c:showCatName val="0"/>
          <c:showSerName val="0"/>
          <c:showPercent val="0"/>
          <c:showBubbleSize val="0"/>
        </c:dLbls>
        <c:gapWidth val="110"/>
        <c:overlap val="50"/>
        <c:axId val="228807776"/>
        <c:axId val="228808336"/>
      </c:barChart>
      <c:catAx>
        <c:axId val="2288077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8808336"/>
        <c:crosses val="autoZero"/>
        <c:auto val="0"/>
        <c:lblAlgn val="ctr"/>
        <c:lblOffset val="100"/>
        <c:tickLblSkip val="1"/>
        <c:tickMarkSkip val="1"/>
        <c:noMultiLvlLbl val="0"/>
      </c:catAx>
      <c:valAx>
        <c:axId val="228808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8807776"/>
        <c:crosses val="autoZero"/>
        <c:crossBetween val="between"/>
      </c:valAx>
      <c:spPr>
        <a:solidFill>
          <a:srgbClr val="FFFFFF"/>
        </a:solidFill>
        <a:ln w="12700">
          <a:solidFill>
            <a:srgbClr val="C0C0C0"/>
          </a:solidFill>
          <a:prstDash val="solid"/>
        </a:ln>
      </c:spPr>
    </c:plotArea>
    <c:legend>
      <c:legendPos val="r"/>
      <c:layout>
        <c:manualLayout>
          <c:xMode val="edge"/>
          <c:yMode val="edge"/>
          <c:x val="0.86229362613370086"/>
          <c:y val="6.9622395801476139E-2"/>
          <c:w val="0.1241071525134195"/>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115435322729102"/>
          <c:y val="3.8462786127582124E-2"/>
        </c:manualLayout>
      </c:layout>
      <c:overlay val="0"/>
      <c:spPr>
        <a:noFill/>
        <a:ln w="25400">
          <a:noFill/>
        </a:ln>
      </c:spPr>
    </c:title>
    <c:autoTitleDeleted val="0"/>
    <c:plotArea>
      <c:layout>
        <c:manualLayout>
          <c:layoutTarget val="inner"/>
          <c:xMode val="edge"/>
          <c:yMode val="edge"/>
          <c:x val="9.9604796139535989E-2"/>
          <c:y val="0.17483084603446422"/>
          <c:w val="0.83269609572652081"/>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ser>
        <c:dLbls>
          <c:showLegendKey val="0"/>
          <c:showVal val="0"/>
          <c:showCatName val="0"/>
          <c:showSerName val="0"/>
          <c:showPercent val="0"/>
          <c:showBubbleSize val="0"/>
        </c:dLbls>
        <c:marker val="1"/>
        <c:smooth val="0"/>
        <c:axId val="228810576"/>
        <c:axId val="228811136"/>
      </c:lineChart>
      <c:catAx>
        <c:axId val="22881057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8811136"/>
        <c:crosses val="autoZero"/>
        <c:auto val="0"/>
        <c:lblAlgn val="ctr"/>
        <c:lblOffset val="100"/>
        <c:tickLblSkip val="1"/>
        <c:tickMarkSkip val="1"/>
        <c:noMultiLvlLbl val="0"/>
      </c:catAx>
      <c:valAx>
        <c:axId val="22881113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881057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436376652899494"/>
          <c:y val="0.84967791172749607"/>
          <c:w val="0.5498184746902387"/>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5823198823563071"/>
          <c:y val="3.873358752059104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941334260044563"/>
          <c:y val="0.12324323302006242"/>
          <c:w val="0.43751406923998581"/>
          <c:h val="0.5281852843716961"/>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007769014660452"/>
                  <c:y val="0.5387489900591300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dLbl>
              <c:idx val="8"/>
              <c:spPr>
                <a:noFill/>
                <a:ln w="25400">
                  <a:noFill/>
                </a:ln>
              </c:spPr>
              <c:txPr>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3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2668520089126"/>
                  <c:y val="0.2781775831024265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6020895174269507"/>
                  <c:y val="0.23944399558183554"/>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38159121828449888"/>
                  <c:y val="0.3309961115395961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37501205934855925"/>
                  <c:y val="0.38029340474762119"/>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0626306429427256"/>
                  <c:y val="0.37325093428933187"/>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2271096163412164"/>
                  <c:y val="0.45071810933051398"/>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5560675631381981"/>
                  <c:y val="0.44719687410136932"/>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7205465365366889"/>
                  <c:y val="0.48240922639281575"/>
                </c:manualLayout>
              </c:layout>
              <c:spPr>
                <a:noFill/>
                <a:ln w="25400">
                  <a:noFill/>
                </a:ln>
              </c:spPr>
              <c:txPr>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ser>
        <c:dLbls>
          <c:showLegendKey val="0"/>
          <c:showVal val="1"/>
          <c:showCatName val="0"/>
          <c:showSerName val="0"/>
          <c:showPercent val="0"/>
          <c:showBubbleSize val="0"/>
        </c:dLbls>
        <c:gapWidth val="150"/>
        <c:shape val="box"/>
        <c:axId val="228815056"/>
        <c:axId val="228815616"/>
        <c:axId val="227630128"/>
      </c:bar3DChart>
      <c:catAx>
        <c:axId val="2288150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75" b="0" i="0" u="none" strike="noStrike" baseline="0">
                <a:solidFill>
                  <a:srgbClr val="800000"/>
                </a:solidFill>
                <a:latin typeface="Arial"/>
                <a:ea typeface="Arial"/>
                <a:cs typeface="Arial"/>
              </a:defRPr>
            </a:pPr>
            <a:endParaRPr lang="en-US"/>
          </a:p>
        </c:txPr>
        <c:crossAx val="228815616"/>
        <c:crosses val="autoZero"/>
        <c:auto val="1"/>
        <c:lblAlgn val="ctr"/>
        <c:lblOffset val="100"/>
        <c:tickLblSkip val="1"/>
        <c:tickMarkSkip val="1"/>
        <c:noMultiLvlLbl val="1"/>
      </c:catAx>
      <c:valAx>
        <c:axId val="228815616"/>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8815056"/>
        <c:crosses val="max"/>
        <c:crossBetween val="between"/>
      </c:valAx>
      <c:serAx>
        <c:axId val="2276301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228815616"/>
        <c:crosses val="autoZero"/>
        <c:tickLblSkip val="2"/>
        <c:tickMarkSkip val="1"/>
      </c:serAx>
      <c:spPr>
        <a:noFill/>
        <a:ln w="25400">
          <a:noFill/>
        </a:ln>
      </c:spPr>
    </c:plotArea>
    <c:legend>
      <c:legendPos val="r"/>
      <c:layout>
        <c:manualLayout>
          <c:xMode val="edge"/>
          <c:yMode val="edge"/>
          <c:x val="0.67271900119982775"/>
          <c:y val="0.23592276035269091"/>
          <c:w val="0.32073399812705727"/>
          <c:h val="0.2253590546652569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692432438582976"/>
          <c:y val="2.3189122361636987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70147095143951887"/>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23042448"/>
        <c:axId val="223041888"/>
      </c:barChart>
      <c:catAx>
        <c:axId val="223042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3041888"/>
        <c:crosses val="autoZero"/>
        <c:auto val="1"/>
        <c:lblAlgn val="ctr"/>
        <c:lblOffset val="100"/>
        <c:tickLblSkip val="1"/>
        <c:tickMarkSkip val="1"/>
        <c:noMultiLvlLbl val="0"/>
      </c:catAx>
      <c:valAx>
        <c:axId val="22304188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304244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60 Days DPR Completion Times</a:t>
            </a:r>
          </a:p>
        </c:rich>
      </c:tx>
      <c:layout>
        <c:manualLayout>
          <c:xMode val="edge"/>
          <c:yMode val="edge"/>
          <c:x val="0.31131386489396756"/>
          <c:y val="3.2354040832231867E-2"/>
        </c:manualLayout>
      </c:layout>
      <c:overlay val="0"/>
      <c:spPr>
        <a:noFill/>
        <a:ln w="25400">
          <a:noFill/>
        </a:ln>
      </c:spPr>
    </c:title>
    <c:autoTitleDeleted val="0"/>
    <c:plotArea>
      <c:layout>
        <c:manualLayout>
          <c:layoutTarget val="inner"/>
          <c:xMode val="edge"/>
          <c:yMode val="edge"/>
          <c:x val="0.2556599896056605"/>
          <c:y val="0.11765105757175226"/>
          <c:w val="0.65219385103484817"/>
          <c:h val="0.5735489056622922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8821216"/>
        <c:axId val="228821776"/>
      </c:lineChart>
      <c:dateAx>
        <c:axId val="228821216"/>
        <c:scaling>
          <c:orientation val="minMax"/>
          <c:max val="37085"/>
          <c:min val="37020"/>
        </c:scaling>
        <c:delete val="0"/>
        <c:axPos val="b"/>
        <c:title>
          <c:tx>
            <c:rich>
              <a:bodyPr/>
              <a:lstStyle/>
              <a:p>
                <a:pPr>
                  <a:defRPr sz="1075" b="1" i="0" u="none" strike="noStrike" baseline="0">
                    <a:solidFill>
                      <a:srgbClr val="000000"/>
                    </a:solidFill>
                    <a:latin typeface="Arial"/>
                    <a:ea typeface="Arial"/>
                    <a:cs typeface="Arial"/>
                  </a:defRPr>
                </a:pPr>
                <a:r>
                  <a:rPr lang="en-US"/>
                  <a:t>Report Dates</a:t>
                </a:r>
              </a:p>
            </c:rich>
          </c:tx>
          <c:layout>
            <c:manualLayout>
              <c:xMode val="edge"/>
              <c:yMode val="edge"/>
              <c:x val="0.49740651038924422"/>
              <c:y val="0.9147369726203737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75" b="0" i="0" u="none" strike="noStrike" baseline="0">
                <a:solidFill>
                  <a:srgbClr val="000000"/>
                </a:solidFill>
                <a:latin typeface="Times New Roman"/>
                <a:ea typeface="Times New Roman"/>
                <a:cs typeface="Times New Roman"/>
              </a:defRPr>
            </a:pPr>
            <a:endParaRPr lang="en-US"/>
          </a:p>
        </c:txPr>
        <c:crossAx val="228821776"/>
        <c:crossesAt val="0"/>
        <c:auto val="1"/>
        <c:lblOffset val="100"/>
        <c:baseTimeUnit val="days"/>
        <c:majorUnit val="5"/>
        <c:majorTimeUnit val="days"/>
        <c:minorUnit val="1"/>
        <c:minorTimeUnit val="days"/>
      </c:dateAx>
      <c:valAx>
        <c:axId val="228821776"/>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391836027595951E-2"/>
              <c:y val="0.202948074311272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882121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822942337611018"/>
          <c:y val="2.2436627502253843E-2"/>
        </c:manualLayout>
      </c:layout>
      <c:overlay val="0"/>
      <c:spPr>
        <a:noFill/>
        <a:ln w="25400">
          <a:noFill/>
        </a:ln>
      </c:spPr>
    </c:title>
    <c:autoTitleDeleted val="0"/>
    <c:plotArea>
      <c:layout>
        <c:manualLayout>
          <c:layoutTarget val="inner"/>
          <c:xMode val="edge"/>
          <c:yMode val="edge"/>
          <c:x val="5.6810437071233316E-2"/>
          <c:y val="0.17308255501738679"/>
          <c:w val="0.79618156660125516"/>
          <c:h val="0.52245289755248236"/>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957229593739299"/>
                  <c:y val="0.64104650006439545"/>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12902052997927"/>
                  <c:y val="0.5609156875563460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6392713269238948"/>
                  <c:y val="0.54168429255441419"/>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6230384331224"/>
                  <c:y val="0.4968110375499065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7812974196019784"/>
                  <c:y val="0.5256581300528042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ser>
        <c:dLbls>
          <c:showLegendKey val="0"/>
          <c:showVal val="1"/>
          <c:showCatName val="0"/>
          <c:showSerName val="0"/>
          <c:showPercent val="0"/>
          <c:showBubbleSize val="0"/>
        </c:dLbls>
        <c:gapWidth val="110"/>
        <c:overlap val="50"/>
        <c:axId val="226132064"/>
        <c:axId val="226132624"/>
      </c:barChart>
      <c:catAx>
        <c:axId val="2261320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6132624"/>
        <c:crosses val="autoZero"/>
        <c:auto val="0"/>
        <c:lblAlgn val="ctr"/>
        <c:lblOffset val="100"/>
        <c:tickLblSkip val="1"/>
        <c:tickMarkSkip val="1"/>
        <c:noMultiLvlLbl val="0"/>
      </c:catAx>
      <c:valAx>
        <c:axId val="226132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6132064"/>
        <c:crosses val="autoZero"/>
        <c:crossBetween val="between"/>
      </c:valAx>
      <c:spPr>
        <a:solidFill>
          <a:srgbClr val="FFFFFF"/>
        </a:solidFill>
        <a:ln w="12700">
          <a:solidFill>
            <a:srgbClr val="C0C0C0"/>
          </a:solidFill>
          <a:prstDash val="solid"/>
        </a:ln>
      </c:spPr>
    </c:plotArea>
    <c:legend>
      <c:legendPos val="r"/>
      <c:layout>
        <c:manualLayout>
          <c:xMode val="edge"/>
          <c:yMode val="edge"/>
          <c:x val="0.85048566086052224"/>
          <c:y val="9.295174250933734E-2"/>
          <c:w val="0.14453243549004946"/>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935450753543186"/>
          <c:y val="3.8733587520591042E-2"/>
        </c:manualLayout>
      </c:layout>
      <c:overlay val="0"/>
      <c:spPr>
        <a:noFill/>
        <a:ln w="25400">
          <a:noFill/>
        </a:ln>
      </c:spPr>
    </c:title>
    <c:autoTitleDeleted val="0"/>
    <c:plotArea>
      <c:layout>
        <c:manualLayout>
          <c:layoutTarget val="inner"/>
          <c:xMode val="edge"/>
          <c:yMode val="edge"/>
          <c:x val="0.10949244294528612"/>
          <c:y val="0.17254052622808738"/>
          <c:w val="0.82046337247001067"/>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ser>
        <c:dLbls>
          <c:showLegendKey val="0"/>
          <c:showVal val="0"/>
          <c:showCatName val="0"/>
          <c:showSerName val="0"/>
          <c:showPercent val="0"/>
          <c:showBubbleSize val="0"/>
        </c:dLbls>
        <c:marker val="1"/>
        <c:smooth val="0"/>
        <c:axId val="226134864"/>
        <c:axId val="226135424"/>
      </c:lineChart>
      <c:catAx>
        <c:axId val="22613486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26135424"/>
        <c:crosses val="autoZero"/>
        <c:auto val="0"/>
        <c:lblAlgn val="ctr"/>
        <c:lblOffset val="100"/>
        <c:tickLblSkip val="1"/>
        <c:tickMarkSkip val="1"/>
        <c:noMultiLvlLbl val="0"/>
      </c:catAx>
      <c:valAx>
        <c:axId val="22613542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61348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474931936267106"/>
          <c:y val="0.8732663368278708"/>
          <c:w val="0.60439828505797943"/>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7378927901165"/>
          <c:y val="0.12153190731807426"/>
          <c:w val="0.42567604273199444"/>
          <c:h val="0.54168507261770238"/>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7475785580233001"/>
                  <c:y val="0.545157412826790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828039859890453"/>
                  <c:y val="0.2673701960997633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06844008479569"/>
                  <c:y val="0.1597276496180404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39919858552856896"/>
                  <c:y val="0.3333446600724322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39308840309700921"/>
                  <c:y val="0.38195742299966196"/>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2771277020918103"/>
                  <c:y val="0.3472340209087835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4604331750386017"/>
                  <c:y val="0.4444595467632430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48270441209321857"/>
                  <c:y val="0.4583489075995943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49899823191071119"/>
                  <c:y val="0.4965446498995605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ser>
        <c:dLbls>
          <c:showLegendKey val="0"/>
          <c:showVal val="1"/>
          <c:showCatName val="0"/>
          <c:showSerName val="0"/>
          <c:showPercent val="0"/>
          <c:showBubbleSize val="0"/>
        </c:dLbls>
        <c:gapWidth val="150"/>
        <c:shape val="box"/>
        <c:axId val="226139344"/>
        <c:axId val="226139904"/>
        <c:axId val="143446528"/>
      </c:bar3DChart>
      <c:catAx>
        <c:axId val="2261393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6139904"/>
        <c:crosses val="autoZero"/>
        <c:auto val="1"/>
        <c:lblAlgn val="ctr"/>
        <c:lblOffset val="100"/>
        <c:tickLblSkip val="1"/>
        <c:tickMarkSkip val="1"/>
        <c:noMultiLvlLbl val="1"/>
      </c:catAx>
      <c:valAx>
        <c:axId val="226139904"/>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6139344"/>
        <c:crosses val="max"/>
        <c:crossBetween val="between"/>
      </c:valAx>
      <c:serAx>
        <c:axId val="1434465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226139904"/>
        <c:crosses val="autoZero"/>
        <c:tickLblSkip val="2"/>
        <c:tickMarkSkip val="1"/>
      </c:serAx>
      <c:spPr>
        <a:noFill/>
        <a:ln w="25400">
          <a:noFill/>
        </a:ln>
      </c:spPr>
    </c:plotArea>
    <c:legend>
      <c:legendPos val="r"/>
      <c:layout>
        <c:manualLayout>
          <c:xMode val="edge"/>
          <c:yMode val="edge"/>
          <c:x val="0.66804661251719699"/>
          <c:y val="0.15625530940895263"/>
          <c:w val="0.32383966887266563"/>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081810961152692"/>
          <c:y val="3.5948895536487759E-2"/>
        </c:manualLayout>
      </c:layout>
      <c:overlay val="0"/>
      <c:spPr>
        <a:noFill/>
        <a:ln w="25400">
          <a:noFill/>
        </a:ln>
      </c:spPr>
    </c:title>
    <c:autoTitleDeleted val="0"/>
    <c:plotArea>
      <c:layout>
        <c:manualLayout>
          <c:layoutTarget val="inner"/>
          <c:xMode val="edge"/>
          <c:yMode val="edge"/>
          <c:x val="5.5308201998361818E-2"/>
          <c:y val="0.15686790779558293"/>
          <c:w val="0.92379645499966501"/>
          <c:h val="0.64054395683196363"/>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ser>
        <c:ser>
          <c:idx val="0"/>
          <c:order val="1"/>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ser>
        <c:dLbls>
          <c:showLegendKey val="0"/>
          <c:showVal val="0"/>
          <c:showCatName val="0"/>
          <c:showSerName val="0"/>
          <c:showPercent val="0"/>
          <c:showBubbleSize val="0"/>
        </c:dLbls>
        <c:gapWidth val="150"/>
        <c:axId val="226143264"/>
        <c:axId val="226578144"/>
      </c:barChart>
      <c:catAx>
        <c:axId val="226143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a:ea typeface="Arial"/>
                <a:cs typeface="Arial"/>
              </a:defRPr>
            </a:pPr>
            <a:endParaRPr lang="en-US"/>
          </a:p>
        </c:txPr>
        <c:crossAx val="226578144"/>
        <c:crosses val="autoZero"/>
        <c:auto val="1"/>
        <c:lblAlgn val="ctr"/>
        <c:lblOffset val="100"/>
        <c:tickLblSkip val="1"/>
        <c:tickMarkSkip val="1"/>
        <c:noMultiLvlLbl val="0"/>
      </c:catAx>
      <c:valAx>
        <c:axId val="22657814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6143264"/>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3.4568971824922544E-2"/>
          <c:y val="0.14203337446502654"/>
          <c:w val="0.94323908836574366"/>
          <c:h val="0.7101668723251327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ser>
        <c:dLbls>
          <c:showLegendKey val="0"/>
          <c:showVal val="0"/>
          <c:showCatName val="0"/>
          <c:showSerName val="0"/>
          <c:showPercent val="0"/>
          <c:showBubbleSize val="0"/>
        </c:dLbls>
        <c:gapWidth val="150"/>
        <c:axId val="225617088"/>
        <c:axId val="225617648"/>
      </c:barChart>
      <c:catAx>
        <c:axId val="225617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5617648"/>
        <c:crosses val="autoZero"/>
        <c:auto val="1"/>
        <c:lblAlgn val="ctr"/>
        <c:lblOffset val="100"/>
        <c:tickLblSkip val="1"/>
        <c:tickMarkSkip val="1"/>
        <c:noMultiLvlLbl val="0"/>
      </c:catAx>
      <c:valAx>
        <c:axId val="22561764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5617088"/>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YTD DPR Completion Times</a:t>
            </a:r>
          </a:p>
        </c:rich>
      </c:tx>
      <c:layout>
        <c:manualLayout>
          <c:xMode val="edge"/>
          <c:yMode val="edge"/>
          <c:x val="0.33208606507960214"/>
          <c:y val="3.3223640074528778E-2"/>
        </c:manualLayout>
      </c:layout>
      <c:overlay val="0"/>
      <c:spPr>
        <a:noFill/>
        <a:ln w="25400">
          <a:noFill/>
        </a:ln>
      </c:spPr>
    </c:title>
    <c:autoTitleDeleted val="0"/>
    <c:plotArea>
      <c:layout>
        <c:manualLayout>
          <c:layoutTarget val="inner"/>
          <c:xMode val="edge"/>
          <c:yMode val="edge"/>
          <c:x val="0.14151394818733046"/>
          <c:y val="0.19269711243226692"/>
          <c:w val="0.71323029886414557"/>
          <c:h val="0.4750980530657615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ser>
        <c:dLbls>
          <c:showLegendKey val="0"/>
          <c:showVal val="0"/>
          <c:showCatName val="0"/>
          <c:showSerName val="0"/>
          <c:showPercent val="0"/>
          <c:showBubbleSize val="0"/>
        </c:dLbls>
        <c:marker val="1"/>
        <c:smooth val="0"/>
        <c:axId val="226581504"/>
        <c:axId val="226582064"/>
      </c:lineChart>
      <c:dateAx>
        <c:axId val="226581504"/>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2831554984698689"/>
              <c:y val="0.893715918004824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6582064"/>
        <c:crossesAt val="0"/>
        <c:auto val="0"/>
        <c:lblOffset val="100"/>
        <c:baseTimeUnit val="days"/>
        <c:majorUnit val="5"/>
        <c:majorTimeUnit val="days"/>
        <c:minorUnit val="1"/>
        <c:minorTimeUnit val="days"/>
      </c:dateAx>
      <c:valAx>
        <c:axId val="226582064"/>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9.4342632124886985E-3"/>
              <c:y val="0.20930893246953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22658150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6251155270744"/>
          <c:y val="2.2436627502253843E-2"/>
        </c:manualLayout>
      </c:layout>
      <c:overlay val="0"/>
      <c:spPr>
        <a:noFill/>
        <a:ln w="25400">
          <a:noFill/>
        </a:ln>
      </c:spPr>
    </c:title>
    <c:autoTitleDeleted val="0"/>
    <c:plotArea>
      <c:layout>
        <c:manualLayout>
          <c:layoutTarget val="inner"/>
          <c:xMode val="edge"/>
          <c:yMode val="edge"/>
          <c:x val="5.6256983257401756E-2"/>
          <c:y val="0.20192964752028458"/>
          <c:w val="0.7540115069424892"/>
          <c:h val="0.50001627005022853"/>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295422345050222"/>
                  <c:y val="0.64745696506503947"/>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5929208719102627"/>
                  <c:y val="0.57053138505731193"/>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8020261837111364"/>
                  <c:y val="0.5545052225557021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2562494804676863"/>
                  <c:y val="0.50642673505087243"/>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953164347686245"/>
                  <c:y val="0.5384790600540921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ser>
        <c:dLbls>
          <c:showLegendKey val="0"/>
          <c:showVal val="1"/>
          <c:showCatName val="0"/>
          <c:showSerName val="0"/>
          <c:showPercent val="0"/>
          <c:showBubbleSize val="0"/>
        </c:dLbls>
        <c:gapWidth val="110"/>
        <c:overlap val="50"/>
        <c:axId val="229902416"/>
        <c:axId val="229902976"/>
      </c:barChart>
      <c:catAx>
        <c:axId val="22990241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3338626626643"/>
              <c:y val="0.8622075425866119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9902976"/>
        <c:crosses val="autoZero"/>
        <c:auto val="0"/>
        <c:lblAlgn val="ctr"/>
        <c:lblOffset val="100"/>
        <c:tickLblSkip val="1"/>
        <c:tickMarkSkip val="1"/>
        <c:noMultiLvlLbl val="0"/>
      </c:catAx>
      <c:valAx>
        <c:axId val="229902976"/>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846997925766E-2"/>
              <c:y val="0.25321336752543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9902416"/>
        <c:crosses val="autoZero"/>
        <c:crossBetween val="between"/>
      </c:valAx>
      <c:spPr>
        <a:solidFill>
          <a:srgbClr val="FFFFFF"/>
        </a:solidFill>
        <a:ln w="12700">
          <a:solidFill>
            <a:srgbClr val="C0C0C0"/>
          </a:solidFill>
          <a:prstDash val="solid"/>
        </a:ln>
      </c:spPr>
    </c:plotArea>
    <c:legend>
      <c:legendPos val="r"/>
      <c:layout>
        <c:manualLayout>
          <c:xMode val="edge"/>
          <c:yMode val="edge"/>
          <c:x val="0.83461852772921408"/>
          <c:y val="9.295174250933734E-2"/>
          <c:w val="0.1553364463077511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9996422275736"/>
          <c:y val="3.8733587520591042E-2"/>
        </c:manualLayout>
      </c:layout>
      <c:overlay val="0"/>
      <c:spPr>
        <a:noFill/>
        <a:ln w="25400">
          <a:noFill/>
        </a:ln>
      </c:spPr>
    </c:title>
    <c:autoTitleDeleted val="0"/>
    <c:plotArea>
      <c:layout>
        <c:manualLayout>
          <c:layoutTarget val="inner"/>
          <c:xMode val="edge"/>
          <c:yMode val="edge"/>
          <c:x val="0.11045998926682722"/>
          <c:y val="0.17254052622808738"/>
          <c:w val="0.81887672043141246"/>
          <c:h val="0.4155057570390675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ser>
        <c:dLbls>
          <c:showLegendKey val="0"/>
          <c:showVal val="0"/>
          <c:showCatName val="0"/>
          <c:showSerName val="0"/>
          <c:showPercent val="0"/>
          <c:showBubbleSize val="0"/>
        </c:dLbls>
        <c:marker val="1"/>
        <c:smooth val="0"/>
        <c:axId val="230871664"/>
        <c:axId val="230872224"/>
      </c:lineChart>
      <c:catAx>
        <c:axId val="2308716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403671572104178"/>
              <c:y val="0.8204478083907011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30872224"/>
        <c:crosses val="autoZero"/>
        <c:auto val="0"/>
        <c:lblAlgn val="ctr"/>
        <c:lblOffset val="100"/>
        <c:tickLblSkip val="1"/>
        <c:tickMarkSkip val="1"/>
        <c:noMultiLvlLbl val="0"/>
      </c:catAx>
      <c:valAx>
        <c:axId val="230872224"/>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9992844551473E-3"/>
              <c:y val="0.186625467144665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08716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718583221192"/>
          <c:y val="0.89087251297359404"/>
          <c:w val="0.60973914075288627"/>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163602024147104"/>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2583780991131"/>
          <c:y val="0.11805956710898642"/>
          <c:w val="0.42160258777762127"/>
          <c:h val="0.7778042068356753"/>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90476571107634"/>
                  <c:y val="0.7118297428630063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1712607609111"/>
                  <c:y val="0.3680680621633106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883131075670318"/>
                  <c:y val="0.21528509296344583"/>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4549543731524"/>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8222291450183"/>
                  <c:y val="0.5000169901086484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8004498104675"/>
                  <c:y val="0.451404227181418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2077470728571"/>
                  <c:y val="0.5729361344994929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920517282038"/>
                  <c:y val="0.6076595365903713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5932650006953"/>
                  <c:y val="0.652799959308513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ser>
        <c:dLbls>
          <c:showLegendKey val="0"/>
          <c:showVal val="1"/>
          <c:showCatName val="0"/>
          <c:showSerName val="0"/>
          <c:showPercent val="0"/>
          <c:showBubbleSize val="0"/>
        </c:dLbls>
        <c:gapWidth val="150"/>
        <c:shape val="box"/>
        <c:axId val="230876144"/>
        <c:axId val="230876704"/>
        <c:axId val="227632624"/>
      </c:bar3DChart>
      <c:catAx>
        <c:axId val="230876144"/>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30547294679186E-2"/>
              <c:y val="0.6493276190994253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30876704"/>
        <c:crosses val="autoZero"/>
        <c:auto val="1"/>
        <c:lblAlgn val="ctr"/>
        <c:lblOffset val="100"/>
        <c:tickLblSkip val="1"/>
        <c:tickMarkSkip val="1"/>
        <c:noMultiLvlLbl val="1"/>
      </c:catAx>
      <c:valAx>
        <c:axId val="230876704"/>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30876144"/>
        <c:crosses val="max"/>
        <c:crossBetween val="between"/>
      </c:valAx>
      <c:serAx>
        <c:axId val="227632624"/>
        <c:scaling>
          <c:orientation val="minMax"/>
        </c:scaling>
        <c:delete val="1"/>
        <c:axPos val="b"/>
        <c:majorGridlines>
          <c:spPr>
            <a:ln w="3175">
              <a:solidFill>
                <a:srgbClr val="000000"/>
              </a:solidFill>
              <a:prstDash val="solid"/>
            </a:ln>
          </c:spPr>
        </c:majorGridlines>
        <c:majorTickMark val="out"/>
        <c:minorTickMark val="none"/>
        <c:tickLblPos val="nextTo"/>
        <c:crossAx val="230876704"/>
        <c:crosses val="autoZero"/>
      </c:serAx>
      <c:spPr>
        <a:noFill/>
        <a:ln w="25400">
          <a:noFill/>
        </a:ln>
      </c:spPr>
    </c:plotArea>
    <c:legend>
      <c:legendPos val="r"/>
      <c:layout>
        <c:manualLayout>
          <c:xMode val="edge"/>
          <c:yMode val="edge"/>
          <c:x val="0.67008333999438363"/>
          <c:y val="0.15278296919986478"/>
          <c:w val="0.31976621391829246"/>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1455235074566"/>
          <c:y val="3.7801963804300835E-2"/>
        </c:manualLayout>
      </c:layout>
      <c:overlay val="0"/>
      <c:spPr>
        <a:noFill/>
        <a:ln w="25400">
          <a:noFill/>
        </a:ln>
      </c:spPr>
    </c:title>
    <c:autoTitleDeleted val="0"/>
    <c:plotArea>
      <c:layout>
        <c:manualLayout>
          <c:layoutTarget val="inner"/>
          <c:xMode val="edge"/>
          <c:yMode val="edge"/>
          <c:x val="5.3112411979079205E-2"/>
          <c:y val="0.30241571043440668"/>
          <c:w val="0.92415596843597825"/>
          <c:h val="0.45018702348758272"/>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ser>
        <c:dLbls>
          <c:showLegendKey val="0"/>
          <c:showVal val="0"/>
          <c:showCatName val="0"/>
          <c:showSerName val="0"/>
          <c:showPercent val="0"/>
          <c:showBubbleSize val="0"/>
        </c:dLbls>
        <c:gapWidth val="150"/>
        <c:axId val="230878944"/>
        <c:axId val="230879504"/>
      </c:barChart>
      <c:catAx>
        <c:axId val="230878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879504"/>
        <c:crosses val="autoZero"/>
        <c:auto val="0"/>
        <c:lblAlgn val="ctr"/>
        <c:lblOffset val="100"/>
        <c:tickLblSkip val="1"/>
        <c:tickMarkSkip val="1"/>
        <c:noMultiLvlLbl val="0"/>
      </c:catAx>
      <c:valAx>
        <c:axId val="230879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08789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JUNE DPR Completion Times</a:t>
            </a:r>
          </a:p>
        </c:rich>
      </c:tx>
      <c:layout>
        <c:manualLayout>
          <c:xMode val="edge"/>
          <c:yMode val="edge"/>
          <c:x val="0.17176123368276433"/>
          <c:y val="2.7587188138721429E-2"/>
        </c:manualLayout>
      </c:layout>
      <c:overlay val="0"/>
      <c:spPr>
        <a:noFill/>
        <a:ln w="25400">
          <a:noFill/>
        </a:ln>
      </c:spPr>
    </c:title>
    <c:autoTitleDeleted val="0"/>
    <c:plotArea>
      <c:layout>
        <c:manualLayout>
          <c:layoutTarget val="inner"/>
          <c:xMode val="edge"/>
          <c:yMode val="edge"/>
          <c:x val="0.24809955976399292"/>
          <c:y val="0.26552668583519373"/>
          <c:w val="0.61261506680185951"/>
          <c:h val="0.40691102504614107"/>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ser>
        <c:dLbls>
          <c:showLegendKey val="0"/>
          <c:showVal val="0"/>
          <c:showCatName val="0"/>
          <c:showSerName val="0"/>
          <c:showPercent val="0"/>
          <c:showBubbleSize val="0"/>
        </c:dLbls>
        <c:marker val="1"/>
        <c:smooth val="0"/>
        <c:axId val="230882864"/>
        <c:axId val="230883424"/>
      </c:lineChart>
      <c:catAx>
        <c:axId val="230882864"/>
        <c:scaling>
          <c:orientation val="minMax"/>
        </c:scaling>
        <c:delete val="0"/>
        <c:axPos val="b"/>
        <c:title>
          <c:tx>
            <c:rich>
              <a:bodyPr/>
              <a:lstStyle/>
              <a:p>
                <a:pPr>
                  <a:defRPr sz="1650" b="1" i="0" u="none" strike="noStrike" baseline="0">
                    <a:solidFill>
                      <a:srgbClr val="000000"/>
                    </a:solidFill>
                    <a:latin typeface="Arial"/>
                    <a:ea typeface="Arial"/>
                    <a:cs typeface="Arial"/>
                  </a:defRPr>
                </a:pPr>
                <a:r>
                  <a:rPr lang="en-US"/>
                  <a:t>Report Dates</a:t>
                </a:r>
              </a:p>
            </c:rich>
          </c:tx>
          <c:layout>
            <c:manualLayout>
              <c:xMode val="edge"/>
              <c:yMode val="edge"/>
              <c:x val="0.41986079344675725"/>
              <c:y val="0.824167245644302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0883424"/>
        <c:crossesAt val="0"/>
        <c:auto val="1"/>
        <c:lblAlgn val="ctr"/>
        <c:lblOffset val="100"/>
        <c:tickLblSkip val="2"/>
        <c:tickMarkSkip val="1"/>
        <c:noMultiLvlLbl val="0"/>
      </c:catAx>
      <c:valAx>
        <c:axId val="230883424"/>
        <c:scaling>
          <c:orientation val="minMax"/>
          <c:max val="0.8"/>
          <c:min val="0.29166666666666702"/>
        </c:scaling>
        <c:delete val="0"/>
        <c:axPos val="l"/>
        <c:majorGridlines>
          <c:spPr>
            <a:ln w="3175">
              <a:solidFill>
                <a:srgbClr val="000000"/>
              </a:solidFill>
              <a:prstDash val="solid"/>
            </a:ln>
          </c:spPr>
        </c:majorGridlines>
        <c:title>
          <c:tx>
            <c:rich>
              <a:bodyPr/>
              <a:lstStyle/>
              <a:p>
                <a:pPr>
                  <a:defRPr sz="1650" b="1" i="0" u="none" strike="noStrike" baseline="0">
                    <a:solidFill>
                      <a:srgbClr val="000000"/>
                    </a:solidFill>
                    <a:latin typeface="Arial"/>
                    <a:ea typeface="Arial"/>
                    <a:cs typeface="Arial"/>
                  </a:defRPr>
                </a:pPr>
                <a:r>
                  <a:rPr lang="en-US"/>
                  <a:t>Completion Times</a:t>
                </a:r>
              </a:p>
            </c:rich>
          </c:tx>
          <c:layout>
            <c:manualLayout>
              <c:xMode val="edge"/>
              <c:yMode val="edge"/>
              <c:x val="2.6718414128430009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88286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49206819052085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70617005976633"/>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72343825717481"/>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010961943549554"/>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4567643202635649"/>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ser>
        <c:dLbls>
          <c:showLegendKey val="0"/>
          <c:showVal val="1"/>
          <c:showCatName val="0"/>
          <c:showSerName val="0"/>
          <c:showPercent val="0"/>
          <c:showBubbleSize val="0"/>
        </c:dLbls>
        <c:gapWidth val="110"/>
        <c:overlap val="50"/>
        <c:axId val="229881696"/>
        <c:axId val="229882256"/>
      </c:barChart>
      <c:catAx>
        <c:axId val="22988169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9882256"/>
        <c:crosses val="autoZero"/>
        <c:auto val="0"/>
        <c:lblAlgn val="ctr"/>
        <c:lblOffset val="100"/>
        <c:tickLblSkip val="1"/>
        <c:tickMarkSkip val="1"/>
        <c:noMultiLvlLbl val="0"/>
      </c:catAx>
      <c:valAx>
        <c:axId val="229882256"/>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9881696"/>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0.10309285764110368"/>
          <c:y val="0.17253521126760563"/>
          <c:w val="0.78203296296322933"/>
          <c:h val="0.4154929577464788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ser>
        <c:dLbls>
          <c:showLegendKey val="0"/>
          <c:showVal val="0"/>
          <c:showCatName val="0"/>
          <c:showSerName val="0"/>
          <c:showPercent val="0"/>
          <c:showBubbleSize val="0"/>
        </c:dLbls>
        <c:marker val="1"/>
        <c:smooth val="0"/>
        <c:axId val="229884496"/>
        <c:axId val="229885056"/>
      </c:lineChart>
      <c:catAx>
        <c:axId val="22988449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41384418567357334"/>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229885056"/>
        <c:crosses val="autoZero"/>
        <c:auto val="0"/>
        <c:lblAlgn val="ctr"/>
        <c:lblOffset val="100"/>
        <c:tickLblSkip val="1"/>
        <c:tickMarkSkip val="1"/>
        <c:noMultiLvlLbl val="0"/>
      </c:catAx>
      <c:valAx>
        <c:axId val="229885056"/>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186619718309859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98844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1634765362353129"/>
          <c:y val="0.87323943661971826"/>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881873727087578"/>
                  <c:y val="0.2291674437372631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ser>
        <c:dLbls>
          <c:showLegendKey val="0"/>
          <c:showVal val="1"/>
          <c:showCatName val="0"/>
          <c:showSerName val="0"/>
          <c:showPercent val="0"/>
          <c:showBubbleSize val="0"/>
        </c:dLbls>
        <c:gapWidth val="150"/>
        <c:shape val="box"/>
        <c:axId val="229888976"/>
        <c:axId val="229889536"/>
        <c:axId val="227631376"/>
      </c:bar3DChart>
      <c:catAx>
        <c:axId val="229888976"/>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9889536"/>
        <c:crosses val="autoZero"/>
        <c:auto val="1"/>
        <c:lblAlgn val="ctr"/>
        <c:lblOffset val="100"/>
        <c:tickLblSkip val="1"/>
        <c:tickMarkSkip val="1"/>
        <c:noMultiLvlLbl val="1"/>
      </c:catAx>
      <c:valAx>
        <c:axId val="229889536"/>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9888976"/>
        <c:crosses val="max"/>
        <c:crossBetween val="between"/>
      </c:valAx>
      <c:serAx>
        <c:axId val="227631376"/>
        <c:scaling>
          <c:orientation val="minMax"/>
        </c:scaling>
        <c:delete val="1"/>
        <c:axPos val="b"/>
        <c:majorGridlines>
          <c:spPr>
            <a:ln w="3175">
              <a:solidFill>
                <a:srgbClr val="000000"/>
              </a:solidFill>
              <a:prstDash val="solid"/>
            </a:ln>
          </c:spPr>
        </c:majorGridlines>
        <c:majorTickMark val="out"/>
        <c:minorTickMark val="none"/>
        <c:tickLblPos val="nextTo"/>
        <c:crossAx val="229889536"/>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6.8285280728376321E-2"/>
          <c:y val="0.21305913424591336"/>
          <c:w val="0.91047040971168436"/>
          <c:h val="0.36769882845665691"/>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dLbls>
          <c:showLegendKey val="0"/>
          <c:showVal val="0"/>
          <c:showCatName val="0"/>
          <c:showSerName val="0"/>
          <c:showPercent val="0"/>
          <c:showBubbleSize val="0"/>
        </c:dLbls>
        <c:gapWidth val="150"/>
        <c:axId val="229891776"/>
        <c:axId val="229892336"/>
      </c:barChart>
      <c:catAx>
        <c:axId val="229891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9892336"/>
        <c:crosses val="autoZero"/>
        <c:auto val="1"/>
        <c:lblAlgn val="ctr"/>
        <c:lblOffset val="100"/>
        <c:tickLblSkip val="1"/>
        <c:tickMarkSkip val="1"/>
        <c:noMultiLvlLbl val="0"/>
      </c:catAx>
      <c:valAx>
        <c:axId val="22989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98917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5622128"/>
        <c:axId val="225622688"/>
      </c:lineChart>
      <c:dateAx>
        <c:axId val="22562212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5622688"/>
        <c:crossesAt val="0"/>
        <c:auto val="1"/>
        <c:lblOffset val="100"/>
        <c:baseTimeUnit val="days"/>
        <c:majorUnit val="5"/>
        <c:majorTimeUnit val="days"/>
        <c:minorUnit val="1"/>
        <c:minorTimeUnit val="days"/>
      </c:dateAx>
      <c:valAx>
        <c:axId val="22562268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62212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7290076335877861"/>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29896816"/>
        <c:axId val="229897376"/>
      </c:lineChart>
      <c:dateAx>
        <c:axId val="229896816"/>
        <c:scaling>
          <c:orientation val="minMax"/>
          <c:max val="37064"/>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29897376"/>
        <c:crossesAt val="0"/>
        <c:auto val="0"/>
        <c:lblOffset val="100"/>
        <c:baseTimeUnit val="days"/>
        <c:majorUnit val="7"/>
        <c:majorTimeUnit val="days"/>
        <c:minorUnit val="1"/>
        <c:minorTimeUnit val="days"/>
      </c:dateAx>
      <c:valAx>
        <c:axId val="229897376"/>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89681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15388784527168"/>
          <c:y val="2.2435967660655989E-2"/>
        </c:manualLayout>
      </c:layout>
      <c:overlay val="0"/>
      <c:spPr>
        <a:noFill/>
        <a:ln w="25400">
          <a:noFill/>
        </a:ln>
      </c:spPr>
    </c:title>
    <c:autoTitleDeleted val="0"/>
    <c:plotArea>
      <c:layout>
        <c:manualLayout>
          <c:layoutTarget val="inner"/>
          <c:xMode val="edge"/>
          <c:yMode val="edge"/>
          <c:x val="5.6255293817640946E-2"/>
          <c:y val="0.20192370894590389"/>
          <c:w val="0.75482849465760016"/>
          <c:h val="0.5576940532791631"/>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445892571477299"/>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156215690117027"/>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8765799457683485"/>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132712574707916"/>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0361098834601665"/>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ser>
        <c:dLbls>
          <c:showLegendKey val="0"/>
          <c:showVal val="1"/>
          <c:showCatName val="0"/>
          <c:showSerName val="0"/>
          <c:showPercent val="0"/>
          <c:showBubbleSize val="0"/>
        </c:dLbls>
        <c:gapWidth val="110"/>
        <c:overlap val="50"/>
        <c:axId val="228826816"/>
        <c:axId val="228827376"/>
      </c:barChart>
      <c:catAx>
        <c:axId val="22882681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2115673963971"/>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8827376"/>
        <c:crosses val="autoZero"/>
        <c:auto val="0"/>
        <c:lblAlgn val="ctr"/>
        <c:lblOffset val="100"/>
        <c:tickLblSkip val="1"/>
        <c:tickMarkSkip val="1"/>
        <c:noMultiLvlLbl val="0"/>
      </c:catAx>
      <c:valAx>
        <c:axId val="228827376"/>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594468765143496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8826816"/>
        <c:crosses val="autoZero"/>
        <c:crossBetween val="between"/>
      </c:valAx>
      <c:spPr>
        <a:solidFill>
          <a:srgbClr val="FFFFFF"/>
        </a:solidFill>
        <a:ln w="12700">
          <a:solidFill>
            <a:srgbClr val="C0C0C0"/>
          </a:solidFill>
          <a:prstDash val="solid"/>
        </a:ln>
      </c:spPr>
    </c:plotArea>
    <c:legend>
      <c:legendPos val="r"/>
      <c:layout>
        <c:manualLayout>
          <c:xMode val="edge"/>
          <c:yMode val="edge"/>
          <c:x val="0.83459346350350894"/>
          <c:y val="8.6538732405387384E-2"/>
          <c:w val="0.15533178143676979"/>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818877728965599"/>
          <c:y val="3.873239436619718E-2"/>
        </c:manualLayout>
      </c:layout>
      <c:overlay val="0"/>
      <c:spPr>
        <a:noFill/>
        <a:ln w="25400">
          <a:noFill/>
        </a:ln>
      </c:spPr>
    </c:title>
    <c:autoTitleDeleted val="0"/>
    <c:plotArea>
      <c:layout>
        <c:manualLayout>
          <c:layoutTarget val="inner"/>
          <c:xMode val="edge"/>
          <c:yMode val="edge"/>
          <c:x val="7.2165000348772573E-2"/>
          <c:y val="0.17253521126760563"/>
          <c:w val="0.81296082025556038"/>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ser>
        <c:dLbls>
          <c:showLegendKey val="0"/>
          <c:showVal val="0"/>
          <c:showCatName val="0"/>
          <c:showSerName val="0"/>
          <c:showPercent val="0"/>
          <c:showBubbleSize val="0"/>
        </c:dLbls>
        <c:marker val="1"/>
        <c:smooth val="0"/>
        <c:axId val="228829616"/>
        <c:axId val="228830176"/>
      </c:lineChart>
      <c:catAx>
        <c:axId val="2288296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91166345819871"/>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8830176"/>
        <c:crosses val="autoZero"/>
        <c:auto val="0"/>
        <c:lblAlgn val="ctr"/>
        <c:lblOffset val="100"/>
        <c:tickLblSkip val="1"/>
        <c:tickMarkSkip val="1"/>
        <c:noMultiLvlLbl val="0"/>
      </c:catAx>
      <c:valAx>
        <c:axId val="228830176"/>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3637755457931194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882961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1001531003724314E-2"/>
          <c:y val="0.90492957746478875"/>
          <c:w val="0.6097206151916703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34739294227750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583348874745262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ser>
        <c:dLbls>
          <c:showLegendKey val="0"/>
          <c:showVal val="1"/>
          <c:showCatName val="0"/>
          <c:showSerName val="0"/>
          <c:showPercent val="0"/>
          <c:showBubbleSize val="0"/>
        </c:dLbls>
        <c:gapWidth val="150"/>
        <c:shape val="box"/>
        <c:axId val="228834096"/>
        <c:axId val="228834656"/>
        <c:axId val="227630752"/>
      </c:bar3DChart>
      <c:catAx>
        <c:axId val="228834096"/>
        <c:scaling>
          <c:orientation val="minMax"/>
        </c:scaling>
        <c:delete val="0"/>
        <c:axPos val="b"/>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28834656"/>
        <c:crosses val="autoZero"/>
        <c:auto val="1"/>
        <c:lblAlgn val="ctr"/>
        <c:lblOffset val="100"/>
        <c:tickLblSkip val="1"/>
        <c:tickMarkSkip val="1"/>
        <c:noMultiLvlLbl val="1"/>
      </c:catAx>
      <c:valAx>
        <c:axId val="228834656"/>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28834096"/>
        <c:crosses val="max"/>
        <c:crossBetween val="between"/>
      </c:valAx>
      <c:serAx>
        <c:axId val="227630752"/>
        <c:scaling>
          <c:orientation val="minMax"/>
        </c:scaling>
        <c:delete val="1"/>
        <c:axPos val="b"/>
        <c:majorGridlines>
          <c:spPr>
            <a:ln w="3175">
              <a:solidFill>
                <a:srgbClr val="000000"/>
              </a:solidFill>
              <a:prstDash val="solid"/>
            </a:ln>
          </c:spPr>
        </c:majorGridlines>
        <c:majorTickMark val="out"/>
        <c:minorTickMark val="none"/>
        <c:tickLblPos val="nextTo"/>
        <c:crossAx val="228834656"/>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010622154779967"/>
          <c:y val="3.7800814140403982E-2"/>
        </c:manualLayout>
      </c:layout>
      <c:overlay val="0"/>
      <c:spPr>
        <a:noFill/>
        <a:ln w="25400">
          <a:noFill/>
        </a:ln>
      </c:spPr>
    </c:title>
    <c:autoTitleDeleted val="0"/>
    <c:plotArea>
      <c:layout>
        <c:manualLayout>
          <c:layoutTarget val="inner"/>
          <c:xMode val="edge"/>
          <c:yMode val="edge"/>
          <c:x val="5.3110773899848251E-2"/>
          <c:y val="0.21305913424591336"/>
          <c:w val="0.8300455235204855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ser>
        <c:dLbls>
          <c:showLegendKey val="0"/>
          <c:showVal val="0"/>
          <c:showCatName val="0"/>
          <c:showSerName val="0"/>
          <c:showPercent val="0"/>
          <c:showBubbleSize val="0"/>
        </c:dLbls>
        <c:gapWidth val="150"/>
        <c:axId val="229871616"/>
        <c:axId val="229872176"/>
      </c:barChart>
      <c:catAx>
        <c:axId val="22987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9872176"/>
        <c:crosses val="autoZero"/>
        <c:auto val="1"/>
        <c:lblAlgn val="ctr"/>
        <c:lblOffset val="100"/>
        <c:tickLblSkip val="1"/>
        <c:tickMarkSkip val="1"/>
        <c:noMultiLvlLbl val="0"/>
      </c:catAx>
      <c:valAx>
        <c:axId val="22987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298716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2919847328244275"/>
          <c:y val="3.4482758620689655E-2"/>
        </c:manualLayout>
      </c:layout>
      <c:overlay val="0"/>
      <c:spPr>
        <a:noFill/>
        <a:ln w="25400">
          <a:noFill/>
        </a:ln>
      </c:spPr>
    </c:title>
    <c:autoTitleDeleted val="0"/>
    <c:plotArea>
      <c:layout>
        <c:manualLayout>
          <c:layoutTarget val="inner"/>
          <c:xMode val="edge"/>
          <c:yMode val="edge"/>
          <c:x val="0.1717557251908397"/>
          <c:y val="0.22413793103448276"/>
          <c:w val="0.66412213740458015"/>
          <c:h val="0.5034482758620689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29876656"/>
        <c:axId val="229877216"/>
      </c:lineChart>
      <c:dateAx>
        <c:axId val="229876656"/>
        <c:scaling>
          <c:orientation val="minMax"/>
          <c:max val="37057"/>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1221374045801529"/>
              <c:y val="0.8689655172413792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29877216"/>
        <c:crossesAt val="0"/>
        <c:auto val="0"/>
        <c:lblOffset val="100"/>
        <c:baseTimeUnit val="days"/>
        <c:majorUnit val="7"/>
        <c:majorTimeUnit val="days"/>
        <c:minorUnit val="1"/>
        <c:minorTimeUnit val="days"/>
      </c:dateAx>
      <c:valAx>
        <c:axId val="229877216"/>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3.0534351145038167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87665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67802696416977"/>
          <c:y val="2.2435967660655989E-2"/>
        </c:manualLayout>
      </c:layout>
      <c:overlay val="0"/>
      <c:spPr>
        <a:noFill/>
        <a:ln w="25400">
          <a:noFill/>
        </a:ln>
      </c:spPr>
    </c:title>
    <c:autoTitleDeleted val="0"/>
    <c:plotArea>
      <c:layout>
        <c:manualLayout>
          <c:layoutTarget val="inner"/>
          <c:xMode val="edge"/>
          <c:yMode val="edge"/>
          <c:x val="5.6492434725292279E-2"/>
          <c:y val="0.20192370894590389"/>
          <c:w val="0.75379457678225814"/>
          <c:h val="0.5576940532791631"/>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514360867988208"/>
                  <c:y val="0.7051304121920454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9612166195196481"/>
                  <c:y val="0.61859167978665797"/>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5885360078750819"/>
                  <c:y val="0.59936085036323861"/>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549775271138247"/>
                  <c:y val="0.55128377680468998"/>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77571701413834171"/>
                  <c:y val="0.58013002093981914"/>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ser>
        <c:dLbls>
          <c:showLegendKey val="0"/>
          <c:showVal val="1"/>
          <c:showCatName val="0"/>
          <c:showSerName val="0"/>
          <c:showPercent val="0"/>
          <c:showBubbleSize val="0"/>
        </c:dLbls>
        <c:gapWidth val="110"/>
        <c:overlap val="50"/>
        <c:axId val="230888464"/>
        <c:axId val="230889024"/>
      </c:barChart>
      <c:catAx>
        <c:axId val="230888464"/>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72514324226294"/>
              <c:y val="0.862182185816637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30889024"/>
        <c:crosses val="autoZero"/>
        <c:auto val="0"/>
        <c:lblAlgn val="ctr"/>
        <c:lblOffset val="100"/>
        <c:tickLblSkip val="1"/>
        <c:tickMarkSkip val="1"/>
        <c:noMultiLvlLbl val="0"/>
      </c:catAx>
      <c:valAx>
        <c:axId val="230889024"/>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47560013125137E-2"/>
              <c:y val="0.282052164876818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30888464"/>
        <c:crosses val="autoZero"/>
        <c:crossBetween val="between"/>
      </c:valAx>
      <c:spPr>
        <a:solidFill>
          <a:srgbClr val="FFFFFF"/>
        </a:solidFill>
        <a:ln w="12700">
          <a:solidFill>
            <a:srgbClr val="C0C0C0"/>
          </a:solidFill>
          <a:prstDash val="solid"/>
        </a:ln>
      </c:spPr>
    </c:plotArea>
    <c:legend>
      <c:legendPos val="r"/>
      <c:layout>
        <c:manualLayout>
          <c:xMode val="edge"/>
          <c:yMode val="edge"/>
          <c:x val="0.8338957901987174"/>
          <c:y val="8.6538732405387384E-2"/>
          <c:w val="0.15598657349521003"/>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6884272997032"/>
          <c:y val="3.873239436619718E-2"/>
        </c:manualLayout>
      </c:layout>
      <c:overlay val="0"/>
      <c:spPr>
        <a:noFill/>
        <a:ln w="25400">
          <a:noFill/>
        </a:ln>
      </c:spPr>
    </c:title>
    <c:autoTitleDeleted val="0"/>
    <c:plotArea>
      <c:layout>
        <c:manualLayout>
          <c:layoutTarget val="inner"/>
          <c:xMode val="edge"/>
          <c:yMode val="edge"/>
          <c:x val="7.2700296735905043E-2"/>
          <c:y val="0.17253521126760563"/>
          <c:w val="0.81157270029673589"/>
          <c:h val="0.5387323943661971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ser>
        <c:dLbls>
          <c:showLegendKey val="0"/>
          <c:showVal val="0"/>
          <c:showCatName val="0"/>
          <c:showSerName val="0"/>
          <c:showPercent val="0"/>
          <c:showBubbleSize val="0"/>
        </c:dLbls>
        <c:marker val="1"/>
        <c:smooth val="0"/>
        <c:axId val="230891264"/>
        <c:axId val="230891824"/>
      </c:lineChart>
      <c:catAx>
        <c:axId val="2308912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2611275964393"/>
              <c:y val="0.82042253521126762"/>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0891824"/>
        <c:crosses val="autoZero"/>
        <c:auto val="0"/>
        <c:lblAlgn val="ctr"/>
        <c:lblOffset val="100"/>
        <c:tickLblSkip val="1"/>
        <c:tickMarkSkip val="1"/>
        <c:noMultiLvlLbl val="0"/>
      </c:catAx>
      <c:valAx>
        <c:axId val="230891824"/>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3976261127599E-3"/>
              <c:y val="0.24647887323943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08912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8635014836795247E-2"/>
          <c:y val="0.90492957746478875"/>
          <c:w val="0.6142433234421365"/>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5193482688391"/>
          <c:y val="0.12152818986066984"/>
          <c:w val="0.42158859470468429"/>
          <c:h val="0.77430818111226773"/>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89205702647655"/>
                  <c:y val="0.7152802031799424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5030549898167007"/>
                  <c:y val="0.3750012715700669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37678207739307534"/>
                  <c:y val="0.23611191172930138"/>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733197556008149"/>
                  <c:y val="0.4548626534785070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0936863543788188"/>
                  <c:y val="0.50694616341879417"/>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44806517311608962"/>
                  <c:y val="0.4652793554665645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47250509164969451"/>
                  <c:y val="0.57639084333917689"/>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1527494908350302"/>
                  <c:y val="0.614585417295387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53564154786150708"/>
                  <c:y val="0.6597244592436362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ser>
        <c:dLbls>
          <c:showLegendKey val="0"/>
          <c:showVal val="1"/>
          <c:showCatName val="0"/>
          <c:showSerName val="0"/>
          <c:showPercent val="0"/>
          <c:showBubbleSize val="0"/>
        </c:dLbls>
        <c:gapWidth val="150"/>
        <c:shape val="box"/>
        <c:axId val="230895744"/>
        <c:axId val="230896304"/>
        <c:axId val="227633248"/>
      </c:bar3DChart>
      <c:catAx>
        <c:axId val="23089574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329938900203666E-2"/>
              <c:y val="0.6527799912515979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30896304"/>
        <c:crosses val="autoZero"/>
        <c:auto val="1"/>
        <c:lblAlgn val="ctr"/>
        <c:lblOffset val="100"/>
        <c:tickLblSkip val="1"/>
        <c:tickMarkSkip val="1"/>
        <c:noMultiLvlLbl val="1"/>
      </c:catAx>
      <c:valAx>
        <c:axId val="230896304"/>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30895744"/>
        <c:crosses val="max"/>
        <c:crossBetween val="between"/>
      </c:valAx>
      <c:serAx>
        <c:axId val="227633248"/>
        <c:scaling>
          <c:orientation val="minMax"/>
        </c:scaling>
        <c:delete val="1"/>
        <c:axPos val="b"/>
        <c:majorGridlines>
          <c:spPr>
            <a:ln w="3175">
              <a:solidFill>
                <a:srgbClr val="000000"/>
              </a:solidFill>
              <a:prstDash val="solid"/>
            </a:ln>
          </c:spPr>
        </c:majorGridlines>
        <c:majorTickMark val="out"/>
        <c:minorTickMark val="none"/>
        <c:tickLblPos val="nextTo"/>
        <c:crossAx val="230896304"/>
        <c:crosses val="autoZero"/>
      </c:serAx>
      <c:spPr>
        <a:noFill/>
        <a:ln w="25400">
          <a:noFill/>
        </a:ln>
      </c:spPr>
    </c:plotArea>
    <c:legend>
      <c:legendPos val="r"/>
      <c:layout>
        <c:manualLayout>
          <c:xMode val="edge"/>
          <c:yMode val="edge"/>
          <c:x val="0.67006109979633399"/>
          <c:y val="0.15277829582484206"/>
          <c:w val="0.31975560081466398"/>
          <c:h val="0.388890207554143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324027581087517"/>
          <c:y val="3.7800814140403982E-2"/>
        </c:manualLayout>
      </c:layout>
      <c:overlay val="0"/>
      <c:spPr>
        <a:noFill/>
        <a:ln w="25400">
          <a:noFill/>
        </a:ln>
      </c:spPr>
    </c:title>
    <c:autoTitleDeleted val="0"/>
    <c:plotArea>
      <c:layout>
        <c:manualLayout>
          <c:layoutTarget val="inner"/>
          <c:xMode val="edge"/>
          <c:yMode val="edge"/>
          <c:x val="7.0093564565025926E-2"/>
          <c:y val="0.21305913424591336"/>
          <c:w val="0.90810106980911365"/>
          <c:h val="0.36769882845665691"/>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ser>
        <c:dLbls>
          <c:showLegendKey val="0"/>
          <c:showVal val="0"/>
          <c:showCatName val="0"/>
          <c:showSerName val="0"/>
          <c:showPercent val="0"/>
          <c:showBubbleSize val="0"/>
        </c:dLbls>
        <c:gapWidth val="150"/>
        <c:axId val="230898544"/>
        <c:axId val="230899104"/>
      </c:barChart>
      <c:catAx>
        <c:axId val="230898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30899104"/>
        <c:crosses val="autoZero"/>
        <c:auto val="1"/>
        <c:lblAlgn val="ctr"/>
        <c:lblOffset val="100"/>
        <c:tickLblSkip val="1"/>
        <c:tickMarkSkip val="1"/>
        <c:noMultiLvlLbl val="0"/>
      </c:catAx>
      <c:valAx>
        <c:axId val="230899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308985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32779838236235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[2]Chart!$AB$34:$AB$80</c:f>
              <c:numCache>
                <c:formatCode>General</c:formatCode>
                <c:ptCount val="47"/>
                <c:pt idx="0">
                  <c:v>0.31805555555555554</c:v>
                </c:pt>
                <c:pt idx="1">
                  <c:v>0.31805555555555554</c:v>
                </c:pt>
                <c:pt idx="2">
                  <c:v>0.32916666666666666</c:v>
                </c:pt>
                <c:pt idx="3">
                  <c:v>0.31736111111111115</c:v>
                </c:pt>
                <c:pt idx="4">
                  <c:v>0.31666666666666665</c:v>
                </c:pt>
                <c:pt idx="5">
                  <c:v>0.31527777777777777</c:v>
                </c:pt>
                <c:pt idx="6">
                  <c:v>0.31874999999999998</c:v>
                </c:pt>
                <c:pt idx="7">
                  <c:v>0.32083333333333336</c:v>
                </c:pt>
                <c:pt idx="8">
                  <c:v>0.31944444444444448</c:v>
                </c:pt>
                <c:pt idx="9">
                  <c:v>0.31805555555555554</c:v>
                </c:pt>
                <c:pt idx="10">
                  <c:v>0.31319444444444444</c:v>
                </c:pt>
                <c:pt idx="11">
                  <c:v>0.31944444444444448</c:v>
                </c:pt>
                <c:pt idx="12">
                  <c:v>0.32083333333333336</c:v>
                </c:pt>
                <c:pt idx="13">
                  <c:v>0</c:v>
                </c:pt>
                <c:pt idx="14">
                  <c:v>0.31944444444444448</c:v>
                </c:pt>
                <c:pt idx="15">
                  <c:v>0.31944444444444398</c:v>
                </c:pt>
                <c:pt idx="16">
                  <c:v>0.31944444444444398</c:v>
                </c:pt>
                <c:pt idx="17">
                  <c:v>0.31736111111111115</c:v>
                </c:pt>
                <c:pt idx="18">
                  <c:v>0.31944444444444448</c:v>
                </c:pt>
                <c:pt idx="19">
                  <c:v>0.31944444444444448</c:v>
                </c:pt>
                <c:pt idx="20">
                  <c:v>0.31944444444444398</c:v>
                </c:pt>
                <c:pt idx="21">
                  <c:v>0.31736111111111115</c:v>
                </c:pt>
                <c:pt idx="22">
                  <c:v>0.32013888888888892</c:v>
                </c:pt>
                <c:pt idx="23">
                  <c:v>0.3215277777777778</c:v>
                </c:pt>
                <c:pt idx="24">
                  <c:v>0.31805555555555554</c:v>
                </c:pt>
                <c:pt idx="25">
                  <c:v>0.32013888888888892</c:v>
                </c:pt>
                <c:pt idx="26">
                  <c:v>0.32013888888888892</c:v>
                </c:pt>
                <c:pt idx="27">
                  <c:v>0.31527777777777777</c:v>
                </c:pt>
                <c:pt idx="28">
                  <c:v>0.31388888888888888</c:v>
                </c:pt>
                <c:pt idx="29">
                  <c:v>0.31805555555555554</c:v>
                </c:pt>
                <c:pt idx="30">
                  <c:v>0.31666666666666665</c:v>
                </c:pt>
                <c:pt idx="31">
                  <c:v>0.31944444444444448</c:v>
                </c:pt>
                <c:pt idx="32">
                  <c:v>0.31944444444444448</c:v>
                </c:pt>
                <c:pt idx="33">
                  <c:v>0.31944444444444448</c:v>
                </c:pt>
                <c:pt idx="34">
                  <c:v>0.32291666666666669</c:v>
                </c:pt>
                <c:pt idx="35">
                  <c:v>0</c:v>
                </c:pt>
                <c:pt idx="36">
                  <c:v>0.31874999999999998</c:v>
                </c:pt>
                <c:pt idx="37">
                  <c:v>0.31805555555555554</c:v>
                </c:pt>
                <c:pt idx="38">
                  <c:v>0.32013888888888892</c:v>
                </c:pt>
                <c:pt idx="39">
                  <c:v>0.31944444444444448</c:v>
                </c:pt>
                <c:pt idx="40">
                  <c:v>0.31388888888888888</c:v>
                </c:pt>
                <c:pt idx="41">
                  <c:v>0.31527777777777777</c:v>
                </c:pt>
                <c:pt idx="42">
                  <c:v>0.31944444444444448</c:v>
                </c:pt>
                <c:pt idx="43">
                  <c:v>0.31944444444444448</c:v>
                </c:pt>
                <c:pt idx="44">
                  <c:v>0.32916666666666666</c:v>
                </c:pt>
                <c:pt idx="45">
                  <c:v>0.31736111111111115</c:v>
                </c:pt>
                <c:pt idx="46">
                  <c:v>0.30902777777777779</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[2]Chart!$AC$34:$AC$80</c:f>
              <c:numCache>
                <c:formatCode>General</c:formatCode>
                <c:ptCount val="47"/>
                <c:pt idx="0">
                  <c:v>0.66527777777777775</c:v>
                </c:pt>
                <c:pt idx="1">
                  <c:v>0.59861111111111109</c:v>
                </c:pt>
                <c:pt idx="2">
                  <c:v>0.72499999999999998</c:v>
                </c:pt>
                <c:pt idx="3">
                  <c:v>0.625</c:v>
                </c:pt>
                <c:pt idx="4">
                  <c:v>0.66666666666666663</c:v>
                </c:pt>
                <c:pt idx="5">
                  <c:v>0.6479166666666667</c:v>
                </c:pt>
                <c:pt idx="6">
                  <c:v>0.66041666666666665</c:v>
                </c:pt>
                <c:pt idx="7">
                  <c:v>0.68541666666666667</c:v>
                </c:pt>
                <c:pt idx="8">
                  <c:v>0.67291666666666661</c:v>
                </c:pt>
                <c:pt idx="9">
                  <c:v>0.60833333333333328</c:v>
                </c:pt>
                <c:pt idx="10">
                  <c:v>0.68263888888888891</c:v>
                </c:pt>
                <c:pt idx="11">
                  <c:v>0.83333333333333337</c:v>
                </c:pt>
                <c:pt idx="13">
                  <c:v>0</c:v>
                </c:pt>
                <c:pt idx="14">
                  <c:v>0.875</c:v>
                </c:pt>
                <c:pt idx="15">
                  <c:v>0.875</c:v>
                </c:pt>
                <c:pt idx="16">
                  <c:v>0.875</c:v>
                </c:pt>
                <c:pt idx="17">
                  <c:v>0.78125</c:v>
                </c:pt>
                <c:pt idx="18">
                  <c:v>0.72361111111111109</c:v>
                </c:pt>
                <c:pt idx="19">
                  <c:v>0.66111111111111109</c:v>
                </c:pt>
                <c:pt idx="20">
                  <c:v>0.69374999999999998</c:v>
                </c:pt>
                <c:pt idx="21">
                  <c:v>0.63541666666666663</c:v>
                </c:pt>
                <c:pt idx="22">
                  <c:v>0.69513888888888886</c:v>
                </c:pt>
                <c:pt idx="23">
                  <c:v>0.6958333333333333</c:v>
                </c:pt>
                <c:pt idx="24">
                  <c:v>0.68888888888888899</c:v>
                </c:pt>
                <c:pt idx="25">
                  <c:v>0.60833333333333328</c:v>
                </c:pt>
                <c:pt idx="26">
                  <c:v>0.68888888888888899</c:v>
                </c:pt>
                <c:pt idx="27">
                  <c:v>0.70972222222222225</c:v>
                </c:pt>
                <c:pt idx="28">
                  <c:v>0.68888888888888899</c:v>
                </c:pt>
                <c:pt idx="29">
                  <c:v>0.65416666666666667</c:v>
                </c:pt>
                <c:pt idx="30">
                  <c:v>0.72013888888888899</c:v>
                </c:pt>
                <c:pt idx="31">
                  <c:v>0.85486111111111107</c:v>
                </c:pt>
                <c:pt idx="33">
                  <c:v>0.77986111111111101</c:v>
                </c:pt>
                <c:pt idx="35">
                  <c:v>0</c:v>
                </c:pt>
                <c:pt idx="37">
                  <c:v>0.71736111111111101</c:v>
                </c:pt>
                <c:pt idx="38">
                  <c:v>0.78819444444444453</c:v>
                </c:pt>
                <c:pt idx="39">
                  <c:v>0.78125</c:v>
                </c:pt>
                <c:pt idx="40">
                  <c:v>0.6</c:v>
                </c:pt>
                <c:pt idx="41">
                  <c:v>0.70833333333333337</c:v>
                </c:pt>
                <c:pt idx="42">
                  <c:v>0.6645833333333333</c:v>
                </c:pt>
                <c:pt idx="43">
                  <c:v>0.71666666666666667</c:v>
                </c:pt>
                <c:pt idx="44">
                  <c:v>0.67847222222222225</c:v>
                </c:pt>
                <c:pt idx="45">
                  <c:v>0.72291666666666676</c:v>
                </c:pt>
                <c:pt idx="46">
                  <c:v>0.7270833333333333</c:v>
                </c:pt>
              </c:numCache>
            </c:numRef>
          </c:val>
          <c:smooth val="0"/>
        </c:ser>
        <c:dLbls>
          <c:showLegendKey val="0"/>
          <c:showVal val="0"/>
          <c:showCatName val="0"/>
          <c:showSerName val="0"/>
          <c:showPercent val="0"/>
          <c:showBubbleSize val="0"/>
        </c:dLbls>
        <c:marker val="1"/>
        <c:smooth val="0"/>
        <c:axId val="225626048"/>
        <c:axId val="225626608"/>
      </c:lineChart>
      <c:catAx>
        <c:axId val="22562604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6327428334534362"/>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5626608"/>
        <c:crossesAt val="0"/>
        <c:auto val="1"/>
        <c:lblAlgn val="ctr"/>
        <c:lblOffset val="100"/>
        <c:tickLblSkip val="5"/>
        <c:tickMarkSkip val="1"/>
        <c:noMultiLvlLbl val="0"/>
      </c:catAx>
      <c:valAx>
        <c:axId val="225626608"/>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060718449249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562604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6431306507606"/>
          <c:y val="3.4482758620689655E-2"/>
        </c:manualLayout>
      </c:layout>
      <c:overlay val="0"/>
      <c:spPr>
        <a:noFill/>
        <a:ln w="25400">
          <a:noFill/>
        </a:ln>
      </c:spPr>
    </c:title>
    <c:autoTitleDeleted val="0"/>
    <c:plotArea>
      <c:layout>
        <c:manualLayout>
          <c:layoutTarget val="inner"/>
          <c:xMode val="edge"/>
          <c:yMode val="edge"/>
          <c:x val="0.1714839450188633"/>
          <c:y val="0.22413793103448276"/>
          <c:w val="0.66474113518548139"/>
          <c:h val="0.5103448275862069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ser>
        <c:dLbls>
          <c:showLegendKey val="0"/>
          <c:showVal val="0"/>
          <c:showCatName val="0"/>
          <c:showSerName val="0"/>
          <c:showPercent val="0"/>
          <c:showBubbleSize val="0"/>
        </c:dLbls>
        <c:marker val="1"/>
        <c:smooth val="0"/>
        <c:axId val="230902464"/>
        <c:axId val="231616016"/>
      </c:lineChart>
      <c:dateAx>
        <c:axId val="230902464"/>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3218240490727"/>
              <c:y val="0.841379310344827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31616016"/>
        <c:crossesAt val="0"/>
        <c:auto val="0"/>
        <c:lblOffset val="100"/>
        <c:baseTimeUnit val="days"/>
        <c:majorUnit val="7"/>
        <c:majorTimeUnit val="days"/>
        <c:minorUnit val="7"/>
        <c:minorTimeUnit val="days"/>
      </c:dateAx>
      <c:valAx>
        <c:axId val="231616016"/>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1788486325276E-2"/>
              <c:y val="0.258620689655172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90246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3608768971332208E-2"/>
          <c:y val="9.1575255364396188E-2"/>
          <c:w val="0.56661045531197307"/>
          <c:h val="0.75641160930991247"/>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ser>
        <c:dLbls>
          <c:showLegendKey val="0"/>
          <c:showVal val="0"/>
          <c:showCatName val="0"/>
          <c:showSerName val="0"/>
          <c:showPercent val="0"/>
          <c:showBubbleSize val="0"/>
        </c:dLbls>
        <c:gapWidth val="80"/>
        <c:gapDepth val="90"/>
        <c:shape val="box"/>
        <c:axId val="231624976"/>
        <c:axId val="231625536"/>
        <c:axId val="227633872"/>
      </c:bar3DChart>
      <c:dateAx>
        <c:axId val="231624976"/>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31625536"/>
        <c:crosses val="autoZero"/>
        <c:auto val="1"/>
        <c:lblOffset val="100"/>
        <c:baseTimeUnit val="days"/>
        <c:majorUnit val="7"/>
        <c:majorTimeUnit val="days"/>
        <c:minorUnit val="1"/>
        <c:minorTimeUnit val="days"/>
      </c:dateAx>
      <c:valAx>
        <c:axId val="231625536"/>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624976"/>
        <c:crosses val="min"/>
        <c:crossBetween val="between"/>
      </c:valAx>
      <c:serAx>
        <c:axId val="227633872"/>
        <c:scaling>
          <c:orientation val="minMax"/>
        </c:scaling>
        <c:delete val="1"/>
        <c:axPos val="b"/>
        <c:majorTickMark val="out"/>
        <c:minorTickMark val="none"/>
        <c:tickLblPos val="nextTo"/>
        <c:crossAx val="231625536"/>
        <c:crosses val="autoZero"/>
      </c:serAx>
      <c:spPr>
        <a:noFill/>
        <a:ln w="25400">
          <a:noFill/>
        </a:ln>
      </c:spPr>
    </c:plotArea>
    <c:legend>
      <c:legendPos val="r"/>
      <c:layout>
        <c:manualLayout>
          <c:xMode val="edge"/>
          <c:yMode val="edge"/>
          <c:x val="0.67116357504215851"/>
          <c:y val="0.29120931205877987"/>
          <c:w val="0.31534569983136596"/>
          <c:h val="0.419414669568934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6603773584905662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40434332988624611"/>
          <c:y val="2.0338983050847456E-2"/>
        </c:manualLayout>
      </c:layout>
      <c:overlay val="0"/>
      <c:spPr>
        <a:noFill/>
        <a:ln w="25400">
          <a:noFill/>
        </a:ln>
      </c:spPr>
    </c:title>
    <c:autoTitleDeleted val="0"/>
    <c:plotArea>
      <c:layout>
        <c:manualLayout>
          <c:layoutTarget val="inner"/>
          <c:xMode val="edge"/>
          <c:yMode val="edge"/>
          <c:x val="0.27714581178903824"/>
          <c:y val="0.15593220338983052"/>
          <c:w val="0.44467425025853152"/>
          <c:h val="0.7288135593220338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63391933815927"/>
          <c:y val="0.95423728813559328"/>
          <c:w val="0.47569803516028958"/>
          <c:h val="4.0677966101694912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42192347466391"/>
          <c:y val="2.5423728813559324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2057911065149949E-2"/>
          <c:y val="0.88135593220338981"/>
          <c:w val="0.93071354705274045"/>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195449844881075"/>
          <c:y val="2.0338983050847456E-2"/>
        </c:manualLayout>
      </c:layout>
      <c:overlay val="0"/>
      <c:spPr>
        <a:noFill/>
        <a:ln w="25400">
          <a:noFill/>
        </a:ln>
      </c:spPr>
    </c:title>
    <c:autoTitleDeleted val="0"/>
    <c:plotArea>
      <c:layout>
        <c:manualLayout>
          <c:layoutTarget val="inner"/>
          <c:xMode val="edge"/>
          <c:yMode val="edge"/>
          <c:x val="0.28955532574974147"/>
          <c:y val="0.19830508474576272"/>
          <c:w val="0.4188210961737332"/>
          <c:h val="0.6864406779661016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580144777662876"/>
          <c:y val="0.9525423728813559"/>
          <c:w val="0.65046535677352635"/>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7228541882109618E-2"/>
          <c:y val="0.88135593220338981"/>
          <c:w val="0.92554291623578078"/>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7817993795243018"/>
          <c:y val="0.15932203389830507"/>
          <c:w val="0.44157187176835572"/>
          <c:h val="0.7237288135593220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39193381592554"/>
          <c:y val="0.9525423728813559"/>
          <c:w val="0.70320579110651504"/>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23173312"/>
        <c:axId val="223173872"/>
      </c:barChart>
      <c:catAx>
        <c:axId val="223173312"/>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3173872"/>
        <c:crosses val="autoZero"/>
        <c:auto val="1"/>
        <c:lblAlgn val="ctr"/>
        <c:lblOffset val="100"/>
        <c:tickLblSkip val="1"/>
        <c:tickMarkSkip val="1"/>
        <c:noMultiLvlLbl val="0"/>
      </c:catAx>
      <c:valAx>
        <c:axId val="223173872"/>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3173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31645696"/>
        <c:axId val="231646256"/>
      </c:barChart>
      <c:catAx>
        <c:axId val="2316456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1646256"/>
        <c:crosses val="autoZero"/>
        <c:auto val="1"/>
        <c:lblAlgn val="ctr"/>
        <c:lblOffset val="100"/>
        <c:tickLblSkip val="1"/>
        <c:tickMarkSkip val="1"/>
        <c:noMultiLvlLbl val="0"/>
      </c:catAx>
      <c:valAx>
        <c:axId val="23164625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1645696"/>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5.3268708802421481E-2"/>
          <c:y val="0.17089133514907781"/>
          <c:w val="0.80187162983911808"/>
          <c:h val="0.51583865980184596"/>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577846710996087"/>
                  <c:y val="0.6329308709225104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452749127920689"/>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197574253630813"/>
                  <c:y val="0.534826585929521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069370557463889"/>
                  <c:y val="0.4905214249649455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254191547566245"/>
                  <c:y val="0.5190033141564585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ser>
        <c:dLbls>
          <c:showLegendKey val="0"/>
          <c:showVal val="1"/>
          <c:showCatName val="0"/>
          <c:showSerName val="0"/>
          <c:showPercent val="0"/>
          <c:showBubbleSize val="0"/>
        </c:dLbls>
        <c:gapWidth val="110"/>
        <c:overlap val="50"/>
        <c:axId val="223757184"/>
        <c:axId val="223757744"/>
      </c:barChart>
      <c:catAx>
        <c:axId val="2237571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3757744"/>
        <c:crosses val="autoZero"/>
        <c:auto val="0"/>
        <c:lblAlgn val="ctr"/>
        <c:lblOffset val="100"/>
        <c:tickLblSkip val="1"/>
        <c:tickMarkSkip val="1"/>
        <c:noMultiLvlLbl val="0"/>
      </c:catAx>
      <c:valAx>
        <c:axId val="223757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3757184"/>
        <c:crosses val="autoZero"/>
        <c:crossBetween val="between"/>
      </c:valAx>
      <c:spPr>
        <a:solidFill>
          <a:srgbClr val="FFFFFF"/>
        </a:solidFill>
        <a:ln w="12700">
          <a:solidFill>
            <a:srgbClr val="C0C0C0"/>
          </a:solidFill>
          <a:prstDash val="solid"/>
        </a:ln>
      </c:spPr>
    </c:plotArea>
    <c:legend>
      <c:legendPos val="r"/>
      <c:layout>
        <c:manualLayout>
          <c:xMode val="edge"/>
          <c:yMode val="edge"/>
          <c:x val="0.86295308259922798"/>
          <c:y val="6.9622395801476139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ser>
        <c:dLbls>
          <c:showLegendKey val="0"/>
          <c:showVal val="0"/>
          <c:showCatName val="0"/>
          <c:showSerName val="0"/>
          <c:showPercent val="0"/>
          <c:showBubbleSize val="0"/>
        </c:dLbls>
        <c:marker val="1"/>
        <c:smooth val="0"/>
        <c:axId val="218672576"/>
        <c:axId val="218673136"/>
      </c:lineChart>
      <c:dateAx>
        <c:axId val="218672576"/>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218673136"/>
        <c:crosses val="autoZero"/>
        <c:auto val="0"/>
        <c:lblOffset val="100"/>
        <c:baseTimeUnit val="days"/>
        <c:majorUnit val="7"/>
        <c:majorTimeUnit val="days"/>
        <c:minorUnit val="7"/>
        <c:minorTimeUnit val="days"/>
      </c:dateAx>
      <c:valAx>
        <c:axId val="218673136"/>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218672576"/>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615571212600205"/>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ser>
        <c:dLbls>
          <c:showLegendKey val="0"/>
          <c:showVal val="1"/>
          <c:showCatName val="0"/>
          <c:showSerName val="0"/>
          <c:showPercent val="0"/>
          <c:showBubbleSize val="0"/>
        </c:dLbls>
        <c:gapWidth val="50"/>
        <c:overlap val="100"/>
        <c:serLines>
          <c:spPr>
            <a:ln w="3175">
              <a:solidFill>
                <a:srgbClr val="000000"/>
              </a:solidFill>
              <a:prstDash val="solid"/>
            </a:ln>
          </c:spPr>
        </c:serLines>
        <c:axId val="231632256"/>
        <c:axId val="231632816"/>
      </c:barChart>
      <c:catAx>
        <c:axId val="23163225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78207877002820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31632816"/>
        <c:crosses val="autoZero"/>
        <c:auto val="1"/>
        <c:lblAlgn val="ctr"/>
        <c:lblOffset val="100"/>
        <c:tickLblSkip val="1"/>
        <c:tickMarkSkip val="1"/>
        <c:noMultiLvlLbl val="0"/>
      </c:catAx>
      <c:valAx>
        <c:axId val="231632816"/>
        <c:scaling>
          <c:orientation val="minMax"/>
        </c:scaling>
        <c:delete val="1"/>
        <c:axPos val="l"/>
        <c:numFmt formatCode="0%" sourceLinked="1"/>
        <c:majorTickMark val="out"/>
        <c:minorTickMark val="none"/>
        <c:tickLblPos val="nextTo"/>
        <c:crossAx val="231632256"/>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1"/>
          <c:showCatName val="0"/>
          <c:showSerName val="0"/>
          <c:showPercent val="0"/>
          <c:showBubbleSize val="0"/>
        </c:dLbls>
        <c:gapWidth val="150"/>
        <c:shape val="box"/>
        <c:axId val="231636736"/>
        <c:axId val="231637296"/>
        <c:axId val="227634496"/>
      </c:bar3DChart>
      <c:catAx>
        <c:axId val="2316367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231637296"/>
        <c:crosses val="autoZero"/>
        <c:auto val="1"/>
        <c:lblAlgn val="ctr"/>
        <c:lblOffset val="100"/>
        <c:tickLblSkip val="1"/>
        <c:tickMarkSkip val="1"/>
        <c:noMultiLvlLbl val="1"/>
      </c:catAx>
      <c:valAx>
        <c:axId val="231637296"/>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31636736"/>
        <c:crosses val="max"/>
        <c:crossBetween val="between"/>
      </c:valAx>
      <c:serAx>
        <c:axId val="227634496"/>
        <c:scaling>
          <c:orientation val="minMax"/>
        </c:scaling>
        <c:delete val="1"/>
        <c:axPos val="b"/>
        <c:majorGridlines>
          <c:spPr>
            <a:ln w="3175">
              <a:solidFill>
                <a:srgbClr val="000000"/>
              </a:solidFill>
              <a:prstDash val="solid"/>
            </a:ln>
          </c:spPr>
        </c:majorGridlines>
        <c:majorTickMark val="out"/>
        <c:minorTickMark val="none"/>
        <c:tickLblPos val="nextTo"/>
        <c:crossAx val="231637296"/>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ser>
        <c:dLbls>
          <c:showLegendKey val="0"/>
          <c:showVal val="0"/>
          <c:showCatName val="0"/>
          <c:showSerName val="0"/>
          <c:showPercent val="0"/>
          <c:showBubbleSize val="0"/>
        </c:dLbls>
        <c:marker val="1"/>
        <c:smooth val="0"/>
        <c:axId val="231640096"/>
        <c:axId val="231640656"/>
      </c:lineChart>
      <c:dateAx>
        <c:axId val="231640096"/>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31640656"/>
        <c:crossesAt val="0"/>
        <c:auto val="1"/>
        <c:lblOffset val="100"/>
        <c:baseTimeUnit val="days"/>
        <c:majorUnit val="1"/>
        <c:majorTimeUnit val="days"/>
        <c:minorUnit val="1"/>
        <c:minorTimeUnit val="days"/>
      </c:dateAx>
      <c:valAx>
        <c:axId val="231640656"/>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640096"/>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3402106831597776"/>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231642896"/>
        <c:axId val="231643456"/>
      </c:barChart>
      <c:catAx>
        <c:axId val="23164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31643456"/>
        <c:crosses val="autoZero"/>
        <c:auto val="1"/>
        <c:lblAlgn val="ctr"/>
        <c:lblOffset val="100"/>
        <c:tickLblSkip val="1"/>
        <c:tickMarkSkip val="1"/>
        <c:noMultiLvlLbl val="0"/>
      </c:catAx>
      <c:valAx>
        <c:axId val="231643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1642896"/>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23181712"/>
        <c:axId val="223182272"/>
      </c:lineChart>
      <c:dateAx>
        <c:axId val="223181712"/>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23182272"/>
        <c:crossesAt val="0"/>
        <c:auto val="1"/>
        <c:lblOffset val="100"/>
        <c:baseTimeUnit val="days"/>
        <c:majorUnit val="1"/>
        <c:majorTimeUnit val="days"/>
        <c:minorUnit val="1"/>
        <c:minorTimeUnit val="days"/>
      </c:dateAx>
      <c:valAx>
        <c:axId val="223182272"/>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18171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23184512"/>
        <c:axId val="223185072"/>
      </c:barChart>
      <c:catAx>
        <c:axId val="223184512"/>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185072"/>
        <c:crosses val="autoZero"/>
        <c:auto val="1"/>
        <c:lblAlgn val="ctr"/>
        <c:lblOffset val="100"/>
        <c:tickLblSkip val="1"/>
        <c:tickMarkSkip val="1"/>
        <c:noMultiLvlLbl val="0"/>
      </c:catAx>
      <c:valAx>
        <c:axId val="223185072"/>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31845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22610896"/>
        <c:axId val="222611456"/>
      </c:lineChart>
      <c:dateAx>
        <c:axId val="22261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222611456"/>
        <c:crossesAt val="0"/>
        <c:auto val="1"/>
        <c:lblOffset val="100"/>
        <c:baseTimeUnit val="days"/>
        <c:majorUnit val="1"/>
        <c:majorTimeUnit val="days"/>
        <c:minorUnit val="1"/>
        <c:minorTimeUnit val="days"/>
      </c:dateAx>
      <c:valAx>
        <c:axId val="222611456"/>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2261089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7786560459596827E-2"/>
          <c:y val="0.17483084603446422"/>
          <c:w val="0.83444531592189297"/>
          <c:h val="0.416097413562024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ser>
        <c:dLbls>
          <c:showLegendKey val="0"/>
          <c:showVal val="0"/>
          <c:showCatName val="0"/>
          <c:showSerName val="0"/>
          <c:showPercent val="0"/>
          <c:showBubbleSize val="0"/>
        </c:dLbls>
        <c:marker val="1"/>
        <c:smooth val="0"/>
        <c:axId val="223759984"/>
        <c:axId val="223760544"/>
      </c:lineChart>
      <c:catAx>
        <c:axId val="2237599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23760544"/>
        <c:crosses val="autoZero"/>
        <c:auto val="0"/>
        <c:lblAlgn val="ctr"/>
        <c:lblOffset val="100"/>
        <c:tickLblSkip val="1"/>
        <c:tickMarkSkip val="1"/>
        <c:noMultiLvlLbl val="0"/>
      </c:catAx>
      <c:valAx>
        <c:axId val="22376054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37599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3729538671528833"/>
          <c:y val="0.83569144404473894"/>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22614256"/>
        <c:axId val="222614816"/>
      </c:barChart>
      <c:catAx>
        <c:axId val="222614256"/>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22614816"/>
        <c:crosses val="autoZero"/>
        <c:auto val="1"/>
        <c:lblAlgn val="ctr"/>
        <c:lblOffset val="100"/>
        <c:tickLblSkip val="1"/>
        <c:tickMarkSkip val="1"/>
        <c:noMultiLvlLbl val="0"/>
      </c:catAx>
      <c:valAx>
        <c:axId val="222614816"/>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222614256"/>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23030688"/>
        <c:axId val="223031248"/>
      </c:barChart>
      <c:catAx>
        <c:axId val="223030688"/>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223031248"/>
        <c:crosses val="autoZero"/>
        <c:auto val="1"/>
        <c:lblAlgn val="ctr"/>
        <c:lblOffset val="100"/>
        <c:tickLblSkip val="2"/>
        <c:tickMarkSkip val="1"/>
        <c:noMultiLvlLbl val="0"/>
      </c:catAx>
      <c:valAx>
        <c:axId val="223031248"/>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2230306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22601376"/>
        <c:axId val="222601936"/>
      </c:barChart>
      <c:catAx>
        <c:axId val="22260137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601936"/>
        <c:crosses val="autoZero"/>
        <c:auto val="1"/>
        <c:lblAlgn val="ctr"/>
        <c:lblOffset val="100"/>
        <c:tickLblSkip val="1"/>
        <c:tickMarkSkip val="1"/>
        <c:noMultiLvlLbl val="0"/>
      </c:catAx>
      <c:valAx>
        <c:axId val="222601936"/>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60137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4803107605864181E-2"/>
          <c:y val="0.14437064439493025"/>
          <c:w val="0.82568444646042438"/>
          <c:h val="0.54579146051741922"/>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6020895174269507"/>
                  <c:y val="0.5633976366631424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9474953615637814"/>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ser>
        <c:dLbls>
          <c:showLegendKey val="0"/>
          <c:showVal val="1"/>
          <c:showCatName val="0"/>
          <c:showSerName val="0"/>
          <c:showPercent val="0"/>
          <c:showBubbleSize val="0"/>
        </c:dLbls>
        <c:gapWidth val="150"/>
        <c:axId val="223763904"/>
        <c:axId val="223764464"/>
      </c:barChart>
      <c:catAx>
        <c:axId val="223763904"/>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US"/>
                  <a:t>Ratios expressed in %</a:t>
                </a:r>
              </a:p>
            </c:rich>
          </c:tx>
          <c:layout>
            <c:manualLayout>
              <c:xMode val="edge"/>
              <c:yMode val="edge"/>
              <c:x val="0.32402357759502709"/>
              <c:y val="0.83805398453642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23764464"/>
        <c:crosses val="autoZero"/>
        <c:auto val="1"/>
        <c:lblAlgn val="ctr"/>
        <c:lblOffset val="100"/>
        <c:tickLblSkip val="1"/>
        <c:tickMarkSkip val="1"/>
        <c:noMultiLvlLbl val="0"/>
      </c:catAx>
      <c:valAx>
        <c:axId val="22376446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3763904"/>
        <c:crosses val="autoZero"/>
        <c:crossBetween val="between"/>
      </c:valAx>
      <c:spPr>
        <a:solidFill>
          <a:srgbClr val="FFFFFF"/>
        </a:solidFill>
        <a:ln w="3175">
          <a:solidFill>
            <a:srgbClr val="000000"/>
          </a:solidFill>
          <a:prstDash val="solid"/>
        </a:ln>
      </c:spPr>
    </c:plotArea>
    <c:legend>
      <c:legendPos val="r"/>
      <c:layout>
        <c:manualLayout>
          <c:xMode val="edge"/>
          <c:yMode val="edge"/>
          <c:x val="0.85693545140613758"/>
          <c:y val="0.13028570347835169"/>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5" Type="http://schemas.openxmlformats.org/officeDocument/2006/relationships/chart" Target="../charts/chart40.xml"/><Relationship Id="rId4"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5.xml"/><Relationship Id="rId4" Type="http://schemas.openxmlformats.org/officeDocument/2006/relationships/chart" Target="../charts/chart5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5" Type="http://schemas.openxmlformats.org/officeDocument/2006/relationships/chart" Target="../charts/chart60.xml"/><Relationship Id="rId4" Type="http://schemas.openxmlformats.org/officeDocument/2006/relationships/chart" Target="../charts/chart5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5" Type="http://schemas.openxmlformats.org/officeDocument/2006/relationships/chart" Target="../charts/chart74.xml"/><Relationship Id="rId4" Type="http://schemas.openxmlformats.org/officeDocument/2006/relationships/chart" Target="../charts/chart73.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5" Type="http://schemas.openxmlformats.org/officeDocument/2006/relationships/chart" Target="../charts/chart86.xml"/><Relationship Id="rId4" Type="http://schemas.openxmlformats.org/officeDocument/2006/relationships/chart" Target="../charts/chart8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65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65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65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6564"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65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65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6567"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65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24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245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24580"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9525</xdr:rowOff>
    </xdr:from>
    <xdr:to>
      <xdr:col>7</xdr:col>
      <xdr:colOff>2057400</xdr:colOff>
      <xdr:row>32</xdr:row>
      <xdr:rowOff>57150</xdr:rowOff>
    </xdr:to>
    <xdr:sp macro="" textlink="">
      <xdr:nvSpPr>
        <xdr:cNvPr id="24581" name="AutoShape 5"/>
        <xdr:cNvSpPr>
          <a:spLocks/>
        </xdr:cNvSpPr>
      </xdr:nvSpPr>
      <xdr:spPr bwMode="auto">
        <a:xfrm>
          <a:off x="8934450" y="5029200"/>
          <a:ext cx="2057400" cy="20955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245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2458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24584" name="AutoShape 8"/>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7</xdr:col>
      <xdr:colOff>2543175</xdr:colOff>
      <xdr:row>52</xdr:row>
      <xdr:rowOff>19050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485775</xdr:colOff>
      <xdr:row>32</xdr:row>
      <xdr:rowOff>142875</xdr:rowOff>
    </xdr:to>
    <xdr:graphicFrame macro="">
      <xdr:nvGraphicFramePr>
        <xdr:cNvPr id="163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16</xdr:row>
      <xdr:rowOff>28575</xdr:rowOff>
    </xdr:from>
    <xdr:to>
      <xdr:col>7</xdr:col>
      <xdr:colOff>2562225</xdr:colOff>
      <xdr:row>33</xdr:row>
      <xdr:rowOff>19050</xdr:rowOff>
    </xdr:to>
    <xdr:graphicFrame macro="">
      <xdr:nvGraphicFramePr>
        <xdr:cNvPr id="1638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638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31</xdr:row>
      <xdr:rowOff>9525</xdr:rowOff>
    </xdr:from>
    <xdr:to>
      <xdr:col>7</xdr:col>
      <xdr:colOff>1171575</xdr:colOff>
      <xdr:row>32</xdr:row>
      <xdr:rowOff>57150</xdr:rowOff>
    </xdr:to>
    <xdr:sp macro="" textlink="">
      <xdr:nvSpPr>
        <xdr:cNvPr id="16389" name="AutoShape 5"/>
        <xdr:cNvSpPr>
          <a:spLocks/>
        </xdr:cNvSpPr>
      </xdr:nvSpPr>
      <xdr:spPr bwMode="auto">
        <a:xfrm>
          <a:off x="8048625" y="5029200"/>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619125</xdr:colOff>
      <xdr:row>53</xdr:row>
      <xdr:rowOff>76200</xdr:rowOff>
    </xdr:from>
    <xdr:to>
      <xdr:col>7</xdr:col>
      <xdr:colOff>2695575</xdr:colOff>
      <xdr:row>71</xdr:row>
      <xdr:rowOff>76200</xdr:rowOff>
    </xdr:to>
    <xdr:graphicFrame macro="">
      <xdr:nvGraphicFramePr>
        <xdr:cNvPr id="1639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438150</xdr:colOff>
      <xdr:row>71</xdr:row>
      <xdr:rowOff>76200</xdr:rowOff>
    </xdr:to>
    <xdr:graphicFrame macro="">
      <xdr:nvGraphicFramePr>
        <xdr:cNvPr id="1639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0.80661</cdr:x>
      <cdr:y>0.0284</cdr:y>
    </cdr:from>
    <cdr:to>
      <cdr:x>0.99058</cdr:x>
      <cdr:y>0.31412</cdr:y>
    </cdr:to>
    <cdr:sp macro="" textlink="">
      <cdr:nvSpPr>
        <cdr:cNvPr id="18434" name="AutoShape 2"/>
        <cdr:cNvSpPr>
          <a:spLocks xmlns:a="http://schemas.openxmlformats.org/drawingml/2006/main" noChangeArrowheads="1"/>
        </cdr:cNvSpPr>
      </cdr:nvSpPr>
      <cdr:spPr bwMode="auto">
        <a:xfrm xmlns:a="http://schemas.openxmlformats.org/drawingml/2006/main">
          <a:off x="4082852" y="84871"/>
          <a:ext cx="930473" cy="82187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112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11268"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11269"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112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112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0.24569</cdr:x>
      <cdr:y>0.46137</cdr:y>
    </cdr:from>
    <cdr:to>
      <cdr:x>0.87865</cdr:x>
      <cdr:y>0.46137</cdr:y>
    </cdr:to>
    <cdr:sp macro="" textlink="">
      <cdr:nvSpPr>
        <cdr:cNvPr id="12289" name="Line 1"/>
        <cdr:cNvSpPr>
          <a:spLocks xmlns:a="http://schemas.openxmlformats.org/drawingml/2006/main" noChangeShapeType="1"/>
        </cdr:cNvSpPr>
      </cdr:nvSpPr>
      <cdr:spPr bwMode="auto">
        <a:xfrm xmlns:a="http://schemas.openxmlformats.org/drawingml/2006/main" flipH="1">
          <a:off x="1231769" y="1282002"/>
          <a:ext cx="3165193"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0.84309</cdr:x>
      <cdr:y>0.21538</cdr:y>
    </cdr:from>
    <cdr:to>
      <cdr:x>0.99048</cdr:x>
      <cdr:y>0.38437</cdr:y>
    </cdr:to>
    <cdr:sp macro="" textlink="">
      <cdr:nvSpPr>
        <cdr:cNvPr id="12291" name="AutoShape 3"/>
        <cdr:cNvSpPr>
          <a:spLocks xmlns:a="http://schemas.openxmlformats.org/drawingml/2006/main" noChangeArrowheads="1"/>
        </cdr:cNvSpPr>
      </cdr:nvSpPr>
      <cdr:spPr bwMode="auto">
        <a:xfrm xmlns:a="http://schemas.openxmlformats.org/drawingml/2006/main">
          <a:off x="4219142" y="600157"/>
          <a:ext cx="737033" cy="468392"/>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9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92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9220"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9221"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92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922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81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81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8196" name="AutoShape 4"/>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8197" name="AutoShape 5"/>
        <xdr:cNvSpPr>
          <a:spLocks/>
        </xdr:cNvSpPr>
      </xdr:nvSpPr>
      <xdr:spPr bwMode="auto">
        <a:xfrm>
          <a:off x="7991475"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2695575</xdr:colOff>
      <xdr:row>69</xdr:row>
      <xdr:rowOff>95250</xdr:rowOff>
    </xdr:to>
    <xdr:graphicFrame macro="">
      <xdr:nvGraphicFramePr>
        <xdr:cNvPr id="819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819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xdr:cNvSpPr>
          <a:spLocks/>
        </xdr:cNvSpPr>
      </xdr:nvSpPr>
      <xdr:spPr bwMode="auto">
        <a:xfrm>
          <a:off x="7943850" y="4867275"/>
          <a:ext cx="2057400"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2628900</xdr:colOff>
      <xdr:row>37</xdr:row>
      <xdr:rowOff>142875</xdr:rowOff>
    </xdr:from>
    <xdr:to>
      <xdr:col>15</xdr:col>
      <xdr:colOff>209550</xdr:colOff>
      <xdr:row>70</xdr:row>
      <xdr:rowOff>0</xdr:rowOff>
    </xdr:to>
    <xdr:graphicFrame macro="">
      <xdr:nvGraphicFramePr>
        <xdr:cNvPr id="717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70657"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61444"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4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4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447"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44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0.16295</cdr:x>
      <cdr:y>0.34722</cdr:y>
    </cdr:from>
    <cdr:to>
      <cdr:x>0.83975</cdr:x>
      <cdr:y>0.34722</cdr:y>
    </cdr:to>
    <cdr:sp macro="" textlink="">
      <cdr:nvSpPr>
        <cdr:cNvPr id="64513" name="Line 1"/>
        <cdr:cNvSpPr>
          <a:spLocks xmlns:a="http://schemas.openxmlformats.org/drawingml/2006/main" noChangeShapeType="1"/>
        </cdr:cNvSpPr>
      </cdr:nvSpPr>
      <cdr:spPr bwMode="auto">
        <a:xfrm xmlns:a="http://schemas.openxmlformats.org/drawingml/2006/main" flipH="1">
          <a:off x="936003" y="1167325"/>
          <a:ext cx="387434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501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501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50180"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5018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501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50183"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5018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430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430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43012"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430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4301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43015"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4301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0.18139</cdr:x>
      <cdr:y>0.31418</cdr:y>
    </cdr:from>
    <cdr:to>
      <cdr:x>0.77755</cdr:x>
      <cdr:y>0.31418</cdr:y>
    </cdr:to>
    <cdr:sp macro="" textlink="">
      <cdr:nvSpPr>
        <cdr:cNvPr id="46081" name="Line 1"/>
        <cdr:cNvSpPr>
          <a:spLocks xmlns:a="http://schemas.openxmlformats.org/drawingml/2006/main" noChangeShapeType="1"/>
        </cdr:cNvSpPr>
      </cdr:nvSpPr>
      <cdr:spPr bwMode="auto">
        <a:xfrm xmlns:a="http://schemas.openxmlformats.org/drawingml/2006/main" flipH="1">
          <a:off x="1041552" y="1056569"/>
          <a:ext cx="34127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0.55113</cdr:x>
      <cdr:y>0.0963</cdr:y>
    </cdr:from>
    <cdr:to>
      <cdr:x>0.76256</cdr:x>
      <cdr:y>0.15533</cdr:y>
    </cdr:to>
    <cdr:sp macro="" textlink="">
      <cdr:nvSpPr>
        <cdr:cNvPr id="46082" name="AutoShape 2"/>
        <cdr:cNvSpPr>
          <a:spLocks xmlns:a="http://schemas.openxmlformats.org/drawingml/2006/main" noChangeArrowheads="1"/>
        </cdr:cNvSpPr>
      </cdr:nvSpPr>
      <cdr:spPr bwMode="auto">
        <a:xfrm xmlns:a="http://schemas.openxmlformats.org/drawingml/2006/main">
          <a:off x="3158160" y="326063"/>
          <a:ext cx="1210294" cy="197896"/>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358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358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35844"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358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3584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35848" name="AutoShape 8"/>
        <xdr:cNvSpPr>
          <a:spLocks noChangeArrowheads="1"/>
        </xdr:cNvSpPr>
      </xdr:nvSpPr>
      <xdr:spPr bwMode="auto">
        <a:xfrm>
          <a:off x="382905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3584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0.15154</cdr:x>
      <cdr:y>0.31953</cdr:y>
    </cdr:from>
    <cdr:to>
      <cdr:x>0.7885</cdr:x>
      <cdr:y>0.31953</cdr:y>
    </cdr:to>
    <cdr:sp macro="" textlink="">
      <cdr:nvSpPr>
        <cdr:cNvPr id="38913" name="Line 1"/>
        <cdr:cNvSpPr>
          <a:spLocks xmlns:a="http://schemas.openxmlformats.org/drawingml/2006/main" noChangeShapeType="1"/>
        </cdr:cNvSpPr>
      </cdr:nvSpPr>
      <cdr:spPr bwMode="auto">
        <a:xfrm xmlns:a="http://schemas.openxmlformats.org/drawingml/2006/main" flipH="1">
          <a:off x="850457" y="1074485"/>
          <a:ext cx="356135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0.60837</cdr:x>
      <cdr:y>0.06278</cdr:y>
    </cdr:from>
    <cdr:to>
      <cdr:x>0.78703</cdr:x>
      <cdr:y>0.16796</cdr:y>
    </cdr:to>
    <cdr:sp macro="" textlink="">
      <cdr:nvSpPr>
        <cdr:cNvPr id="38914" name="AutoShape 2"/>
        <cdr:cNvSpPr>
          <a:spLocks xmlns:a="http://schemas.openxmlformats.org/drawingml/2006/main" noChangeArrowheads="1"/>
        </cdr:cNvSpPr>
      </cdr:nvSpPr>
      <cdr:spPr bwMode="auto">
        <a:xfrm xmlns:a="http://schemas.openxmlformats.org/drawingml/2006/main">
          <a:off x="3404688" y="213678"/>
          <a:ext cx="998885" cy="352629"/>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A1" t="str">
            <v>S. Cone Gas</v>
          </cell>
          <cell r="B1">
            <v>0</v>
          </cell>
        </row>
        <row r="2">
          <cell r="A2" t="str">
            <v>S-Cone Power</v>
          </cell>
          <cell r="B2">
            <v>0</v>
          </cell>
        </row>
        <row r="3">
          <cell r="A3" t="str">
            <v>Brazil Power</v>
          </cell>
          <cell r="B3">
            <v>0</v>
          </cell>
        </row>
        <row r="4">
          <cell r="A4" t="str">
            <v>Broadband</v>
          </cell>
          <cell r="B4">
            <v>1</v>
          </cell>
        </row>
        <row r="5">
          <cell r="A5" t="str">
            <v>Capital Portfolio</v>
          </cell>
          <cell r="B5">
            <v>3</v>
          </cell>
        </row>
        <row r="6">
          <cell r="A6" t="str">
            <v>Coal</v>
          </cell>
          <cell r="B6">
            <v>1</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1</v>
          </cell>
        </row>
        <row r="12">
          <cell r="A12" t="str">
            <v>EES/EWS Power</v>
          </cell>
          <cell r="B12">
            <v>5</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0</v>
          </cell>
        </row>
        <row r="18">
          <cell r="A18" t="str">
            <v>Gas Bench</v>
          </cell>
          <cell r="B18">
            <v>3</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1</v>
          </cell>
        </row>
        <row r="28">
          <cell r="A28" t="str">
            <v>Outage Options</v>
          </cell>
          <cell r="B28">
            <v>0</v>
          </cell>
        </row>
        <row r="29">
          <cell r="A29" t="str">
            <v>Paper</v>
          </cell>
          <cell r="B29">
            <v>1</v>
          </cell>
        </row>
        <row r="30">
          <cell r="A30" t="str">
            <v>Power Canada</v>
          </cell>
          <cell r="B30">
            <v>2</v>
          </cell>
        </row>
        <row r="31">
          <cell r="A31" t="str">
            <v>Power East</v>
          </cell>
          <cell r="B31">
            <v>6</v>
          </cell>
        </row>
        <row r="32">
          <cell r="A32" t="str">
            <v>Power West</v>
          </cell>
          <cell r="B32">
            <v>4</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1"/>
  <sheetViews>
    <sheetView tabSelected="1" topLeftCell="A24" zoomScale="80" zoomScaleNormal="100" workbookViewId="0">
      <selection activeCell="E54" sqref="E54"/>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5" width="9.85546875" bestFit="1" customWidth="1"/>
  </cols>
  <sheetData>
    <row r="1" spans="1:25"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c r="Y1" s="1" t="s">
        <v>394</v>
      </c>
    </row>
    <row r="2" spans="1:25" x14ac:dyDescent="0.2">
      <c r="A2" s="6" t="s">
        <v>0</v>
      </c>
      <c r="B2" s="2"/>
      <c r="H2">
        <f>1+1</f>
        <v>2</v>
      </c>
      <c r="J2">
        <f>1</f>
        <v>1</v>
      </c>
      <c r="K2" s="2"/>
      <c r="L2" s="7"/>
      <c r="M2" s="2"/>
      <c r="N2" s="2"/>
      <c r="P2">
        <f>'summary 0611'!K10</f>
        <v>1</v>
      </c>
    </row>
    <row r="3" spans="1:25" x14ac:dyDescent="0.2">
      <c r="A3" s="6" t="s">
        <v>1</v>
      </c>
      <c r="B3" s="7"/>
      <c r="K3" s="7"/>
      <c r="L3" s="7"/>
      <c r="M3" s="7"/>
      <c r="N3" s="11">
        <v>1</v>
      </c>
      <c r="P3">
        <f>'summary 0611'!K11</f>
        <v>1</v>
      </c>
      <c r="R3">
        <f>'summary 0625'!K11</f>
        <v>2</v>
      </c>
      <c r="T3">
        <f>'summary 0709'!K10</f>
        <v>1</v>
      </c>
    </row>
    <row r="4" spans="1:25"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c r="Y4">
        <f>'summary 0813'!K12</f>
        <v>5</v>
      </c>
    </row>
    <row r="5" spans="1:25"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c r="Y5">
        <f>'summary 0813'!K13</f>
        <v>5</v>
      </c>
    </row>
    <row r="6" spans="1:25"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c r="Y6">
        <f>'summary 0813'!K14</f>
        <v>2</v>
      </c>
    </row>
    <row r="7" spans="1:25"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c r="Y7">
        <f>'summary 0813'!K15</f>
        <v>2</v>
      </c>
    </row>
    <row r="8" spans="1:25"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c r="Y8">
        <f>'summary 0813'!K16</f>
        <v>1</v>
      </c>
    </row>
    <row r="9" spans="1:25"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c r="Y9">
        <f>'summary 0813'!K17</f>
        <v>2</v>
      </c>
    </row>
    <row r="10" spans="1:25" x14ac:dyDescent="0.2">
      <c r="A10" s="8" t="s">
        <v>31</v>
      </c>
      <c r="B10" s="7"/>
      <c r="K10" s="7"/>
      <c r="L10" s="7"/>
      <c r="M10" s="7"/>
      <c r="N10" s="7"/>
      <c r="S10">
        <f>'summary 0702'!K18:K18</f>
        <v>1</v>
      </c>
      <c r="U10">
        <f>'summary 0716'!K17</f>
        <v>1</v>
      </c>
      <c r="V10">
        <f>'summary 0723'!K17</f>
        <v>1</v>
      </c>
      <c r="W10">
        <f>'summary 0730'!K18</f>
        <v>2</v>
      </c>
      <c r="X10">
        <f>'summary 0806'!K18</f>
        <v>1</v>
      </c>
    </row>
    <row r="11" spans="1:25"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c r="Y11">
        <f>SUM(Y3:Y10)</f>
        <v>17</v>
      </c>
    </row>
    <row r="12" spans="1:25"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c r="Y12" s="51">
        <v>37116</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25.5" x14ac:dyDescent="0.2">
      <c r="A105" s="83">
        <v>37119</v>
      </c>
      <c r="B105" s="81" t="s">
        <v>380</v>
      </c>
      <c r="C105" s="81" t="s">
        <v>20</v>
      </c>
      <c r="D105" s="81" t="s">
        <v>82</v>
      </c>
      <c r="E105" s="81" t="s">
        <v>83</v>
      </c>
      <c r="F105" s="81" t="s">
        <v>84</v>
      </c>
      <c r="G105" s="89" t="s">
        <v>383</v>
      </c>
      <c r="H105" s="89" t="s">
        <v>296</v>
      </c>
      <c r="I105" s="81" t="s">
        <v>79</v>
      </c>
      <c r="J105" s="81" t="s">
        <v>79</v>
      </c>
      <c r="K105" s="81" t="s">
        <v>80</v>
      </c>
      <c r="L105" s="81" t="s">
        <v>81</v>
      </c>
    </row>
    <row r="106" spans="1:25" ht="76.5" x14ac:dyDescent="0.2">
      <c r="A106" s="83">
        <v>37116</v>
      </c>
      <c r="B106" s="81" t="s">
        <v>384</v>
      </c>
      <c r="C106" s="81" t="s">
        <v>19</v>
      </c>
      <c r="D106" s="81" t="s">
        <v>385</v>
      </c>
      <c r="E106" s="81" t="s">
        <v>309</v>
      </c>
      <c r="F106" s="81" t="s">
        <v>12</v>
      </c>
      <c r="G106" s="89" t="s">
        <v>386</v>
      </c>
      <c r="H106" s="89" t="s">
        <v>387</v>
      </c>
      <c r="I106" s="81" t="s">
        <v>79</v>
      </c>
      <c r="J106" s="81" t="s">
        <v>80</v>
      </c>
      <c r="K106" s="81" t="s">
        <v>80</v>
      </c>
      <c r="L106" s="81" t="s">
        <v>81</v>
      </c>
      <c r="M106" s="88"/>
      <c r="N106" s="88"/>
      <c r="O106" s="88"/>
      <c r="P106" s="88"/>
      <c r="Q106" s="88"/>
      <c r="R106" s="88"/>
      <c r="S106" s="88"/>
      <c r="T106" s="88"/>
      <c r="U106" s="88"/>
      <c r="V106" s="88"/>
      <c r="W106" s="88"/>
      <c r="X106" s="88"/>
      <c r="Y106" s="88"/>
    </row>
    <row r="107" spans="1:25" ht="89.25" x14ac:dyDescent="0.2">
      <c r="A107" s="83">
        <v>37116</v>
      </c>
      <c r="B107" s="81" t="s">
        <v>388</v>
      </c>
      <c r="C107" s="81" t="s">
        <v>272</v>
      </c>
      <c r="D107" s="81" t="s">
        <v>389</v>
      </c>
      <c r="E107" s="81" t="s">
        <v>221</v>
      </c>
      <c r="F107" s="81" t="s">
        <v>12</v>
      </c>
      <c r="G107" s="89" t="s">
        <v>390</v>
      </c>
      <c r="H107" s="89" t="s">
        <v>391</v>
      </c>
      <c r="I107" s="81" t="s">
        <v>79</v>
      </c>
      <c r="J107" s="81" t="s">
        <v>80</v>
      </c>
      <c r="K107" s="81" t="s">
        <v>80</v>
      </c>
      <c r="L107" s="81" t="s">
        <v>81</v>
      </c>
      <c r="M107" s="88"/>
      <c r="N107" s="88"/>
      <c r="O107" s="88"/>
      <c r="P107" s="88"/>
      <c r="Q107" s="88"/>
      <c r="R107" s="88"/>
      <c r="S107" s="88"/>
      <c r="T107" s="88"/>
      <c r="U107" s="88"/>
      <c r="V107" s="88"/>
      <c r="W107" s="88"/>
      <c r="X107" s="88"/>
      <c r="Y107" s="88"/>
    </row>
    <row r="108" spans="1:25" ht="38.25" x14ac:dyDescent="0.2">
      <c r="A108" s="83">
        <v>37116</v>
      </c>
      <c r="B108" s="81" t="s">
        <v>380</v>
      </c>
      <c r="C108" s="81" t="s">
        <v>20</v>
      </c>
      <c r="D108" s="81" t="s">
        <v>82</v>
      </c>
      <c r="E108" s="81" t="s">
        <v>83</v>
      </c>
      <c r="F108" s="81" t="s">
        <v>84</v>
      </c>
      <c r="G108" s="89" t="s">
        <v>392</v>
      </c>
      <c r="H108" s="89" t="s">
        <v>393</v>
      </c>
      <c r="I108" s="81" t="s">
        <v>79</v>
      </c>
      <c r="J108" s="81" t="s">
        <v>79</v>
      </c>
      <c r="K108" s="81" t="s">
        <v>80</v>
      </c>
      <c r="L108" s="81" t="s">
        <v>81</v>
      </c>
      <c r="M108" s="88"/>
      <c r="N108" s="88"/>
      <c r="O108" s="88"/>
      <c r="P108" s="88"/>
      <c r="Q108" s="88"/>
      <c r="R108" s="88"/>
      <c r="S108" s="88"/>
      <c r="T108" s="88"/>
      <c r="U108" s="88"/>
      <c r="V108" s="88"/>
      <c r="W108" s="88"/>
      <c r="X108" s="88"/>
      <c r="Y108" s="88"/>
    </row>
    <row r="109" spans="1:25" ht="55.5" customHeight="1" x14ac:dyDescent="0.2">
      <c r="A109" s="83">
        <v>37113</v>
      </c>
      <c r="B109" s="81" t="s">
        <v>380</v>
      </c>
      <c r="C109" s="81" t="s">
        <v>20</v>
      </c>
      <c r="D109" s="81" t="s">
        <v>82</v>
      </c>
      <c r="E109" s="81" t="s">
        <v>83</v>
      </c>
      <c r="F109" s="81" t="s">
        <v>84</v>
      </c>
      <c r="G109" s="89" t="s">
        <v>392</v>
      </c>
      <c r="H109" s="89" t="s">
        <v>393</v>
      </c>
      <c r="I109" s="81" t="s">
        <v>79</v>
      </c>
      <c r="J109" s="81" t="s">
        <v>79</v>
      </c>
      <c r="K109" s="81" t="s">
        <v>80</v>
      </c>
      <c r="L109" s="81" t="s">
        <v>81</v>
      </c>
      <c r="M109" s="88"/>
      <c r="N109" s="88"/>
      <c r="O109" s="88"/>
      <c r="P109" s="88"/>
      <c r="Q109" s="88"/>
      <c r="R109" s="88"/>
      <c r="S109" s="88"/>
      <c r="T109" s="88"/>
      <c r="U109" s="88"/>
      <c r="V109" s="88"/>
      <c r="W109" s="88"/>
      <c r="X109" s="88"/>
      <c r="Y109" s="88"/>
    </row>
    <row r="110" spans="1:25" ht="38.25" x14ac:dyDescent="0.2">
      <c r="A110" s="83">
        <v>37109</v>
      </c>
      <c r="B110" s="81" t="s">
        <v>366</v>
      </c>
      <c r="C110" s="81" t="s">
        <v>19</v>
      </c>
      <c r="D110" s="81" t="s">
        <v>367</v>
      </c>
      <c r="E110" s="81"/>
      <c r="F110" s="81" t="s">
        <v>14</v>
      </c>
      <c r="G110" s="89" t="s">
        <v>368</v>
      </c>
      <c r="H110" s="89" t="s">
        <v>299</v>
      </c>
      <c r="I110" s="81" t="s">
        <v>80</v>
      </c>
      <c r="J110" s="81" t="s">
        <v>79</v>
      </c>
      <c r="K110" s="81" t="s">
        <v>80</v>
      </c>
      <c r="L110" s="81" t="s">
        <v>81</v>
      </c>
      <c r="M110" s="88"/>
      <c r="N110" s="88"/>
      <c r="O110" s="88"/>
      <c r="P110" s="88"/>
      <c r="Q110" s="88"/>
      <c r="R110" s="88"/>
      <c r="S110" s="88"/>
      <c r="T110" s="88"/>
      <c r="U110" s="88"/>
      <c r="V110" s="88"/>
      <c r="W110" s="88"/>
      <c r="X110" s="88"/>
      <c r="Y110" s="88"/>
    </row>
    <row r="111" spans="1:25" ht="25.5" x14ac:dyDescent="0.2">
      <c r="A111" s="83">
        <v>37109</v>
      </c>
      <c r="B111" s="81" t="s">
        <v>369</v>
      </c>
      <c r="C111" s="68" t="s">
        <v>20</v>
      </c>
      <c r="D111" s="79" t="s">
        <v>370</v>
      </c>
      <c r="E111" s="80" t="s">
        <v>371</v>
      </c>
      <c r="F111" s="81" t="s">
        <v>10</v>
      </c>
      <c r="G111" s="89" t="s">
        <v>372</v>
      </c>
      <c r="H111" s="81" t="s">
        <v>373</v>
      </c>
      <c r="I111" s="81" t="s">
        <v>80</v>
      </c>
      <c r="J111" s="81" t="s">
        <v>79</v>
      </c>
      <c r="K111" s="81" t="s">
        <v>80</v>
      </c>
      <c r="L111" s="81" t="s">
        <v>81</v>
      </c>
      <c r="M111" s="88"/>
      <c r="N111" s="88"/>
      <c r="O111" s="88"/>
      <c r="P111" s="88"/>
      <c r="Q111" s="88"/>
      <c r="R111" s="88"/>
      <c r="S111" s="88"/>
      <c r="T111" s="88"/>
      <c r="U111" s="88"/>
      <c r="V111" s="88"/>
      <c r="W111" s="88"/>
      <c r="X111" s="88"/>
      <c r="Y111" s="88"/>
    </row>
    <row r="112" spans="1:25" ht="38.25" x14ac:dyDescent="0.2">
      <c r="A112" s="83">
        <v>37105</v>
      </c>
      <c r="B112" s="81" t="s">
        <v>82</v>
      </c>
      <c r="C112" s="81" t="s">
        <v>20</v>
      </c>
      <c r="D112" s="81" t="s">
        <v>82</v>
      </c>
      <c r="E112" s="81" t="s">
        <v>83</v>
      </c>
      <c r="F112" s="81" t="s">
        <v>30</v>
      </c>
      <c r="G112" s="89" t="s">
        <v>353</v>
      </c>
      <c r="H112" s="89" t="s">
        <v>354</v>
      </c>
      <c r="I112" s="81" t="s">
        <v>80</v>
      </c>
      <c r="J112" s="81" t="s">
        <v>79</v>
      </c>
      <c r="K112" s="81" t="s">
        <v>80</v>
      </c>
      <c r="L112" s="81" t="s">
        <v>81</v>
      </c>
      <c r="M112" s="88"/>
      <c r="N112" s="88"/>
      <c r="O112" s="88"/>
      <c r="P112" s="88"/>
      <c r="Q112" s="88"/>
      <c r="R112" s="88"/>
      <c r="S112" s="88"/>
      <c r="T112" s="88"/>
      <c r="U112" s="88"/>
      <c r="V112" s="88"/>
      <c r="W112" s="88"/>
      <c r="X112" s="88"/>
      <c r="Y112" s="88"/>
    </row>
    <row r="113" spans="1:25" ht="63.75" x14ac:dyDescent="0.2">
      <c r="A113" s="83">
        <v>37105</v>
      </c>
      <c r="B113" s="89" t="s">
        <v>355</v>
      </c>
      <c r="C113" s="81" t="s">
        <v>272</v>
      </c>
      <c r="D113" s="81" t="s">
        <v>220</v>
      </c>
      <c r="E113" s="81" t="s">
        <v>201</v>
      </c>
      <c r="F113" s="81" t="s">
        <v>30</v>
      </c>
      <c r="G113" s="89" t="s">
        <v>356</v>
      </c>
      <c r="H113" s="89" t="s">
        <v>357</v>
      </c>
      <c r="I113" s="81" t="s">
        <v>80</v>
      </c>
      <c r="J113" s="81" t="s">
        <v>79</v>
      </c>
      <c r="K113" s="81" t="s">
        <v>80</v>
      </c>
      <c r="L113" s="81" t="s">
        <v>81</v>
      </c>
      <c r="M113" s="88"/>
      <c r="N113" s="88"/>
      <c r="O113" s="88"/>
      <c r="P113" s="88"/>
      <c r="Q113" s="88"/>
      <c r="R113" s="88"/>
      <c r="S113" s="88"/>
      <c r="T113" s="88"/>
      <c r="U113" s="88"/>
      <c r="V113" s="88"/>
      <c r="W113" s="88"/>
      <c r="X113" s="88"/>
      <c r="Y113" s="88"/>
    </row>
    <row r="114" spans="1:25" ht="51" x14ac:dyDescent="0.2">
      <c r="A114" s="83">
        <v>37102</v>
      </c>
      <c r="B114" s="81" t="s">
        <v>358</v>
      </c>
      <c r="C114" s="81" t="s">
        <v>272</v>
      </c>
      <c r="D114" s="81" t="s">
        <v>359</v>
      </c>
      <c r="E114" s="81" t="s">
        <v>221</v>
      </c>
      <c r="F114" s="81" t="s">
        <v>12</v>
      </c>
      <c r="G114" s="89" t="s">
        <v>360</v>
      </c>
      <c r="H114" s="89" t="s">
        <v>293</v>
      </c>
      <c r="I114" s="81" t="s">
        <v>79</v>
      </c>
      <c r="J114" s="81" t="s">
        <v>80</v>
      </c>
      <c r="K114" s="81" t="s">
        <v>80</v>
      </c>
      <c r="L114" s="81" t="s">
        <v>81</v>
      </c>
      <c r="M114" s="88"/>
      <c r="N114" s="88"/>
      <c r="O114" s="88"/>
      <c r="P114" s="88"/>
      <c r="Q114" s="88"/>
      <c r="R114" s="88"/>
      <c r="S114" s="88"/>
      <c r="T114" s="88"/>
      <c r="U114" s="88"/>
      <c r="V114" s="88"/>
      <c r="W114" s="88"/>
      <c r="X114" s="88"/>
      <c r="Y114" s="88"/>
    </row>
    <row r="115" spans="1:25" ht="76.5" x14ac:dyDescent="0.2">
      <c r="A115" s="83">
        <v>37099</v>
      </c>
      <c r="B115" s="89" t="s">
        <v>335</v>
      </c>
      <c r="C115" s="81" t="s">
        <v>19</v>
      </c>
      <c r="D115" s="81" t="s">
        <v>336</v>
      </c>
      <c r="E115" s="81" t="s">
        <v>337</v>
      </c>
      <c r="F115" s="81" t="s">
        <v>30</v>
      </c>
      <c r="G115" s="89" t="s">
        <v>338</v>
      </c>
      <c r="H115" s="89" t="s">
        <v>339</v>
      </c>
      <c r="I115" s="81" t="s">
        <v>80</v>
      </c>
      <c r="J115" s="81" t="s">
        <v>79</v>
      </c>
      <c r="K115" s="81" t="s">
        <v>80</v>
      </c>
      <c r="L115" s="81" t="s">
        <v>81</v>
      </c>
      <c r="M115" s="88"/>
      <c r="N115" s="88"/>
      <c r="O115" s="88"/>
      <c r="P115" s="88"/>
      <c r="Q115" s="88"/>
      <c r="R115" s="88"/>
      <c r="S115" s="88"/>
      <c r="T115" s="88"/>
      <c r="U115" s="88"/>
      <c r="V115" s="88"/>
      <c r="W115" s="88"/>
      <c r="X115" s="88"/>
      <c r="Y115" s="88"/>
    </row>
    <row r="116" spans="1:25" ht="63.75" x14ac:dyDescent="0.2">
      <c r="A116" s="83">
        <v>37099</v>
      </c>
      <c r="B116" s="81" t="s">
        <v>208</v>
      </c>
      <c r="C116" s="81" t="s">
        <v>20</v>
      </c>
      <c r="D116" s="81" t="s">
        <v>340</v>
      </c>
      <c r="E116" s="81" t="s">
        <v>83</v>
      </c>
      <c r="F116" s="81" t="s">
        <v>84</v>
      </c>
      <c r="G116" s="89" t="s">
        <v>341</v>
      </c>
      <c r="H116" s="89" t="s">
        <v>342</v>
      </c>
      <c r="I116" s="81" t="s">
        <v>79</v>
      </c>
      <c r="J116" s="81" t="s">
        <v>79</v>
      </c>
      <c r="K116" s="81" t="s">
        <v>79</v>
      </c>
      <c r="L116" s="81" t="s">
        <v>81</v>
      </c>
      <c r="M116" s="88"/>
      <c r="N116" s="88"/>
      <c r="O116" s="88"/>
      <c r="P116" s="88"/>
      <c r="Q116" s="88"/>
      <c r="R116" s="88"/>
      <c r="S116" s="88"/>
      <c r="T116" s="88"/>
      <c r="U116" s="88"/>
      <c r="V116" s="88"/>
      <c r="W116" s="88"/>
      <c r="X116" s="88"/>
      <c r="Y116" s="88"/>
    </row>
    <row r="117" spans="1:25" ht="38.25" x14ac:dyDescent="0.2">
      <c r="A117" s="83">
        <v>37095</v>
      </c>
      <c r="B117" s="81" t="s">
        <v>323</v>
      </c>
      <c r="C117" s="81" t="s">
        <v>272</v>
      </c>
      <c r="D117" s="81" t="s">
        <v>324</v>
      </c>
      <c r="E117" s="81" t="s">
        <v>325</v>
      </c>
      <c r="F117" s="81" t="s">
        <v>10</v>
      </c>
      <c r="G117" s="89" t="s">
        <v>326</v>
      </c>
      <c r="H117" s="89" t="s">
        <v>343</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37092</v>
      </c>
      <c r="B118" s="81" t="s">
        <v>323</v>
      </c>
      <c r="C118" s="81" t="s">
        <v>272</v>
      </c>
      <c r="D118" s="81" t="s">
        <v>324</v>
      </c>
      <c r="E118" s="81" t="s">
        <v>325</v>
      </c>
      <c r="F118" s="81" t="s">
        <v>10</v>
      </c>
      <c r="G118" s="89" t="s">
        <v>326</v>
      </c>
      <c r="H118" s="89" t="s">
        <v>327</v>
      </c>
      <c r="I118" s="81" t="s">
        <v>80</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37092</v>
      </c>
      <c r="B119" s="81" t="s">
        <v>328</v>
      </c>
      <c r="C119" s="81" t="s">
        <v>23</v>
      </c>
      <c r="D119" s="81" t="s">
        <v>329</v>
      </c>
      <c r="E119" s="81" t="s">
        <v>241</v>
      </c>
      <c r="F119" s="81" t="s">
        <v>10</v>
      </c>
      <c r="G119" s="89" t="s">
        <v>330</v>
      </c>
      <c r="H119" s="81" t="s">
        <v>299</v>
      </c>
      <c r="I119" s="81" t="s">
        <v>80</v>
      </c>
      <c r="J119" s="81" t="s">
        <v>79</v>
      </c>
      <c r="K119" s="81" t="s">
        <v>79</v>
      </c>
      <c r="L119" s="81" t="s">
        <v>81</v>
      </c>
      <c r="M119" s="88"/>
      <c r="N119" s="88"/>
      <c r="O119" s="88"/>
      <c r="P119" s="88"/>
      <c r="Q119" s="88"/>
      <c r="R119" s="88"/>
      <c r="S119" s="88"/>
      <c r="T119" s="88"/>
      <c r="U119" s="88"/>
      <c r="V119" s="88"/>
      <c r="W119" s="88"/>
      <c r="X119" s="88"/>
      <c r="Y119" s="88"/>
    </row>
    <row r="120" spans="1:25" ht="38.25" x14ac:dyDescent="0.2">
      <c r="A120" s="83">
        <v>37090</v>
      </c>
      <c r="B120" s="81" t="s">
        <v>87</v>
      </c>
      <c r="C120" s="81" t="s">
        <v>20</v>
      </c>
      <c r="D120" s="81" t="s">
        <v>87</v>
      </c>
      <c r="E120" s="81" t="s">
        <v>83</v>
      </c>
      <c r="F120" s="81" t="s">
        <v>84</v>
      </c>
      <c r="G120" s="89" t="s">
        <v>331</v>
      </c>
      <c r="H120" s="81" t="s">
        <v>293</v>
      </c>
      <c r="I120" s="81" t="s">
        <v>79</v>
      </c>
      <c r="J120" s="81" t="s">
        <v>79</v>
      </c>
      <c r="K120" s="81" t="s">
        <v>79</v>
      </c>
      <c r="L120" s="81" t="s">
        <v>81</v>
      </c>
      <c r="M120" s="88"/>
      <c r="N120" s="88"/>
      <c r="O120" s="88"/>
      <c r="P120" s="88"/>
      <c r="Q120" s="88"/>
      <c r="R120" s="88"/>
      <c r="S120" s="88"/>
      <c r="T120" s="88"/>
      <c r="U120" s="88"/>
      <c r="V120" s="88"/>
      <c r="W120" s="88"/>
      <c r="X120" s="88"/>
      <c r="Y120" s="88"/>
    </row>
    <row r="121" spans="1:25" ht="76.5" x14ac:dyDescent="0.2">
      <c r="A121" s="83">
        <v>37081</v>
      </c>
      <c r="B121" s="81" t="s">
        <v>172</v>
      </c>
      <c r="C121" s="81" t="s">
        <v>20</v>
      </c>
      <c r="D121" s="81" t="s">
        <v>234</v>
      </c>
      <c r="E121" s="81" t="s">
        <v>83</v>
      </c>
      <c r="F121" s="81" t="s">
        <v>12</v>
      </c>
      <c r="G121" s="89" t="s">
        <v>311</v>
      </c>
      <c r="H121" s="89" t="s">
        <v>312</v>
      </c>
      <c r="I121" s="81" t="s">
        <v>80</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37081</v>
      </c>
      <c r="B122" s="81" t="s">
        <v>313</v>
      </c>
      <c r="C122" s="81" t="s">
        <v>272</v>
      </c>
      <c r="D122" s="81" t="s">
        <v>314</v>
      </c>
      <c r="E122" s="81" t="s">
        <v>286</v>
      </c>
      <c r="F122" s="81" t="s">
        <v>10</v>
      </c>
      <c r="G122" s="89" t="s">
        <v>315</v>
      </c>
      <c r="H122" s="81" t="s">
        <v>316</v>
      </c>
      <c r="I122" s="81" t="s">
        <v>80</v>
      </c>
      <c r="J122" s="81" t="s">
        <v>79</v>
      </c>
      <c r="K122" s="81" t="s">
        <v>79</v>
      </c>
      <c r="L122" s="81" t="s">
        <v>81</v>
      </c>
      <c r="M122" s="88"/>
      <c r="N122" s="88"/>
      <c r="O122" s="88"/>
      <c r="P122" s="88"/>
      <c r="Q122" s="88"/>
      <c r="R122" s="88"/>
      <c r="S122" s="88"/>
      <c r="T122" s="88"/>
      <c r="U122" s="88"/>
      <c r="V122" s="88"/>
      <c r="W122" s="88"/>
      <c r="X122" s="88"/>
      <c r="Y122" s="88"/>
    </row>
    <row r="123" spans="1:25" ht="51" x14ac:dyDescent="0.2">
      <c r="A123" s="83">
        <v>37074</v>
      </c>
      <c r="B123" s="81" t="s">
        <v>294</v>
      </c>
      <c r="C123" s="81" t="s">
        <v>20</v>
      </c>
      <c r="D123" s="81" t="s">
        <v>100</v>
      </c>
      <c r="E123" s="81" t="s">
        <v>83</v>
      </c>
      <c r="F123" s="81" t="s">
        <v>12</v>
      </c>
      <c r="G123" s="89" t="s">
        <v>295</v>
      </c>
      <c r="H123" s="89" t="s">
        <v>296</v>
      </c>
      <c r="I123" s="81" t="s">
        <v>80</v>
      </c>
      <c r="J123" s="81" t="s">
        <v>80</v>
      </c>
      <c r="K123" s="81" t="s">
        <v>80</v>
      </c>
      <c r="L123" s="81" t="s">
        <v>81</v>
      </c>
    </row>
    <row r="124" spans="1:25" x14ac:dyDescent="0.2">
      <c r="A124" s="83">
        <v>37074</v>
      </c>
      <c r="B124" s="81" t="s">
        <v>167</v>
      </c>
      <c r="C124" s="81" t="s">
        <v>297</v>
      </c>
      <c r="D124" s="81" t="s">
        <v>298</v>
      </c>
      <c r="E124" s="81" t="s">
        <v>169</v>
      </c>
      <c r="F124" s="81" t="s">
        <v>30</v>
      </c>
      <c r="G124" s="89" t="s">
        <v>299</v>
      </c>
      <c r="H124" s="89"/>
      <c r="I124" s="81"/>
      <c r="J124" s="81"/>
      <c r="K124" s="81"/>
      <c r="L124" s="81" t="s">
        <v>81</v>
      </c>
    </row>
    <row r="125" spans="1:25" ht="25.5" x14ac:dyDescent="0.2">
      <c r="A125" s="83">
        <v>37071</v>
      </c>
      <c r="B125" s="81" t="s">
        <v>262</v>
      </c>
      <c r="C125" s="81" t="s">
        <v>20</v>
      </c>
      <c r="D125" s="81" t="s">
        <v>262</v>
      </c>
      <c r="E125" s="81" t="s">
        <v>83</v>
      </c>
      <c r="F125" s="81" t="s">
        <v>14</v>
      </c>
      <c r="G125" s="89" t="s">
        <v>263</v>
      </c>
      <c r="H125" s="89" t="s">
        <v>264</v>
      </c>
      <c r="I125" s="81" t="s">
        <v>80</v>
      </c>
      <c r="J125" s="81" t="s">
        <v>79</v>
      </c>
      <c r="K125" s="81" t="s">
        <v>80</v>
      </c>
      <c r="L125" s="81" t="s">
        <v>81</v>
      </c>
    </row>
    <row r="126" spans="1:25" ht="38.25" x14ac:dyDescent="0.2">
      <c r="A126" s="83">
        <v>37069</v>
      </c>
      <c r="B126" s="81" t="s">
        <v>265</v>
      </c>
      <c r="C126" s="81"/>
      <c r="D126" s="81"/>
      <c r="E126" s="81"/>
      <c r="F126" s="81"/>
      <c r="G126" s="89" t="s">
        <v>266</v>
      </c>
      <c r="H126" s="89" t="s">
        <v>267</v>
      </c>
      <c r="I126" s="81" t="s">
        <v>80</v>
      </c>
      <c r="J126" s="81" t="s">
        <v>79</v>
      </c>
      <c r="K126" s="81" t="s">
        <v>80</v>
      </c>
      <c r="L126" s="81" t="s">
        <v>81</v>
      </c>
    </row>
    <row r="127" spans="1:25" ht="76.5" x14ac:dyDescent="0.2">
      <c r="A127" s="83">
        <v>37069</v>
      </c>
      <c r="B127" s="81" t="s">
        <v>268</v>
      </c>
      <c r="C127" s="81" t="s">
        <v>20</v>
      </c>
      <c r="D127" s="81" t="s">
        <v>268</v>
      </c>
      <c r="E127" s="81" t="s">
        <v>83</v>
      </c>
      <c r="F127" s="81" t="s">
        <v>14</v>
      </c>
      <c r="G127" s="89" t="s">
        <v>269</v>
      </c>
      <c r="H127" s="89" t="s">
        <v>270</v>
      </c>
      <c r="I127" s="81" t="s">
        <v>80</v>
      </c>
      <c r="J127" s="81" t="s">
        <v>79</v>
      </c>
      <c r="K127" s="81" t="s">
        <v>80</v>
      </c>
      <c r="L127" s="81" t="s">
        <v>81</v>
      </c>
    </row>
    <row r="128" spans="1:25" ht="51" x14ac:dyDescent="0.2">
      <c r="A128" s="83">
        <v>37069</v>
      </c>
      <c r="B128" s="89" t="s">
        <v>271</v>
      </c>
      <c r="C128" s="81" t="s">
        <v>272</v>
      </c>
      <c r="D128" s="81" t="s">
        <v>273</v>
      </c>
      <c r="E128" s="81" t="s">
        <v>146</v>
      </c>
      <c r="F128" s="81" t="s">
        <v>14</v>
      </c>
      <c r="G128" s="89" t="s">
        <v>274</v>
      </c>
      <c r="H128" s="89" t="s">
        <v>275</v>
      </c>
      <c r="I128" s="81" t="s">
        <v>80</v>
      </c>
      <c r="J128" s="81" t="s">
        <v>79</v>
      </c>
      <c r="K128" s="81" t="s">
        <v>80</v>
      </c>
      <c r="L128" s="81" t="s">
        <v>81</v>
      </c>
    </row>
    <row r="129" spans="1:12" ht="38.25" x14ac:dyDescent="0.2">
      <c r="A129" s="83">
        <v>37069</v>
      </c>
      <c r="B129" s="81" t="s">
        <v>276</v>
      </c>
      <c r="C129" s="81" t="s">
        <v>23</v>
      </c>
      <c r="D129" s="81" t="s">
        <v>240</v>
      </c>
      <c r="E129" s="81" t="s">
        <v>241</v>
      </c>
      <c r="F129" s="81" t="s">
        <v>12</v>
      </c>
      <c r="G129" s="89" t="s">
        <v>277</v>
      </c>
      <c r="H129" s="89" t="s">
        <v>278</v>
      </c>
      <c r="I129" s="81" t="s">
        <v>79</v>
      </c>
      <c r="J129" s="81" t="s">
        <v>79</v>
      </c>
      <c r="K129" s="81" t="s">
        <v>79</v>
      </c>
      <c r="L129" s="81" t="s">
        <v>81</v>
      </c>
    </row>
    <row r="130" spans="1:12" ht="102" x14ac:dyDescent="0.2">
      <c r="A130" s="83">
        <v>37068</v>
      </c>
      <c r="B130" s="81" t="s">
        <v>279</v>
      </c>
      <c r="C130" s="81"/>
      <c r="D130" s="81"/>
      <c r="E130" s="81"/>
      <c r="F130" s="81" t="s">
        <v>12</v>
      </c>
      <c r="G130" s="89" t="s">
        <v>280</v>
      </c>
      <c r="H130" s="89" t="s">
        <v>281</v>
      </c>
      <c r="I130" s="81" t="s">
        <v>79</v>
      </c>
      <c r="J130" s="81" t="s">
        <v>80</v>
      </c>
      <c r="K130" s="81" t="s">
        <v>80</v>
      </c>
      <c r="L130" s="81" t="s">
        <v>81</v>
      </c>
    </row>
    <row r="131" spans="1:12" ht="38.25" x14ac:dyDescent="0.2">
      <c r="A131" s="83">
        <v>37064</v>
      </c>
      <c r="B131" s="81" t="s">
        <v>172</v>
      </c>
      <c r="C131" s="81" t="s">
        <v>20</v>
      </c>
      <c r="D131" s="81" t="s">
        <v>234</v>
      </c>
      <c r="E131" s="81" t="s">
        <v>83</v>
      </c>
      <c r="F131" s="81" t="s">
        <v>84</v>
      </c>
      <c r="G131" s="45" t="s">
        <v>235</v>
      </c>
      <c r="H131" s="81" t="s">
        <v>236</v>
      </c>
      <c r="I131" s="81" t="s">
        <v>79</v>
      </c>
      <c r="J131" s="81" t="s">
        <v>79</v>
      </c>
      <c r="K131" s="81" t="s">
        <v>79</v>
      </c>
      <c r="L131" s="81" t="s">
        <v>81</v>
      </c>
    </row>
    <row r="132" spans="1:12" ht="63.75" x14ac:dyDescent="0.2">
      <c r="A132" s="83">
        <v>37064</v>
      </c>
      <c r="B132" s="81" t="s">
        <v>87</v>
      </c>
      <c r="C132" s="81" t="s">
        <v>20</v>
      </c>
      <c r="D132" s="81" t="s">
        <v>87</v>
      </c>
      <c r="E132" s="81" t="s">
        <v>83</v>
      </c>
      <c r="F132" s="81" t="s">
        <v>84</v>
      </c>
      <c r="G132" s="45" t="s">
        <v>237</v>
      </c>
      <c r="H132" s="45" t="s">
        <v>238</v>
      </c>
      <c r="I132" s="81" t="s">
        <v>79</v>
      </c>
      <c r="J132" s="81" t="s">
        <v>79</v>
      </c>
      <c r="K132" s="81" t="s">
        <v>80</v>
      </c>
      <c r="L132" s="81" t="s">
        <v>81</v>
      </c>
    </row>
    <row r="133" spans="1:12" ht="76.5" x14ac:dyDescent="0.2">
      <c r="A133" s="83">
        <v>37064</v>
      </c>
      <c r="B133" s="45" t="s">
        <v>239</v>
      </c>
      <c r="C133" s="81" t="s">
        <v>23</v>
      </c>
      <c r="D133" s="81" t="s">
        <v>240</v>
      </c>
      <c r="E133" s="81" t="s">
        <v>241</v>
      </c>
      <c r="F133" s="81" t="s">
        <v>30</v>
      </c>
      <c r="G133" s="45" t="s">
        <v>242</v>
      </c>
      <c r="H133" s="81" t="s">
        <v>243</v>
      </c>
      <c r="I133" s="81" t="s">
        <v>79</v>
      </c>
      <c r="J133" s="81" t="s">
        <v>79</v>
      </c>
      <c r="K133" s="81" t="s">
        <v>79</v>
      </c>
      <c r="L133" s="81" t="s">
        <v>81</v>
      </c>
    </row>
    <row r="134" spans="1:12" ht="63.75" x14ac:dyDescent="0.2">
      <c r="A134" s="83">
        <v>37063</v>
      </c>
      <c r="B134" s="81" t="s">
        <v>244</v>
      </c>
      <c r="C134" s="81"/>
      <c r="D134" s="81"/>
      <c r="E134" s="81"/>
      <c r="F134" s="81" t="s">
        <v>14</v>
      </c>
      <c r="G134" s="45" t="s">
        <v>245</v>
      </c>
      <c r="H134" s="45" t="s">
        <v>246</v>
      </c>
      <c r="I134" s="81" t="s">
        <v>80</v>
      </c>
      <c r="J134" s="81" t="s">
        <v>79</v>
      </c>
      <c r="K134" s="81" t="s">
        <v>80</v>
      </c>
      <c r="L134" s="81" t="s">
        <v>81</v>
      </c>
    </row>
    <row r="135" spans="1:12" ht="54.75" customHeight="1" x14ac:dyDescent="0.2">
      <c r="A135" s="83">
        <v>37063</v>
      </c>
      <c r="B135" s="81" t="s">
        <v>247</v>
      </c>
      <c r="C135" s="81" t="s">
        <v>23</v>
      </c>
      <c r="D135" s="81"/>
      <c r="E135" s="81" t="s">
        <v>241</v>
      </c>
      <c r="F135" s="81" t="s">
        <v>14</v>
      </c>
      <c r="G135" s="45" t="s">
        <v>248</v>
      </c>
      <c r="H135" s="45" t="s">
        <v>249</v>
      </c>
      <c r="I135" s="81" t="s">
        <v>80</v>
      </c>
      <c r="J135" s="81" t="s">
        <v>79</v>
      </c>
      <c r="K135" s="81" t="s">
        <v>79</v>
      </c>
      <c r="L135" s="81" t="s">
        <v>81</v>
      </c>
    </row>
    <row r="136" spans="1:12" ht="38.25" x14ac:dyDescent="0.2">
      <c r="A136" s="83">
        <v>37063</v>
      </c>
      <c r="B136" s="81" t="s">
        <v>87</v>
      </c>
      <c r="C136" s="81" t="s">
        <v>20</v>
      </c>
      <c r="D136" s="81" t="s">
        <v>87</v>
      </c>
      <c r="E136" s="81" t="s">
        <v>83</v>
      </c>
      <c r="F136" s="81" t="s">
        <v>12</v>
      </c>
      <c r="G136" s="45" t="s">
        <v>250</v>
      </c>
      <c r="H136" s="45" t="s">
        <v>251</v>
      </c>
      <c r="I136" s="81" t="s">
        <v>79</v>
      </c>
      <c r="J136" s="81" t="s">
        <v>79</v>
      </c>
      <c r="K136" s="81" t="s">
        <v>79</v>
      </c>
      <c r="L136" s="81" t="s">
        <v>81</v>
      </c>
    </row>
    <row r="137" spans="1:12" ht="51" x14ac:dyDescent="0.2">
      <c r="A137" s="83">
        <v>37060</v>
      </c>
      <c r="B137" s="81" t="s">
        <v>259</v>
      </c>
      <c r="C137" s="81" t="s">
        <v>20</v>
      </c>
      <c r="D137" s="81" t="s">
        <v>234</v>
      </c>
      <c r="E137" s="81" t="s">
        <v>83</v>
      </c>
      <c r="F137" s="81" t="s">
        <v>84</v>
      </c>
      <c r="G137" s="45" t="s">
        <v>260</v>
      </c>
      <c r="H137" s="45" t="s">
        <v>261</v>
      </c>
      <c r="I137" s="81" t="s">
        <v>79</v>
      </c>
      <c r="J137" s="81" t="s">
        <v>79</v>
      </c>
      <c r="K137" s="81" t="s">
        <v>79</v>
      </c>
      <c r="L137" s="81" t="s">
        <v>81</v>
      </c>
    </row>
    <row r="138" spans="1:12" ht="54" customHeight="1" x14ac:dyDescent="0.2">
      <c r="A138" s="83">
        <v>37057</v>
      </c>
      <c r="B138" s="81" t="s">
        <v>195</v>
      </c>
      <c r="C138" s="81" t="s">
        <v>196</v>
      </c>
      <c r="D138" s="81" t="s">
        <v>197</v>
      </c>
      <c r="E138" s="81"/>
      <c r="F138" s="81" t="s">
        <v>151</v>
      </c>
      <c r="G138" s="45" t="s">
        <v>198</v>
      </c>
      <c r="H138" s="45" t="s">
        <v>199</v>
      </c>
      <c r="I138" s="81" t="s">
        <v>79</v>
      </c>
      <c r="J138" s="81" t="s">
        <v>79</v>
      </c>
      <c r="K138" s="81" t="s">
        <v>79</v>
      </c>
      <c r="L138" s="81" t="s">
        <v>81</v>
      </c>
    </row>
    <row r="139" spans="1:12" ht="42" customHeight="1" x14ac:dyDescent="0.2">
      <c r="A139" s="83">
        <v>37057</v>
      </c>
      <c r="B139" s="81" t="s">
        <v>204</v>
      </c>
      <c r="C139" s="81" t="s">
        <v>20</v>
      </c>
      <c r="D139" s="81" t="s">
        <v>205</v>
      </c>
      <c r="E139" s="81" t="s">
        <v>83</v>
      </c>
      <c r="F139" s="81" t="s">
        <v>84</v>
      </c>
      <c r="G139" s="45" t="s">
        <v>206</v>
      </c>
      <c r="H139" s="45" t="s">
        <v>207</v>
      </c>
      <c r="I139" s="81" t="s">
        <v>79</v>
      </c>
      <c r="J139" s="81" t="s">
        <v>79</v>
      </c>
      <c r="K139" s="81" t="s">
        <v>79</v>
      </c>
      <c r="L139" s="81" t="s">
        <v>81</v>
      </c>
    </row>
    <row r="140" spans="1:12" ht="42" customHeight="1" x14ac:dyDescent="0.2">
      <c r="A140" s="83">
        <v>37057</v>
      </c>
      <c r="B140" s="81" t="s">
        <v>208</v>
      </c>
      <c r="C140" s="81" t="s">
        <v>20</v>
      </c>
      <c r="D140" s="81" t="s">
        <v>205</v>
      </c>
      <c r="E140" s="81" t="s">
        <v>83</v>
      </c>
      <c r="F140" s="81" t="s">
        <v>84</v>
      </c>
      <c r="G140" s="45" t="s">
        <v>209</v>
      </c>
      <c r="H140" s="45" t="s">
        <v>207</v>
      </c>
      <c r="I140" s="81" t="s">
        <v>79</v>
      </c>
      <c r="J140" s="81" t="s">
        <v>79</v>
      </c>
      <c r="K140" s="81" t="s">
        <v>79</v>
      </c>
      <c r="L140" s="81" t="s">
        <v>81</v>
      </c>
    </row>
    <row r="141" spans="1:12" ht="76.5" x14ac:dyDescent="0.2">
      <c r="A141" s="75">
        <v>37056</v>
      </c>
      <c r="B141" s="81" t="s">
        <v>215</v>
      </c>
      <c r="C141" s="81" t="s">
        <v>20</v>
      </c>
      <c r="D141" s="81" t="s">
        <v>82</v>
      </c>
      <c r="E141" s="81" t="s">
        <v>83</v>
      </c>
      <c r="F141" s="81" t="s">
        <v>8</v>
      </c>
      <c r="G141" s="45" t="s">
        <v>216</v>
      </c>
      <c r="H141" s="45" t="s">
        <v>217</v>
      </c>
      <c r="I141" s="81" t="s">
        <v>80</v>
      </c>
      <c r="J141" s="81" t="s">
        <v>79</v>
      </c>
      <c r="K141" s="81" t="s">
        <v>79</v>
      </c>
      <c r="L141" s="81" t="s">
        <v>81</v>
      </c>
    </row>
    <row r="142" spans="1:12" ht="76.5" x14ac:dyDescent="0.2">
      <c r="A142" s="75">
        <v>37053</v>
      </c>
      <c r="B142" s="81" t="s">
        <v>195</v>
      </c>
      <c r="C142" s="81" t="s">
        <v>219</v>
      </c>
      <c r="D142" s="81" t="s">
        <v>220</v>
      </c>
      <c r="E142" s="81" t="s">
        <v>221</v>
      </c>
      <c r="F142" s="81" t="s">
        <v>222</v>
      </c>
      <c r="G142" s="45" t="s">
        <v>223</v>
      </c>
      <c r="H142" s="45" t="s">
        <v>224</v>
      </c>
      <c r="I142" s="81" t="s">
        <v>79</v>
      </c>
      <c r="J142" s="81" t="s">
        <v>79</v>
      </c>
      <c r="K142" s="81" t="s">
        <v>79</v>
      </c>
      <c r="L142" s="81" t="s">
        <v>81</v>
      </c>
    </row>
    <row r="143" spans="1:12" ht="38.25" x14ac:dyDescent="0.2">
      <c r="A143" s="75">
        <v>37050</v>
      </c>
      <c r="B143" s="81" t="s">
        <v>167</v>
      </c>
      <c r="C143" s="81" t="s">
        <v>20</v>
      </c>
      <c r="D143" s="81" t="s">
        <v>168</v>
      </c>
      <c r="E143" s="81" t="s">
        <v>169</v>
      </c>
      <c r="F143" s="81" t="s">
        <v>10</v>
      </c>
      <c r="G143" s="45" t="s">
        <v>170</v>
      </c>
      <c r="H143" s="45" t="s">
        <v>171</v>
      </c>
      <c r="I143" s="81" t="s">
        <v>79</v>
      </c>
      <c r="J143" s="81" t="s">
        <v>79</v>
      </c>
      <c r="K143" s="81" t="s">
        <v>79</v>
      </c>
      <c r="L143" s="81" t="s">
        <v>81</v>
      </c>
    </row>
    <row r="144" spans="1:12" ht="51" x14ac:dyDescent="0.2">
      <c r="A144" s="75">
        <v>37049</v>
      </c>
      <c r="B144" s="81" t="s">
        <v>172</v>
      </c>
      <c r="C144" s="81" t="s">
        <v>20</v>
      </c>
      <c r="D144" s="81" t="s">
        <v>82</v>
      </c>
      <c r="E144" s="81" t="s">
        <v>83</v>
      </c>
      <c r="F144" s="81" t="s">
        <v>12</v>
      </c>
      <c r="G144" s="45" t="s">
        <v>173</v>
      </c>
      <c r="H144" s="45" t="s">
        <v>174</v>
      </c>
      <c r="I144" s="81" t="s">
        <v>80</v>
      </c>
      <c r="J144" s="81" t="s">
        <v>79</v>
      </c>
      <c r="K144" s="81" t="s">
        <v>79</v>
      </c>
      <c r="L144" s="81" t="s">
        <v>81</v>
      </c>
    </row>
    <row r="145" spans="1:12" ht="38.25" x14ac:dyDescent="0.2">
      <c r="A145" s="75">
        <v>37049</v>
      </c>
      <c r="B145" s="81" t="s">
        <v>82</v>
      </c>
      <c r="C145" s="81" t="s">
        <v>20</v>
      </c>
      <c r="D145" s="81" t="s">
        <v>82</v>
      </c>
      <c r="E145" s="81" t="s">
        <v>83</v>
      </c>
      <c r="F145" s="81" t="s">
        <v>12</v>
      </c>
      <c r="G145" s="45" t="s">
        <v>176</v>
      </c>
      <c r="H145" s="45" t="s">
        <v>177</v>
      </c>
      <c r="I145" s="81" t="s">
        <v>80</v>
      </c>
      <c r="J145" s="81" t="s">
        <v>80</v>
      </c>
      <c r="K145" s="81" t="s">
        <v>80</v>
      </c>
      <c r="L145" s="81" t="s">
        <v>81</v>
      </c>
    </row>
    <row r="146" spans="1:12" ht="102" x14ac:dyDescent="0.2">
      <c r="A146" s="75">
        <v>37046</v>
      </c>
      <c r="B146" s="45" t="s">
        <v>182</v>
      </c>
      <c r="C146" s="46"/>
      <c r="D146" s="45"/>
      <c r="E146" s="20" t="s">
        <v>183</v>
      </c>
      <c r="F146" s="46" t="s">
        <v>14</v>
      </c>
      <c r="G146" s="45" t="s">
        <v>184</v>
      </c>
      <c r="H146" s="45" t="s">
        <v>185</v>
      </c>
      <c r="I146" s="81" t="s">
        <v>80</v>
      </c>
      <c r="J146" s="81" t="s">
        <v>80</v>
      </c>
      <c r="K146" s="81" t="s">
        <v>80</v>
      </c>
      <c r="L146" s="81" t="s">
        <v>81</v>
      </c>
    </row>
    <row r="147" spans="1:12" x14ac:dyDescent="0.2">
      <c r="A147" s="75">
        <v>37043</v>
      </c>
      <c r="B147" s="45" t="s">
        <v>74</v>
      </c>
      <c r="C147" s="46" t="s">
        <v>24</v>
      </c>
      <c r="D147" s="45" t="s">
        <v>75</v>
      </c>
      <c r="E147" s="20" t="s">
        <v>76</v>
      </c>
      <c r="F147" s="46" t="s">
        <v>12</v>
      </c>
      <c r="G147" s="81" t="s">
        <v>77</v>
      </c>
      <c r="H147" s="81" t="s">
        <v>78</v>
      </c>
      <c r="I147" s="81" t="s">
        <v>79</v>
      </c>
      <c r="J147" s="81" t="s">
        <v>80</v>
      </c>
      <c r="K147" s="81" t="s">
        <v>80</v>
      </c>
      <c r="L147" s="81" t="s">
        <v>81</v>
      </c>
    </row>
    <row r="148" spans="1:12" ht="51" x14ac:dyDescent="0.2">
      <c r="A148" s="82">
        <v>37043</v>
      </c>
      <c r="B148" s="45" t="s">
        <v>87</v>
      </c>
      <c r="C148" s="46" t="s">
        <v>20</v>
      </c>
      <c r="D148" s="45" t="s">
        <v>87</v>
      </c>
      <c r="E148" s="20" t="s">
        <v>83</v>
      </c>
      <c r="F148" s="46" t="s">
        <v>10</v>
      </c>
      <c r="G148" s="45" t="s">
        <v>88</v>
      </c>
      <c r="H148" s="20" t="s">
        <v>89</v>
      </c>
      <c r="I148" s="81" t="s">
        <v>80</v>
      </c>
      <c r="J148" s="81" t="s">
        <v>79</v>
      </c>
      <c r="K148" s="81" t="s">
        <v>79</v>
      </c>
      <c r="L148" s="81" t="s">
        <v>81</v>
      </c>
    </row>
    <row r="149" spans="1:12" ht="38.25" x14ac:dyDescent="0.2">
      <c r="A149" s="44">
        <v>37035</v>
      </c>
      <c r="B149" s="45" t="s">
        <v>95</v>
      </c>
      <c r="C149" s="46" t="s">
        <v>20</v>
      </c>
      <c r="D149" s="20" t="s">
        <v>96</v>
      </c>
      <c r="E149" s="20" t="s">
        <v>83</v>
      </c>
      <c r="F149" s="46" t="s">
        <v>84</v>
      </c>
      <c r="G149" s="20" t="s">
        <v>97</v>
      </c>
      <c r="H149" s="20" t="s">
        <v>94</v>
      </c>
      <c r="I149" s="46" t="s">
        <v>80</v>
      </c>
      <c r="J149" s="46" t="s">
        <v>79</v>
      </c>
      <c r="K149" s="46" t="s">
        <v>79</v>
      </c>
      <c r="L149" s="46" t="s">
        <v>81</v>
      </c>
    </row>
    <row r="150" spans="1:12" ht="38.25" x14ac:dyDescent="0.2">
      <c r="A150" s="44">
        <v>37033</v>
      </c>
      <c r="B150" s="45" t="s">
        <v>100</v>
      </c>
      <c r="C150" s="46" t="s">
        <v>20</v>
      </c>
      <c r="D150" s="45" t="s">
        <v>100</v>
      </c>
      <c r="E150" s="20" t="s">
        <v>83</v>
      </c>
      <c r="F150" s="46" t="s">
        <v>12</v>
      </c>
      <c r="G150" s="20" t="s">
        <v>101</v>
      </c>
      <c r="H150" s="20" t="s">
        <v>102</v>
      </c>
      <c r="I150" s="46" t="s">
        <v>79</v>
      </c>
      <c r="J150" s="46" t="s">
        <v>80</v>
      </c>
      <c r="K150" s="46" t="s">
        <v>80</v>
      </c>
      <c r="L150" s="46" t="s">
        <v>81</v>
      </c>
    </row>
    <row r="151" spans="1:12" ht="51" x14ac:dyDescent="0.2">
      <c r="A151" s="44">
        <v>37033</v>
      </c>
      <c r="B151" s="45" t="s">
        <v>87</v>
      </c>
      <c r="C151" s="46" t="s">
        <v>20</v>
      </c>
      <c r="D151" s="45" t="s">
        <v>87</v>
      </c>
      <c r="E151" s="20" t="s">
        <v>83</v>
      </c>
      <c r="F151" s="46" t="s">
        <v>84</v>
      </c>
      <c r="G151" s="20" t="s">
        <v>103</v>
      </c>
      <c r="H151" s="20" t="s">
        <v>104</v>
      </c>
      <c r="I151" s="46" t="s">
        <v>80</v>
      </c>
      <c r="J151" s="46" t="s">
        <v>80</v>
      </c>
      <c r="K151" s="46" t="s">
        <v>80</v>
      </c>
      <c r="L151" s="46" t="s">
        <v>81</v>
      </c>
    </row>
    <row r="152" spans="1:12" ht="25.5" x14ac:dyDescent="0.2">
      <c r="A152" s="44">
        <v>37032</v>
      </c>
      <c r="B152" s="45" t="s">
        <v>105</v>
      </c>
      <c r="C152" s="46" t="s">
        <v>106</v>
      </c>
      <c r="D152" s="45" t="s">
        <v>107</v>
      </c>
      <c r="E152" s="20" t="s">
        <v>108</v>
      </c>
      <c r="F152" s="46" t="s">
        <v>84</v>
      </c>
      <c r="G152" s="20" t="s">
        <v>109</v>
      </c>
      <c r="H152" s="20" t="s">
        <v>110</v>
      </c>
      <c r="I152" s="46" t="s">
        <v>80</v>
      </c>
      <c r="J152" s="46" t="s">
        <v>79</v>
      </c>
      <c r="K152" s="46" t="s">
        <v>80</v>
      </c>
      <c r="L152" s="46" t="s">
        <v>81</v>
      </c>
    </row>
    <row r="153" spans="1:12" ht="127.5" x14ac:dyDescent="0.2">
      <c r="A153" s="44">
        <v>37019</v>
      </c>
      <c r="B153" s="45" t="s">
        <v>113</v>
      </c>
      <c r="C153" s="46" t="s">
        <v>20</v>
      </c>
      <c r="D153" s="45" t="s">
        <v>113</v>
      </c>
      <c r="E153" s="20" t="s">
        <v>83</v>
      </c>
      <c r="F153" s="46" t="s">
        <v>84</v>
      </c>
      <c r="G153" s="20" t="s">
        <v>114</v>
      </c>
      <c r="H153" s="20" t="s">
        <v>115</v>
      </c>
      <c r="I153" s="46" t="s">
        <v>79</v>
      </c>
      <c r="J153" s="46" t="s">
        <v>79</v>
      </c>
      <c r="K153" s="46" t="s">
        <v>79</v>
      </c>
      <c r="L153" s="46" t="s">
        <v>81</v>
      </c>
    </row>
    <row r="154" spans="1:12" ht="19.5" customHeight="1"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45"/>
      <c r="F156" s="46"/>
      <c r="G156" s="45"/>
      <c r="H156" s="45"/>
      <c r="I156" s="46"/>
      <c r="J156" s="46"/>
      <c r="K156" s="46"/>
      <c r="L156" s="68"/>
    </row>
    <row r="157" spans="1:12" x14ac:dyDescent="0.2">
      <c r="A157" s="61"/>
      <c r="B157" s="57"/>
      <c r="C157" s="58"/>
      <c r="D157" s="57"/>
      <c r="E157" s="59"/>
      <c r="F157" s="58"/>
      <c r="G157" s="57"/>
      <c r="H157" s="57"/>
      <c r="I157" s="58"/>
      <c r="J157" s="58"/>
      <c r="K157" s="58"/>
      <c r="L157" s="58"/>
    </row>
    <row r="158" spans="1:12" x14ac:dyDescent="0.2">
      <c r="A158" s="44"/>
      <c r="B158" s="45"/>
      <c r="C158" s="46"/>
      <c r="D158" s="45"/>
      <c r="E158" s="20"/>
      <c r="F158" s="46"/>
      <c r="G158" s="45"/>
      <c r="H158" s="45"/>
      <c r="I158" s="46"/>
      <c r="J158" s="46"/>
      <c r="K158" s="46"/>
      <c r="L158" s="46"/>
    </row>
    <row r="159" spans="1:12" x14ac:dyDescent="0.2">
      <c r="A159" s="44"/>
      <c r="B159" s="45"/>
      <c r="C159" s="46"/>
      <c r="D159" s="45"/>
      <c r="E159" s="20"/>
      <c r="F159" s="46"/>
      <c r="G159" s="45"/>
      <c r="H159" s="45"/>
      <c r="I159" s="46"/>
      <c r="J159" s="46"/>
      <c r="K159" s="46"/>
      <c r="L159" s="46"/>
    </row>
    <row r="161" spans="1:5" x14ac:dyDescent="0.2">
      <c r="A161" s="1" t="s">
        <v>73</v>
      </c>
      <c r="B161" s="1" t="s">
        <v>163</v>
      </c>
      <c r="C161" t="s">
        <v>71</v>
      </c>
      <c r="D161" s="93" t="s">
        <v>304</v>
      </c>
      <c r="E161" s="93" t="s">
        <v>365</v>
      </c>
    </row>
    <row r="162" spans="1:5" x14ac:dyDescent="0.2">
      <c r="A162" s="24" t="s">
        <v>18</v>
      </c>
      <c r="B162" s="69">
        <f t="shared" ref="B162:B170" si="1">C162/$C$171</f>
        <v>0</v>
      </c>
      <c r="C162" s="7">
        <f>'summary 0813'!I24</f>
        <v>0</v>
      </c>
      <c r="D162">
        <f>33+1+1+1+1+1+8+1+1+1+2+1+2+1+1</f>
        <v>56</v>
      </c>
      <c r="E162" s="95">
        <f t="shared" ref="E162:E167" si="2">(C162/D162)*100</f>
        <v>0</v>
      </c>
    </row>
    <row r="163" spans="1:5" x14ac:dyDescent="0.2">
      <c r="A163" s="24" t="s">
        <v>19</v>
      </c>
      <c r="B163" s="69">
        <f t="shared" si="1"/>
        <v>0.29411764705882354</v>
      </c>
      <c r="C163" s="7">
        <f>'summary 0813'!I25</f>
        <v>5</v>
      </c>
      <c r="D163">
        <f>540+17+1+1+6+10+1+2+12+2+1+1+1+3+4+3+1+1+1+8+2+1+1+6+1+1</f>
        <v>628</v>
      </c>
      <c r="E163" s="95">
        <f t="shared" si="2"/>
        <v>0.79617834394904463</v>
      </c>
    </row>
    <row r="164" spans="1:5" x14ac:dyDescent="0.2">
      <c r="A164" s="24" t="s">
        <v>20</v>
      </c>
      <c r="B164" s="69">
        <f t="shared" si="1"/>
        <v>0.52941176470588236</v>
      </c>
      <c r="C164" s="7">
        <f>'summary 0813'!I26</f>
        <v>9</v>
      </c>
      <c r="D164">
        <f>13+1+1+1+16</f>
        <v>32</v>
      </c>
      <c r="E164" s="95">
        <f t="shared" si="2"/>
        <v>28.125</v>
      </c>
    </row>
    <row r="165" spans="1:5" x14ac:dyDescent="0.2">
      <c r="A165" s="24" t="s">
        <v>33</v>
      </c>
      <c r="B165" s="69">
        <f t="shared" si="1"/>
        <v>0</v>
      </c>
      <c r="C165" s="7"/>
      <c r="D165">
        <f>36+1+1</f>
        <v>38</v>
      </c>
      <c r="E165" s="95">
        <f t="shared" si="2"/>
        <v>0</v>
      </c>
    </row>
    <row r="166" spans="1:5" x14ac:dyDescent="0.2">
      <c r="A166" s="24" t="s">
        <v>21</v>
      </c>
      <c r="B166" s="69">
        <f t="shared" si="1"/>
        <v>5.8823529411764705E-2</v>
      </c>
      <c r="C166" s="7">
        <f>'summary 0813'!I28</f>
        <v>1</v>
      </c>
      <c r="D166">
        <f>288+2+13+2+5+56+59+14+2+3+3</f>
        <v>447</v>
      </c>
      <c r="E166" s="95">
        <f t="shared" si="2"/>
        <v>0.22371364653243847</v>
      </c>
    </row>
    <row r="167" spans="1:5" x14ac:dyDescent="0.2">
      <c r="A167" s="24" t="s">
        <v>22</v>
      </c>
      <c r="B167" s="69">
        <f t="shared" si="1"/>
        <v>5.8823529411764705E-2</v>
      </c>
      <c r="C167" s="7">
        <f>'summary 0813'!I29</f>
        <v>1</v>
      </c>
      <c r="D167">
        <f>132+2+1+2+7+3+4</f>
        <v>151</v>
      </c>
      <c r="E167" s="95">
        <f t="shared" si="2"/>
        <v>0.66225165562913912</v>
      </c>
    </row>
    <row r="168" spans="1:5" x14ac:dyDescent="0.2">
      <c r="A168" s="24" t="s">
        <v>23</v>
      </c>
      <c r="B168" s="69">
        <f t="shared" si="1"/>
        <v>0</v>
      </c>
      <c r="C168" s="7"/>
      <c r="D168">
        <v>9</v>
      </c>
      <c r="E168" s="95"/>
    </row>
    <row r="169" spans="1:5" x14ac:dyDescent="0.2">
      <c r="A169" s="24" t="s">
        <v>24</v>
      </c>
      <c r="B169" s="69">
        <f t="shared" si="1"/>
        <v>0</v>
      </c>
      <c r="C169" s="7"/>
      <c r="D169">
        <f>10+5+2</f>
        <v>17</v>
      </c>
      <c r="E169" s="95"/>
    </row>
    <row r="170" spans="1:5" x14ac:dyDescent="0.2">
      <c r="A170" s="72" t="s">
        <v>164</v>
      </c>
      <c r="B170" s="69">
        <f t="shared" si="1"/>
        <v>5.8823529411764705E-2</v>
      </c>
      <c r="C170" s="7">
        <f>'summary 0813'!I32</f>
        <v>1</v>
      </c>
    </row>
    <row r="171" spans="1:5" x14ac:dyDescent="0.2">
      <c r="A171" s="72" t="s">
        <v>162</v>
      </c>
      <c r="B171" s="73">
        <f>SUM(B162:B170)</f>
        <v>1</v>
      </c>
      <c r="C171">
        <f>SUM(C162:C170)</f>
        <v>17</v>
      </c>
      <c r="D171">
        <f>SUM(D162:D170)</f>
        <v>1378</v>
      </c>
    </row>
  </sheetData>
  <phoneticPr fontId="0" type="noConversion"/>
  <printOptions horizontalCentered="1"/>
  <pageMargins left="0.25" right="0.25" top="1" bottom="0.5" header="0.5" footer="0.25"/>
  <pageSetup paperSize="5" scale="68" orientation="landscape" r:id="rId1"/>
  <headerFooter alignWithMargins="0">
    <oddHeader xml:space="preserve">&amp;C&amp;"Arial,Bold"EWS-Global Risk Operations
Weekly Summary of Market Risk Aggregation Issues
Week Beginning August 13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15</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v>9</v>
      </c>
    </row>
    <row r="13" spans="1:11" x14ac:dyDescent="0.2">
      <c r="A13" s="11" t="s">
        <v>84</v>
      </c>
      <c r="B13" s="8"/>
      <c r="C13" s="8" t="s">
        <v>55</v>
      </c>
      <c r="D13" s="8"/>
      <c r="E13" s="8"/>
      <c r="F13" s="8"/>
      <c r="G13" s="8"/>
      <c r="H13" s="8"/>
      <c r="I13" s="8"/>
      <c r="J13" s="8"/>
      <c r="K13" s="8">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v>1</v>
      </c>
    </row>
    <row r="18" spans="1:11" x14ac:dyDescent="0.2">
      <c r="A18" s="11" t="s">
        <v>30</v>
      </c>
      <c r="B18" s="8"/>
      <c r="C18" s="8" t="s">
        <v>31</v>
      </c>
      <c r="D18" s="8"/>
      <c r="E18" s="8"/>
      <c r="F18" s="8"/>
      <c r="G18" s="8"/>
      <c r="H18" s="8"/>
      <c r="I18" s="8"/>
      <c r="J18" s="8"/>
      <c r="K18" s="84">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v>1</v>
      </c>
      <c r="J25" s="46"/>
      <c r="K25" s="22"/>
    </row>
    <row r="26" spans="1:11" x14ac:dyDescent="0.2">
      <c r="A26" s="44" t="s">
        <v>20</v>
      </c>
      <c r="B26" s="45"/>
      <c r="C26" s="45"/>
      <c r="D26" s="20"/>
      <c r="E26" s="46"/>
      <c r="F26" s="20"/>
      <c r="G26" s="20"/>
      <c r="H26" s="46"/>
      <c r="I26" s="46">
        <v>5</v>
      </c>
      <c r="J26" s="46"/>
      <c r="K26" s="20"/>
    </row>
    <row r="27" spans="1:11" x14ac:dyDescent="0.2">
      <c r="A27" s="44" t="s">
        <v>33</v>
      </c>
      <c r="B27" s="45"/>
      <c r="C27" s="45"/>
      <c r="D27" s="20"/>
      <c r="E27" s="46"/>
      <c r="F27" s="20"/>
      <c r="G27" s="20"/>
      <c r="H27" s="46"/>
      <c r="I27" s="46"/>
      <c r="J27" s="46"/>
      <c r="K27" s="46"/>
    </row>
    <row r="28" spans="1:11" ht="38.25" x14ac:dyDescent="0.2">
      <c r="A28" s="44" t="s">
        <v>21</v>
      </c>
      <c r="B28" s="45"/>
      <c r="C28" s="45"/>
      <c r="D28" s="20"/>
      <c r="E28" s="46"/>
      <c r="F28" s="20"/>
      <c r="G28" s="20"/>
      <c r="H28" s="46"/>
      <c r="I28" s="46">
        <v>3</v>
      </c>
      <c r="J28" s="46"/>
      <c r="K28" s="46" t="s">
        <v>332</v>
      </c>
    </row>
    <row r="29" spans="1:11" x14ac:dyDescent="0.2">
      <c r="A29" s="44" t="s">
        <v>22</v>
      </c>
      <c r="B29" s="45"/>
      <c r="C29" s="45"/>
      <c r="D29" s="20"/>
      <c r="E29" s="46"/>
      <c r="F29" s="20"/>
      <c r="G29" s="20"/>
      <c r="H29" s="46"/>
      <c r="I29" s="46">
        <v>1</v>
      </c>
      <c r="J29" s="46"/>
      <c r="K29" s="20" t="s">
        <v>189</v>
      </c>
    </row>
    <row r="30" spans="1:11" x14ac:dyDescent="0.2">
      <c r="A30" s="44" t="s">
        <v>23</v>
      </c>
      <c r="B30" s="45"/>
      <c r="C30" s="45"/>
      <c r="D30" s="20"/>
      <c r="E30" s="46"/>
      <c r="F30" s="20"/>
      <c r="G30" s="20"/>
      <c r="H30" s="46"/>
      <c r="I30" s="46">
        <v>2</v>
      </c>
      <c r="J30" s="46"/>
      <c r="K30" s="46" t="s">
        <v>334</v>
      </c>
    </row>
    <row r="31" spans="1:11" x14ac:dyDescent="0.2">
      <c r="A31" s="44" t="s">
        <v>24</v>
      </c>
      <c r="B31" s="45"/>
      <c r="C31" s="45"/>
      <c r="D31" s="20"/>
      <c r="E31" s="46"/>
      <c r="F31" s="20"/>
      <c r="G31" s="20"/>
      <c r="H31" s="46"/>
      <c r="I31" s="46"/>
      <c r="J31" s="46"/>
      <c r="K31" s="46"/>
    </row>
    <row r="32" spans="1:11" ht="26.25" thickBot="1" x14ac:dyDescent="0.25">
      <c r="A32" s="71" t="s">
        <v>161</v>
      </c>
      <c r="I32" s="2">
        <v>3</v>
      </c>
      <c r="K32" s="85" t="s">
        <v>333</v>
      </c>
    </row>
    <row r="33" spans="1:11" ht="13.5" thickTop="1" x14ac:dyDescent="0.2">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20"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
      <c r="A2" s="6" t="s">
        <v>0</v>
      </c>
      <c r="B2" s="2"/>
      <c r="H2">
        <f>1+1</f>
        <v>2</v>
      </c>
      <c r="J2">
        <f>1</f>
        <v>1</v>
      </c>
      <c r="K2" s="2"/>
      <c r="L2" s="7"/>
      <c r="M2" s="2"/>
      <c r="N2" s="2"/>
      <c r="P2">
        <f>'summary 0611'!K10</f>
        <v>1</v>
      </c>
    </row>
    <row r="3" spans="1:20" x14ac:dyDescent="0.2">
      <c r="A3" s="6" t="s">
        <v>1</v>
      </c>
      <c r="B3" s="7"/>
      <c r="K3" s="7"/>
      <c r="L3" s="7"/>
      <c r="M3" s="7"/>
      <c r="N3" s="11">
        <v>1</v>
      </c>
      <c r="P3">
        <f>'summary 0611'!K11</f>
        <v>1</v>
      </c>
      <c r="R3">
        <f>'summary 0625'!K11</f>
        <v>2</v>
      </c>
      <c r="T3">
        <f>'summary 0709'!K10</f>
        <v>1</v>
      </c>
    </row>
    <row r="4" spans="1:20"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
      <c r="A6" s="6" t="s">
        <v>56</v>
      </c>
      <c r="B6" s="7"/>
      <c r="G6">
        <f>1+1</f>
        <v>2</v>
      </c>
      <c r="H6">
        <f>1+1+1+1</f>
        <v>4</v>
      </c>
      <c r="I6">
        <f>1</f>
        <v>1</v>
      </c>
      <c r="J6">
        <f>1+1+1</f>
        <v>3</v>
      </c>
      <c r="K6" s="7"/>
      <c r="L6" s="7"/>
      <c r="M6" s="7">
        <v>1</v>
      </c>
      <c r="N6" s="11"/>
      <c r="O6">
        <f>'summary 0604'!K14</f>
        <v>1</v>
      </c>
      <c r="P6">
        <f>'summary 0611'!K14</f>
        <v>3</v>
      </c>
      <c r="T6">
        <f>'summary 0709'!K13</f>
        <v>5</v>
      </c>
    </row>
    <row r="7" spans="1:20"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
      <c r="A9" s="6" t="s">
        <v>4</v>
      </c>
      <c r="B9" s="7"/>
      <c r="K9" s="7">
        <v>1</v>
      </c>
      <c r="L9" s="7"/>
      <c r="M9" s="7">
        <v>1</v>
      </c>
      <c r="N9" s="11"/>
      <c r="O9">
        <f>'summary 0604'!K17+'summary 0604'!K18</f>
        <v>2</v>
      </c>
      <c r="Q9">
        <f>'summary 0618'!K17</f>
        <v>4</v>
      </c>
      <c r="R9">
        <f>'summary 0625'!K17</f>
        <v>7</v>
      </c>
    </row>
    <row r="10" spans="1:20" x14ac:dyDescent="0.2">
      <c r="A10" s="8" t="s">
        <v>31</v>
      </c>
      <c r="B10" s="7"/>
      <c r="K10" s="7"/>
      <c r="L10" s="7"/>
      <c r="M10" s="7"/>
      <c r="N10" s="7"/>
      <c r="S10">
        <f>'summary 0702'!K18:K18</f>
        <v>1</v>
      </c>
    </row>
    <row r="11" spans="1:20"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1" x14ac:dyDescent="0.2">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3.75" x14ac:dyDescent="0.2">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6.5" x14ac:dyDescent="0.2">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1" x14ac:dyDescent="0.2">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1" x14ac:dyDescent="0.2">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5.5" x14ac:dyDescent="0.2">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8.25" x14ac:dyDescent="0.2">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6.5" x14ac:dyDescent="0.2">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1" x14ac:dyDescent="0.2">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8.25" x14ac:dyDescent="0.2">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102" x14ac:dyDescent="0.2">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38.25" x14ac:dyDescent="0.2">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6.5" x14ac:dyDescent="0.2">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8.25" x14ac:dyDescent="0.2">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8.25" x14ac:dyDescent="0.2">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1" x14ac:dyDescent="0.2">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3.75" x14ac:dyDescent="0.2">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8.25" x14ac:dyDescent="0.2">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1" x14ac:dyDescent="0.2">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3.75" x14ac:dyDescent="0.2">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8.25" x14ac:dyDescent="0.2">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6.5" x14ac:dyDescent="0.2">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6.5" x14ac:dyDescent="0.2">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8.25" x14ac:dyDescent="0.2">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1" x14ac:dyDescent="0.2">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8.25" x14ac:dyDescent="0.2">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
      <c r="A137" s="75">
        <v>37046</v>
      </c>
      <c r="B137" s="45" t="s">
        <v>182</v>
      </c>
      <c r="C137" s="46"/>
      <c r="D137" s="45"/>
      <c r="E137" s="20" t="s">
        <v>183</v>
      </c>
      <c r="F137" s="46" t="s">
        <v>14</v>
      </c>
      <c r="G137" s="45" t="s">
        <v>184</v>
      </c>
      <c r="H137" s="45" t="s">
        <v>185</v>
      </c>
      <c r="I137" s="81" t="s">
        <v>80</v>
      </c>
      <c r="J137" s="81" t="s">
        <v>80</v>
      </c>
      <c r="K137" s="81" t="s">
        <v>80</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4.75" x14ac:dyDescent="0.2">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
      <c r="A145" s="44"/>
      <c r="B145" s="45"/>
      <c r="C145" s="46"/>
      <c r="D145" s="45"/>
      <c r="E145" s="45"/>
      <c r="F145" s="46"/>
      <c r="G145" s="45"/>
      <c r="H145" s="45"/>
      <c r="I145" s="46"/>
      <c r="J145" s="46"/>
      <c r="K145" s="46"/>
      <c r="L145" s="68"/>
    </row>
    <row r="146" spans="1:12" x14ac:dyDescent="0.2">
      <c r="A146" s="44"/>
      <c r="B146" s="45"/>
      <c r="C146" s="46"/>
      <c r="D146" s="45"/>
      <c r="E146" s="45"/>
      <c r="F146" s="46"/>
      <c r="G146" s="45"/>
      <c r="H146" s="45"/>
      <c r="I146" s="46"/>
      <c r="J146" s="46"/>
      <c r="K146" s="46"/>
      <c r="L146" s="68"/>
    </row>
    <row r="147" spans="1:12" x14ac:dyDescent="0.2">
      <c r="A147" s="44"/>
      <c r="B147" s="45"/>
      <c r="C147" s="46"/>
      <c r="D147" s="45"/>
      <c r="E147" s="45"/>
      <c r="F147" s="46"/>
      <c r="G147" s="45"/>
      <c r="H147" s="45"/>
      <c r="I147" s="46"/>
      <c r="J147" s="46"/>
      <c r="K147" s="46"/>
      <c r="L147" s="68"/>
    </row>
    <row r="148" spans="1:12" x14ac:dyDescent="0.2">
      <c r="A148" s="44"/>
      <c r="B148" s="45"/>
      <c r="C148" s="46"/>
      <c r="D148" s="45"/>
      <c r="E148" s="45"/>
      <c r="F148" s="46"/>
      <c r="G148" s="45"/>
      <c r="H148" s="45"/>
      <c r="I148" s="46"/>
      <c r="J148" s="46"/>
      <c r="K148" s="46"/>
      <c r="L148" s="68"/>
    </row>
    <row r="149" spans="1:12" x14ac:dyDescent="0.2">
      <c r="A149" s="44"/>
      <c r="B149" s="45"/>
      <c r="C149" s="46"/>
      <c r="D149" s="45"/>
      <c r="E149" s="45"/>
      <c r="F149" s="46"/>
      <c r="G149" s="45"/>
      <c r="H149" s="45"/>
      <c r="I149" s="46"/>
      <c r="J149" s="46"/>
      <c r="K149" s="46"/>
      <c r="L149" s="68"/>
    </row>
    <row r="150" spans="1:12" x14ac:dyDescent="0.2">
      <c r="A150" s="44"/>
      <c r="B150" s="45"/>
      <c r="C150" s="46"/>
      <c r="D150" s="45"/>
      <c r="E150" s="45"/>
      <c r="F150" s="46"/>
      <c r="G150" s="45"/>
      <c r="H150" s="45"/>
      <c r="I150" s="46"/>
      <c r="J150" s="46"/>
      <c r="K150" s="46"/>
      <c r="L150" s="68"/>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4.3478260869565216E-2</v>
      </c>
      <c r="C165" s="7">
        <f>'summary 0709'!I24</f>
        <v>1</v>
      </c>
      <c r="D165">
        <f>33+1+1+1+1+1+8+1+1+1+2</f>
        <v>51</v>
      </c>
      <c r="E165" s="70"/>
    </row>
    <row r="166" spans="1:12" x14ac:dyDescent="0.2">
      <c r="A166" s="24" t="s">
        <v>19</v>
      </c>
      <c r="B166" s="69">
        <f t="shared" si="1"/>
        <v>0.34782608695652173</v>
      </c>
      <c r="C166" s="7">
        <f>'summary 0709'!I25</f>
        <v>8</v>
      </c>
      <c r="D166">
        <f>540+17+1+1+6+10+1+2+12+2+1+1+1+3+4</f>
        <v>602</v>
      </c>
      <c r="E166" s="70"/>
    </row>
    <row r="167" spans="1:12" x14ac:dyDescent="0.2">
      <c r="A167" s="24" t="s">
        <v>20</v>
      </c>
      <c r="B167" s="69">
        <f t="shared" si="1"/>
        <v>0.30434782608695654</v>
      </c>
      <c r="C167" s="7">
        <f>'summary 0709'!I26</f>
        <v>7</v>
      </c>
      <c r="D167">
        <f>13+1+1+1+16</f>
        <v>32</v>
      </c>
      <c r="E167" s="70"/>
    </row>
    <row r="168" spans="1:12" x14ac:dyDescent="0.2">
      <c r="A168" s="24" t="s">
        <v>33</v>
      </c>
      <c r="B168" s="69">
        <f t="shared" si="1"/>
        <v>8.6956521739130432E-2</v>
      </c>
      <c r="C168" s="7">
        <f>'summary 0709'!I27</f>
        <v>2</v>
      </c>
      <c r="D168">
        <f>36+1</f>
        <v>37</v>
      </c>
      <c r="E168" s="70"/>
    </row>
    <row r="169" spans="1:12" x14ac:dyDescent="0.2">
      <c r="A169" s="24" t="s">
        <v>21</v>
      </c>
      <c r="B169" s="69">
        <f t="shared" si="1"/>
        <v>0.13043478260869565</v>
      </c>
      <c r="C169" s="7">
        <f>'summary 0709'!I28</f>
        <v>3</v>
      </c>
      <c r="D169">
        <f>288+2+13+2+5+56</f>
        <v>366</v>
      </c>
      <c r="E169" s="70"/>
    </row>
    <row r="170" spans="1:12" x14ac:dyDescent="0.2">
      <c r="A170" s="24" t="s">
        <v>22</v>
      </c>
      <c r="B170" s="69">
        <f t="shared" si="1"/>
        <v>0</v>
      </c>
      <c r="C170" s="7">
        <f>'summary 0709'!I29</f>
        <v>0</v>
      </c>
      <c r="D170">
        <f>132+2+1+2+7</f>
        <v>144</v>
      </c>
      <c r="E170" s="70"/>
    </row>
    <row r="171" spans="1:12" x14ac:dyDescent="0.2">
      <c r="A171" s="24" t="s">
        <v>23</v>
      </c>
      <c r="B171" s="69">
        <f t="shared" si="1"/>
        <v>0</v>
      </c>
      <c r="C171" s="7">
        <f>'summary 0709'!I30</f>
        <v>0</v>
      </c>
      <c r="D171">
        <v>9</v>
      </c>
      <c r="E171" s="70"/>
    </row>
    <row r="172" spans="1:12" x14ac:dyDescent="0.2">
      <c r="A172" s="24" t="s">
        <v>24</v>
      </c>
      <c r="B172" s="69">
        <f t="shared" si="1"/>
        <v>0</v>
      </c>
      <c r="C172" s="7">
        <f>'summary 0709'!I31</f>
        <v>0</v>
      </c>
      <c r="D172">
        <f>10+5+2</f>
        <v>17</v>
      </c>
      <c r="E172" s="70"/>
    </row>
    <row r="173" spans="1:12" x14ac:dyDescent="0.2">
      <c r="A173" s="72" t="s">
        <v>164</v>
      </c>
      <c r="B173" s="69">
        <f t="shared" si="1"/>
        <v>8.6956521739130432E-2</v>
      </c>
      <c r="C173" s="7">
        <f>'summary 0709'!I32</f>
        <v>2</v>
      </c>
    </row>
    <row r="174" spans="1:12" x14ac:dyDescent="0.2">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23</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1+1+1</f>
        <v>3</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ht="25.5" x14ac:dyDescent="0.2">
      <c r="A24" s="44" t="s">
        <v>18</v>
      </c>
      <c r="B24" s="45"/>
      <c r="C24" s="45"/>
      <c r="D24" s="20"/>
      <c r="E24" s="46"/>
      <c r="F24" s="20"/>
      <c r="G24" s="20"/>
      <c r="H24" s="46"/>
      <c r="I24" s="46">
        <f>1</f>
        <v>1</v>
      </c>
      <c r="J24" s="46"/>
      <c r="K24" s="46" t="s">
        <v>320</v>
      </c>
    </row>
    <row r="25" spans="1:11" ht="25.5" x14ac:dyDescent="0.2">
      <c r="A25" s="44" t="s">
        <v>19</v>
      </c>
      <c r="B25" s="45"/>
      <c r="C25" s="45"/>
      <c r="D25" s="20"/>
      <c r="E25" s="46"/>
      <c r="F25" s="20"/>
      <c r="G25" s="20"/>
      <c r="H25" s="46"/>
      <c r="I25" s="46">
        <f>1+1+1+1+1+1+1+1</f>
        <v>8</v>
      </c>
      <c r="J25" s="46"/>
      <c r="K25" s="22" t="s">
        <v>319</v>
      </c>
    </row>
    <row r="26" spans="1:11" ht="38.25" x14ac:dyDescent="0.2">
      <c r="A26" s="44" t="s">
        <v>20</v>
      </c>
      <c r="B26" s="45"/>
      <c r="C26" s="45"/>
      <c r="D26" s="20"/>
      <c r="E26" s="46"/>
      <c r="F26" s="20"/>
      <c r="G26" s="20"/>
      <c r="H26" s="46"/>
      <c r="I26" s="46">
        <f>1+1+1+1+1+1+1</f>
        <v>7</v>
      </c>
      <c r="J26" s="46"/>
      <c r="K26" s="20" t="s">
        <v>321</v>
      </c>
    </row>
    <row r="27" spans="1:11" x14ac:dyDescent="0.2">
      <c r="A27" s="44" t="s">
        <v>33</v>
      </c>
      <c r="B27" s="45"/>
      <c r="C27" s="45"/>
      <c r="D27" s="20"/>
      <c r="E27" s="46"/>
      <c r="F27" s="20"/>
      <c r="G27" s="20"/>
      <c r="H27" s="46"/>
      <c r="I27" s="46">
        <f>1+1</f>
        <v>2</v>
      </c>
      <c r="J27" s="46"/>
      <c r="K27" s="46" t="s">
        <v>160</v>
      </c>
    </row>
    <row r="28" spans="1:11" x14ac:dyDescent="0.2">
      <c r="A28" s="44" t="s">
        <v>21</v>
      </c>
      <c r="B28" s="45"/>
      <c r="C28" s="45"/>
      <c r="D28" s="20"/>
      <c r="E28" s="46"/>
      <c r="F28" s="20"/>
      <c r="G28" s="20"/>
      <c r="H28" s="46"/>
      <c r="I28" s="46">
        <f>1+1+1</f>
        <v>3</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2</f>
        <v>2</v>
      </c>
      <c r="K32" s="85" t="s">
        <v>318</v>
      </c>
    </row>
    <row r="33" spans="1:11" ht="13.5" thickTop="1" x14ac:dyDescent="0.2">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s>
  <sheetData>
    <row r="1" spans="1:19"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
      <c r="A2" s="6" t="s">
        <v>0</v>
      </c>
      <c r="B2" s="2"/>
      <c r="H2">
        <f>1+1</f>
        <v>2</v>
      </c>
      <c r="J2">
        <f>1</f>
        <v>1</v>
      </c>
      <c r="K2" s="2"/>
      <c r="L2" s="7"/>
      <c r="M2" s="2"/>
      <c r="N2" s="2"/>
      <c r="P2">
        <f>'summary 0611'!K10</f>
        <v>1</v>
      </c>
    </row>
    <row r="3" spans="1:19" x14ac:dyDescent="0.2">
      <c r="A3" s="6" t="s">
        <v>1</v>
      </c>
      <c r="B3" s="7"/>
      <c r="K3" s="7"/>
      <c r="L3" s="7"/>
      <c r="M3" s="7"/>
      <c r="N3" s="11">
        <v>1</v>
      </c>
      <c r="P3">
        <f>'summary 0611'!K11</f>
        <v>1</v>
      </c>
      <c r="R3">
        <f>'summary 0625'!K11</f>
        <v>2</v>
      </c>
    </row>
    <row r="4" spans="1:19"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
      <c r="A6" s="6" t="s">
        <v>56</v>
      </c>
      <c r="B6" s="7"/>
      <c r="G6">
        <f>1+1</f>
        <v>2</v>
      </c>
      <c r="H6">
        <f>1+1+1+1</f>
        <v>4</v>
      </c>
      <c r="I6">
        <f>1</f>
        <v>1</v>
      </c>
      <c r="J6">
        <f>1+1+1</f>
        <v>3</v>
      </c>
      <c r="K6" s="7"/>
      <c r="L6" s="7"/>
      <c r="M6" s="7">
        <v>1</v>
      </c>
      <c r="N6" s="11"/>
      <c r="O6">
        <f>'summary 0604'!K14</f>
        <v>1</v>
      </c>
      <c r="P6">
        <f>'summary 0611'!K14</f>
        <v>3</v>
      </c>
    </row>
    <row r="7" spans="1:19" x14ac:dyDescent="0.2">
      <c r="A7" s="6" t="s">
        <v>3</v>
      </c>
      <c r="B7" s="7"/>
      <c r="G7">
        <f>1+1+1</f>
        <v>3</v>
      </c>
      <c r="K7" s="7"/>
      <c r="L7" s="7"/>
      <c r="M7" s="7">
        <v>1</v>
      </c>
      <c r="N7" s="11">
        <f>1</f>
        <v>1</v>
      </c>
      <c r="O7">
        <f>'summary 0604'!K15</f>
        <v>3</v>
      </c>
      <c r="Q7">
        <f>'summary 0618'!K15</f>
        <v>1</v>
      </c>
      <c r="R7">
        <f>'summary 0625'!K15</f>
        <v>5</v>
      </c>
      <c r="S7">
        <f>'summary 0702'!K15:K15</f>
        <v>1</v>
      </c>
    </row>
    <row r="8" spans="1:19" x14ac:dyDescent="0.2">
      <c r="A8" s="6" t="s">
        <v>7</v>
      </c>
      <c r="B8" s="7"/>
      <c r="G8">
        <f>1+1+1+1</f>
        <v>4</v>
      </c>
      <c r="H8">
        <f>1</f>
        <v>1</v>
      </c>
      <c r="I8">
        <f>1+1+1+1+1</f>
        <v>5</v>
      </c>
      <c r="J8">
        <f>1</f>
        <v>1</v>
      </c>
      <c r="K8" s="7">
        <v>2</v>
      </c>
      <c r="L8" s="7">
        <v>1</v>
      </c>
      <c r="M8" s="7"/>
      <c r="N8" s="11">
        <f>3</f>
        <v>3</v>
      </c>
      <c r="P8">
        <f>'summary 0611'!K16</f>
        <v>3</v>
      </c>
      <c r="Q8">
        <f>'summary 0618'!K16</f>
        <v>1</v>
      </c>
    </row>
    <row r="9" spans="1:19" x14ac:dyDescent="0.2">
      <c r="A9" s="6" t="s">
        <v>4</v>
      </c>
      <c r="B9" s="7"/>
      <c r="K9" s="7">
        <v>1</v>
      </c>
      <c r="L9" s="7"/>
      <c r="M9" s="7">
        <v>1</v>
      </c>
      <c r="N9" s="11"/>
      <c r="O9">
        <f>'summary 0604'!K17+'summary 0604'!K18</f>
        <v>2</v>
      </c>
      <c r="Q9">
        <f>'summary 0618'!K17</f>
        <v>4</v>
      </c>
      <c r="R9">
        <f>'summary 0625'!K17</f>
        <v>7</v>
      </c>
    </row>
    <row r="10" spans="1:19" x14ac:dyDescent="0.2">
      <c r="A10" s="8" t="s">
        <v>31</v>
      </c>
      <c r="B10" s="7"/>
      <c r="K10" s="7"/>
      <c r="L10" s="7"/>
      <c r="M10" s="7"/>
      <c r="N10" s="7"/>
      <c r="S10">
        <f>'summary 0702'!K18:K18</f>
        <v>1</v>
      </c>
    </row>
    <row r="11" spans="1:19"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1" x14ac:dyDescent="0.2">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5.5" x14ac:dyDescent="0.2">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6.5" x14ac:dyDescent="0.2">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1" x14ac:dyDescent="0.2">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102" x14ac:dyDescent="0.2">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38.25" x14ac:dyDescent="0.2">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63.75" x14ac:dyDescent="0.2">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3.75" x14ac:dyDescent="0.2">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8.25" x14ac:dyDescent="0.2">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8.25" x14ac:dyDescent="0.2">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1" x14ac:dyDescent="0.2">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3.75" x14ac:dyDescent="0.2">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1" x14ac:dyDescent="0.2">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8.25" x14ac:dyDescent="0.2">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8.25" x14ac:dyDescent="0.2">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6.5" x14ac:dyDescent="0.2">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6.5" x14ac:dyDescent="0.2">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8.25" x14ac:dyDescent="0.2">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1" x14ac:dyDescent="0.2">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8.25" x14ac:dyDescent="0.2">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2" x14ac:dyDescent="0.2">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1" x14ac:dyDescent="0.2">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8.25" x14ac:dyDescent="0.2">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8.25" x14ac:dyDescent="0.2">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
      <c r="A141" s="44">
        <v>37035</v>
      </c>
      <c r="B141" s="45" t="s">
        <v>82</v>
      </c>
      <c r="C141" s="46" t="s">
        <v>20</v>
      </c>
      <c r="D141" s="45" t="s">
        <v>82</v>
      </c>
      <c r="E141" s="20" t="s">
        <v>83</v>
      </c>
      <c r="F141" s="46" t="s">
        <v>84</v>
      </c>
      <c r="G141" s="20" t="s">
        <v>98</v>
      </c>
      <c r="H141" s="20" t="s">
        <v>99</v>
      </c>
      <c r="I141" s="46"/>
      <c r="J141" s="46"/>
      <c r="K141" s="46"/>
      <c r="L141" s="46" t="s">
        <v>81</v>
      </c>
    </row>
    <row r="142" spans="1:12" ht="38.25" x14ac:dyDescent="0.2">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1" x14ac:dyDescent="0.2">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5.5" x14ac:dyDescent="0.2">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27.5" x14ac:dyDescent="0.2">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4.75" x14ac:dyDescent="0.2">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8.25" x14ac:dyDescent="0.2">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45"/>
      <c r="F154" s="46"/>
      <c r="G154" s="45"/>
      <c r="H154" s="45"/>
      <c r="I154" s="46"/>
      <c r="J154" s="46"/>
      <c r="K154" s="46"/>
      <c r="L154" s="68"/>
    </row>
    <row r="155" spans="1:12" x14ac:dyDescent="0.2">
      <c r="A155" s="61"/>
      <c r="B155" s="57"/>
      <c r="C155" s="58"/>
      <c r="D155" s="57"/>
      <c r="E155" s="59"/>
      <c r="F155" s="58"/>
      <c r="G155" s="57"/>
      <c r="H155" s="57"/>
      <c r="I155" s="58"/>
      <c r="J155" s="58"/>
      <c r="K155" s="58"/>
      <c r="L155" s="58"/>
    </row>
    <row r="156" spans="1:12" x14ac:dyDescent="0.2">
      <c r="A156" s="44"/>
      <c r="B156" s="45"/>
      <c r="C156" s="46"/>
      <c r="D156" s="45"/>
      <c r="E156" s="20"/>
      <c r="F156" s="46"/>
      <c r="G156" s="45"/>
      <c r="H156" s="45"/>
      <c r="I156" s="46"/>
      <c r="J156" s="46"/>
      <c r="K156" s="46"/>
      <c r="L156" s="46"/>
    </row>
    <row r="157" spans="1:12" x14ac:dyDescent="0.2">
      <c r="A157" s="44"/>
      <c r="B157" s="45"/>
      <c r="C157" s="46"/>
      <c r="D157" s="45"/>
      <c r="E157" s="20"/>
      <c r="F157" s="46"/>
      <c r="G157" s="45"/>
      <c r="H157" s="45"/>
      <c r="I157" s="46"/>
      <c r="J157" s="46"/>
      <c r="K157" s="46"/>
      <c r="L157" s="46"/>
    </row>
    <row r="159" spans="1:12" x14ac:dyDescent="0.2">
      <c r="A159" s="1" t="s">
        <v>73</v>
      </c>
      <c r="B159" s="1" t="s">
        <v>163</v>
      </c>
      <c r="C159" t="s">
        <v>71</v>
      </c>
      <c r="D159" s="93" t="s">
        <v>304</v>
      </c>
      <c r="E159" s="49"/>
    </row>
    <row r="160" spans="1:12" x14ac:dyDescent="0.2">
      <c r="A160" s="24" t="s">
        <v>18</v>
      </c>
      <c r="B160" s="69">
        <f t="shared" ref="B160:B168" si="1">C160/$C$169</f>
        <v>0.25</v>
      </c>
      <c r="C160" s="7">
        <f>'summary 0702'!I24</f>
        <v>2</v>
      </c>
      <c r="D160">
        <f>33+1+1+1+1+1+8+1+1+1</f>
        <v>49</v>
      </c>
      <c r="E160" s="70"/>
    </row>
    <row r="161" spans="1:5" x14ac:dyDescent="0.2">
      <c r="A161" s="24" t="s">
        <v>19</v>
      </c>
      <c r="B161" s="69">
        <f t="shared" si="1"/>
        <v>0.125</v>
      </c>
      <c r="C161" s="7">
        <f>'summary 0702'!I25</f>
        <v>1</v>
      </c>
      <c r="D161">
        <f>540+17+1+1+6+10+1+2+12+2+1</f>
        <v>593</v>
      </c>
      <c r="E161" s="70"/>
    </row>
    <row r="162" spans="1:5" x14ac:dyDescent="0.2">
      <c r="A162" s="24" t="s">
        <v>20</v>
      </c>
      <c r="B162" s="69">
        <f t="shared" si="1"/>
        <v>0.375</v>
      </c>
      <c r="C162" s="7">
        <f>'summary 0702'!I26</f>
        <v>3</v>
      </c>
      <c r="D162">
        <f>13+1+1+1</f>
        <v>16</v>
      </c>
      <c r="E162" s="70"/>
    </row>
    <row r="163" spans="1:5" x14ac:dyDescent="0.2">
      <c r="A163" s="24" t="s">
        <v>33</v>
      </c>
      <c r="B163" s="69">
        <f t="shared" si="1"/>
        <v>0.125</v>
      </c>
      <c r="C163" s="7">
        <f>'summary 0702'!I27</f>
        <v>1</v>
      </c>
      <c r="D163">
        <f>36+1</f>
        <v>37</v>
      </c>
      <c r="E163" s="70"/>
    </row>
    <row r="164" spans="1:5" x14ac:dyDescent="0.2">
      <c r="A164" s="24" t="s">
        <v>21</v>
      </c>
      <c r="B164" s="69">
        <f t="shared" si="1"/>
        <v>0.125</v>
      </c>
      <c r="C164" s="7">
        <f>'summary 0702'!I28</f>
        <v>1</v>
      </c>
      <c r="D164">
        <f>288+2+13+2+5</f>
        <v>310</v>
      </c>
      <c r="E164" s="70"/>
    </row>
    <row r="165" spans="1:5" x14ac:dyDescent="0.2">
      <c r="A165" s="24" t="s">
        <v>22</v>
      </c>
      <c r="B165" s="69">
        <f t="shared" si="1"/>
        <v>0</v>
      </c>
      <c r="C165" s="7">
        <f>'summary 0702'!I29</f>
        <v>0</v>
      </c>
      <c r="D165">
        <f>132+2+1+2</f>
        <v>137</v>
      </c>
      <c r="E165" s="70"/>
    </row>
    <row r="166" spans="1:5" x14ac:dyDescent="0.2">
      <c r="A166" s="24" t="s">
        <v>23</v>
      </c>
      <c r="B166" s="69">
        <f t="shared" si="1"/>
        <v>0</v>
      </c>
      <c r="C166" s="7">
        <f>'summary 0702'!I30</f>
        <v>0</v>
      </c>
      <c r="D166">
        <v>9</v>
      </c>
      <c r="E166" s="70"/>
    </row>
    <row r="167" spans="1:5" x14ac:dyDescent="0.2">
      <c r="A167" s="24" t="s">
        <v>24</v>
      </c>
      <c r="B167" s="69">
        <f t="shared" si="1"/>
        <v>0</v>
      </c>
      <c r="C167" s="7">
        <f>'summary 0702'!I31</f>
        <v>0</v>
      </c>
      <c r="D167">
        <f>10+5</f>
        <v>15</v>
      </c>
      <c r="E167" s="70"/>
    </row>
    <row r="168" spans="1:5" x14ac:dyDescent="0.2">
      <c r="A168" s="72" t="s">
        <v>164</v>
      </c>
      <c r="B168" s="69">
        <f t="shared" si="1"/>
        <v>0</v>
      </c>
      <c r="C168" s="7">
        <f>'summary 0702'!I32</f>
        <v>0</v>
      </c>
    </row>
    <row r="169" spans="1:5" x14ac:dyDescent="0.2">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f>
        <v>1</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f>1+1</f>
        <v>2</v>
      </c>
      <c r="J24" s="46"/>
      <c r="K24" s="46" t="s">
        <v>301</v>
      </c>
    </row>
    <row r="25" spans="1:11" ht="25.5" x14ac:dyDescent="0.2">
      <c r="A25" s="44" t="s">
        <v>19</v>
      </c>
      <c r="B25" s="45"/>
      <c r="C25" s="45"/>
      <c r="D25" s="20"/>
      <c r="E25" s="46"/>
      <c r="F25" s="20"/>
      <c r="G25" s="20"/>
      <c r="H25" s="46"/>
      <c r="I25" s="46">
        <f>1</f>
        <v>1</v>
      </c>
      <c r="J25" s="46"/>
      <c r="K25" s="22" t="s">
        <v>300</v>
      </c>
    </row>
    <row r="26" spans="1:11" ht="25.5" x14ac:dyDescent="0.2">
      <c r="A26" s="44" t="s">
        <v>20</v>
      </c>
      <c r="B26" s="45"/>
      <c r="C26" s="45"/>
      <c r="D26" s="20"/>
      <c r="E26" s="46"/>
      <c r="F26" s="20"/>
      <c r="G26" s="20"/>
      <c r="H26" s="46"/>
      <c r="I26" s="46">
        <f>1+1+1</f>
        <v>3</v>
      </c>
      <c r="J26" s="46"/>
      <c r="K26" s="20" t="s">
        <v>302</v>
      </c>
    </row>
    <row r="27" spans="1:11" x14ac:dyDescent="0.2">
      <c r="A27" s="44" t="s">
        <v>33</v>
      </c>
      <c r="B27" s="45"/>
      <c r="C27" s="45"/>
      <c r="D27" s="20"/>
      <c r="E27" s="46"/>
      <c r="F27" s="20"/>
      <c r="G27" s="20"/>
      <c r="H27" s="46"/>
      <c r="I27" s="46">
        <f>1</f>
        <v>1</v>
      </c>
      <c r="J27" s="46"/>
      <c r="K27" s="46" t="s">
        <v>303</v>
      </c>
    </row>
    <row r="28" spans="1:11" x14ac:dyDescent="0.2">
      <c r="A28" s="44" t="s">
        <v>21</v>
      </c>
      <c r="B28" s="45"/>
      <c r="C28" s="45"/>
      <c r="D28" s="20"/>
      <c r="E28" s="46"/>
      <c r="F28" s="20"/>
      <c r="G28" s="20"/>
      <c r="H28" s="46"/>
      <c r="I28" s="46">
        <f>1</f>
        <v>1</v>
      </c>
      <c r="J28" s="46"/>
      <c r="K28" s="46" t="s">
        <v>160</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c r="K32" s="85"/>
    </row>
    <row r="33" spans="1:11" ht="13.5" thickTop="1" x14ac:dyDescent="0.2">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7" max="17" width="10.7109375" bestFit="1" customWidth="1"/>
  </cols>
  <sheetData>
    <row r="1" spans="1:18"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
      <c r="A2" s="6" t="s">
        <v>0</v>
      </c>
      <c r="B2" s="2"/>
      <c r="H2">
        <f>1+1</f>
        <v>2</v>
      </c>
      <c r="J2">
        <f>1</f>
        <v>1</v>
      </c>
      <c r="K2" s="2"/>
      <c r="L2" s="7"/>
      <c r="M2" s="2"/>
      <c r="N2" s="2"/>
      <c r="P2">
        <f>'summary 0611'!K10</f>
        <v>1</v>
      </c>
    </row>
    <row r="3" spans="1:18" x14ac:dyDescent="0.2">
      <c r="A3" s="6" t="s">
        <v>1</v>
      </c>
      <c r="B3" s="7"/>
      <c r="K3" s="7"/>
      <c r="L3" s="7"/>
      <c r="M3" s="7"/>
      <c r="N3" s="11">
        <v>1</v>
      </c>
      <c r="P3">
        <f>'summary 0611'!K11</f>
        <v>1</v>
      </c>
      <c r="R3">
        <f>'summary 0625'!K11</f>
        <v>2</v>
      </c>
    </row>
    <row r="4" spans="1:18"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
      <c r="A6" s="6" t="s">
        <v>56</v>
      </c>
      <c r="B6" s="7"/>
      <c r="G6">
        <f>1+1</f>
        <v>2</v>
      </c>
      <c r="H6">
        <f>1+1+1+1</f>
        <v>4</v>
      </c>
      <c r="I6">
        <f>1</f>
        <v>1</v>
      </c>
      <c r="J6">
        <f>1+1+1</f>
        <v>3</v>
      </c>
      <c r="K6" s="7"/>
      <c r="L6" s="7"/>
      <c r="M6" s="7">
        <v>1</v>
      </c>
      <c r="N6" s="11"/>
      <c r="O6">
        <f>'summary 0604'!K14</f>
        <v>1</v>
      </c>
      <c r="P6">
        <f>'summary 0611'!K14</f>
        <v>3</v>
      </c>
    </row>
    <row r="7" spans="1:18" x14ac:dyDescent="0.2">
      <c r="A7" s="6" t="s">
        <v>3</v>
      </c>
      <c r="B7" s="7"/>
      <c r="G7">
        <f>1+1+1</f>
        <v>3</v>
      </c>
      <c r="K7" s="7"/>
      <c r="L7" s="7"/>
      <c r="M7" s="7">
        <v>1</v>
      </c>
      <c r="N7" s="11">
        <f>1</f>
        <v>1</v>
      </c>
      <c r="O7">
        <f>'summary 0604'!K15</f>
        <v>3</v>
      </c>
      <c r="Q7">
        <f>'summary 0618'!K15</f>
        <v>1</v>
      </c>
      <c r="R7">
        <f>'summary 0625'!K15</f>
        <v>5</v>
      </c>
    </row>
    <row r="8" spans="1:18" x14ac:dyDescent="0.2">
      <c r="A8" s="6" t="s">
        <v>7</v>
      </c>
      <c r="B8" s="7"/>
      <c r="G8">
        <f>1+1+1+1</f>
        <v>4</v>
      </c>
      <c r="H8">
        <f>1</f>
        <v>1</v>
      </c>
      <c r="I8">
        <f>1+1+1+1+1</f>
        <v>5</v>
      </c>
      <c r="J8">
        <f>1</f>
        <v>1</v>
      </c>
      <c r="K8" s="7">
        <v>2</v>
      </c>
      <c r="L8" s="7">
        <v>1</v>
      </c>
      <c r="M8" s="7"/>
      <c r="N8" s="11">
        <f>3</f>
        <v>3</v>
      </c>
      <c r="P8">
        <f>'summary 0611'!K16</f>
        <v>3</v>
      </c>
      <c r="Q8">
        <f>'summary 0618'!K16</f>
        <v>1</v>
      </c>
    </row>
    <row r="9" spans="1:18" x14ac:dyDescent="0.2">
      <c r="A9" s="6" t="s">
        <v>4</v>
      </c>
      <c r="B9" s="7"/>
      <c r="K9" s="7">
        <v>1</v>
      </c>
      <c r="L9" s="7"/>
      <c r="M9" s="7">
        <v>1</v>
      </c>
      <c r="N9" s="11"/>
      <c r="O9">
        <f>'summary 0604'!K17+'summary 0604'!K18</f>
        <v>2</v>
      </c>
      <c r="Q9">
        <f>'summary 0618'!K17</f>
        <v>4</v>
      </c>
      <c r="R9">
        <f>'summary 0625'!K17</f>
        <v>7</v>
      </c>
    </row>
    <row r="10" spans="1:18" x14ac:dyDescent="0.2">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25" x14ac:dyDescent="0.2">
      <c r="A97" s="63" t="s">
        <v>125</v>
      </c>
      <c r="B97" s="63"/>
      <c r="C97" s="63"/>
      <c r="D97" s="63"/>
      <c r="E97" s="63"/>
      <c r="F97" s="64"/>
      <c r="G97" s="63"/>
      <c r="H97" s="63"/>
      <c r="I97" s="64"/>
      <c r="J97" s="64"/>
      <c r="K97" s="64"/>
      <c r="L97" s="63"/>
    </row>
    <row r="98" spans="1:25" x14ac:dyDescent="0.2">
      <c r="A98" s="63" t="s">
        <v>126</v>
      </c>
      <c r="B98" s="63"/>
      <c r="C98" s="63"/>
      <c r="D98" s="63"/>
      <c r="E98" s="63"/>
      <c r="F98" s="64"/>
      <c r="G98" s="63"/>
      <c r="H98" s="63"/>
      <c r="I98" s="64"/>
      <c r="J98" s="64"/>
      <c r="K98" s="64"/>
      <c r="L98" s="63"/>
    </row>
    <row r="99" spans="1:25" x14ac:dyDescent="0.2">
      <c r="A99" s="63" t="s">
        <v>127</v>
      </c>
      <c r="B99" s="63"/>
      <c r="C99" s="63"/>
      <c r="D99" s="63"/>
      <c r="E99" s="63"/>
      <c r="F99" s="64"/>
      <c r="G99" s="63"/>
      <c r="H99" s="63"/>
      <c r="I99" s="64"/>
      <c r="J99" s="64"/>
      <c r="K99" s="64"/>
      <c r="L99" s="63"/>
    </row>
    <row r="100" spans="1:25" x14ac:dyDescent="0.2">
      <c r="A100" s="63"/>
      <c r="B100" s="63"/>
      <c r="C100" s="63"/>
      <c r="D100" s="63"/>
      <c r="E100" s="63"/>
      <c r="F100" s="64"/>
      <c r="G100" s="63"/>
      <c r="H100" s="63"/>
      <c r="I100" s="64"/>
      <c r="J100" s="64"/>
      <c r="K100" s="64"/>
      <c r="L100" s="63"/>
    </row>
    <row r="101" spans="1:25" x14ac:dyDescent="0.2">
      <c r="A101" s="66"/>
      <c r="B101" s="66"/>
      <c r="C101" s="66"/>
      <c r="D101" s="66"/>
      <c r="E101" s="66" t="s">
        <v>128</v>
      </c>
      <c r="F101" s="66"/>
      <c r="G101" s="66"/>
      <c r="H101" s="66"/>
      <c r="I101" s="66" t="s">
        <v>129</v>
      </c>
      <c r="J101" s="66" t="s">
        <v>130</v>
      </c>
      <c r="K101" s="66" t="s">
        <v>131</v>
      </c>
      <c r="L101" s="66" t="s">
        <v>132</v>
      </c>
    </row>
    <row r="102" spans="1:25"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
      <c r="A103" s="66"/>
      <c r="B103" s="66"/>
      <c r="C103" s="66"/>
      <c r="D103" s="66"/>
      <c r="E103" s="66"/>
      <c r="F103" s="66"/>
      <c r="G103" s="66"/>
      <c r="H103" s="66"/>
      <c r="I103" s="66"/>
      <c r="J103" s="66"/>
      <c r="K103" s="66"/>
      <c r="L103" s="66"/>
    </row>
    <row r="104" spans="1:25" x14ac:dyDescent="0.2">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5.5" x14ac:dyDescent="0.2">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8.25" x14ac:dyDescent="0.2">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6.5" x14ac:dyDescent="0.2">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1" x14ac:dyDescent="0.2">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102" x14ac:dyDescent="0.2">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38.25" x14ac:dyDescent="0.2">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63.75" x14ac:dyDescent="0.2">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6.5" x14ac:dyDescent="0.2">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3.75" x14ac:dyDescent="0.2">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1" x14ac:dyDescent="0.2">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3.75" x14ac:dyDescent="0.2">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8.25" x14ac:dyDescent="0.2">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1" x14ac:dyDescent="0.2">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1" x14ac:dyDescent="0.2">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8.25" x14ac:dyDescent="0.2">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8.25" x14ac:dyDescent="0.2">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6.5" x14ac:dyDescent="0.2">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6.5" x14ac:dyDescent="0.2">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8.25" x14ac:dyDescent="0.2">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1" x14ac:dyDescent="0.2">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8.25" x14ac:dyDescent="0.2">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2" x14ac:dyDescent="0.2">
      <c r="A130" s="90">
        <v>37046</v>
      </c>
      <c r="B130" s="77" t="s">
        <v>182</v>
      </c>
      <c r="C130" s="60"/>
      <c r="D130" s="77"/>
      <c r="E130" s="91" t="s">
        <v>183</v>
      </c>
      <c r="F130" s="60" t="s">
        <v>14</v>
      </c>
      <c r="G130" s="45" t="s">
        <v>184</v>
      </c>
      <c r="H130" s="45" t="s">
        <v>185</v>
      </c>
      <c r="I130" s="55" t="s">
        <v>80</v>
      </c>
      <c r="J130" s="55" t="s">
        <v>80</v>
      </c>
      <c r="K130" s="55" t="s">
        <v>80</v>
      </c>
      <c r="L130" s="55" t="s">
        <v>81</v>
      </c>
    </row>
    <row r="131" spans="1:12" ht="51" x14ac:dyDescent="0.2">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8.25" x14ac:dyDescent="0.2">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8.25" x14ac:dyDescent="0.2">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8.25" x14ac:dyDescent="0.2">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1" x14ac:dyDescent="0.2">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4.75" x14ac:dyDescent="0.2">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8.25" x14ac:dyDescent="0.2">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
      <c r="A139" s="75"/>
      <c r="B139" s="81"/>
      <c r="C139" s="81"/>
      <c r="D139" s="81"/>
      <c r="E139" s="81"/>
      <c r="F139" s="81"/>
      <c r="G139" s="45"/>
      <c r="H139" s="45"/>
      <c r="I139" s="81"/>
      <c r="J139" s="81"/>
      <c r="K139" s="81"/>
      <c r="L139" s="55"/>
    </row>
    <row r="140" spans="1:12" x14ac:dyDescent="0.2">
      <c r="A140" s="75"/>
      <c r="B140" s="81"/>
      <c r="C140" s="81"/>
      <c r="D140" s="81"/>
      <c r="E140" s="81"/>
      <c r="F140" s="81"/>
      <c r="G140" s="45"/>
      <c r="H140" s="45"/>
      <c r="I140" s="81"/>
      <c r="J140" s="81"/>
      <c r="K140" s="81"/>
      <c r="L140" s="55"/>
    </row>
    <row r="141" spans="1:12" x14ac:dyDescent="0.2">
      <c r="A141" s="75"/>
      <c r="B141" s="45"/>
      <c r="C141" s="46"/>
      <c r="D141" s="45"/>
      <c r="E141" s="20"/>
      <c r="F141" s="46"/>
      <c r="G141" s="45"/>
      <c r="H141" s="45"/>
      <c r="I141" s="81"/>
      <c r="J141" s="81"/>
      <c r="K141" s="81"/>
      <c r="L141" s="55"/>
    </row>
    <row r="142" spans="1:12" x14ac:dyDescent="0.2">
      <c r="A142" s="75"/>
      <c r="B142" s="45"/>
      <c r="C142" s="46"/>
      <c r="D142" s="45"/>
      <c r="E142" s="20"/>
      <c r="F142" s="46"/>
      <c r="G142" s="81"/>
      <c r="H142" s="81"/>
      <c r="I142" s="81"/>
      <c r="J142" s="81"/>
      <c r="K142" s="81"/>
      <c r="L142" s="55"/>
    </row>
    <row r="143" spans="1:12" x14ac:dyDescent="0.2">
      <c r="A143" s="82"/>
      <c r="B143" s="45"/>
      <c r="C143" s="46"/>
      <c r="D143" s="45"/>
      <c r="E143" s="20"/>
      <c r="F143" s="46"/>
      <c r="G143" s="45"/>
      <c r="H143" s="20"/>
      <c r="I143" s="81"/>
      <c r="J143" s="81"/>
      <c r="K143" s="81"/>
      <c r="L143" s="55"/>
    </row>
    <row r="144" spans="1:12" x14ac:dyDescent="0.2">
      <c r="A144" s="82"/>
      <c r="B144" s="45"/>
      <c r="C144" s="46"/>
      <c r="D144" s="45"/>
      <c r="E144" s="20"/>
      <c r="F144" s="46"/>
      <c r="G144" s="45"/>
      <c r="H144" s="20"/>
      <c r="I144" s="81"/>
      <c r="J144" s="81"/>
      <c r="K144" s="81"/>
      <c r="L144" s="81"/>
    </row>
    <row r="145" spans="1:12" x14ac:dyDescent="0.2">
      <c r="A145" s="44"/>
      <c r="B145" s="45"/>
      <c r="C145" s="46"/>
      <c r="D145" s="45"/>
      <c r="E145" s="20"/>
      <c r="F145" s="46"/>
      <c r="G145" s="20"/>
      <c r="H145" s="20"/>
      <c r="I145" s="46"/>
      <c r="J145" s="46"/>
      <c r="K145" s="46"/>
      <c r="L145" s="46"/>
    </row>
    <row r="146" spans="1:12" x14ac:dyDescent="0.2">
      <c r="A146" s="44"/>
      <c r="B146" s="45"/>
      <c r="C146" s="46"/>
      <c r="D146" s="20"/>
      <c r="E146" s="20"/>
      <c r="F146" s="46"/>
      <c r="G146" s="20"/>
      <c r="H146" s="20"/>
      <c r="I146" s="46"/>
      <c r="J146" s="46"/>
      <c r="K146" s="46"/>
      <c r="L146" s="46"/>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20"/>
      <c r="F150" s="46"/>
      <c r="G150" s="20"/>
      <c r="H150" s="20"/>
      <c r="I150" s="46"/>
      <c r="J150" s="46"/>
      <c r="K150" s="46"/>
      <c r="L150" s="46"/>
    </row>
    <row r="151" spans="1:12" x14ac:dyDescent="0.2">
      <c r="A151" s="44"/>
      <c r="B151" s="45"/>
      <c r="C151" s="46"/>
      <c r="D151" s="45"/>
      <c r="E151" s="20"/>
      <c r="F151" s="46"/>
      <c r="G151" s="20"/>
      <c r="H151" s="20"/>
      <c r="I151" s="46"/>
      <c r="J151" s="46"/>
      <c r="K151" s="46"/>
      <c r="L151" s="46"/>
    </row>
    <row r="152" spans="1:12" x14ac:dyDescent="0.2">
      <c r="A152" s="44"/>
      <c r="B152" s="45"/>
      <c r="C152" s="46"/>
      <c r="D152" s="45"/>
      <c r="E152" s="20"/>
      <c r="F152" s="46"/>
      <c r="G152" s="20"/>
      <c r="H152" s="20"/>
      <c r="I152" s="46"/>
      <c r="J152" s="46"/>
      <c r="K152" s="46"/>
      <c r="L152" s="46"/>
    </row>
    <row r="153" spans="1:12" x14ac:dyDescent="0.2">
      <c r="A153" s="44"/>
      <c r="B153" s="45"/>
      <c r="C153" s="46"/>
      <c r="D153" s="45"/>
      <c r="E153" s="45"/>
      <c r="F153" s="46"/>
      <c r="G153" s="45"/>
      <c r="H153" s="45"/>
      <c r="I153" s="46"/>
      <c r="J153" s="46"/>
      <c r="K153" s="46"/>
      <c r="L153" s="68"/>
    </row>
    <row r="154" spans="1:12" x14ac:dyDescent="0.2">
      <c r="A154" s="61"/>
      <c r="B154" s="57"/>
      <c r="C154" s="58"/>
      <c r="D154" s="57"/>
      <c r="E154" s="59"/>
      <c r="F154" s="58"/>
      <c r="G154" s="57"/>
      <c r="H154" s="57"/>
      <c r="I154" s="58"/>
      <c r="J154" s="58"/>
      <c r="K154" s="58"/>
      <c r="L154" s="58"/>
    </row>
    <row r="155" spans="1:12" x14ac:dyDescent="0.2">
      <c r="A155" s="44"/>
      <c r="B155" s="45"/>
      <c r="C155" s="46"/>
      <c r="D155" s="45"/>
      <c r="E155" s="20"/>
      <c r="F155" s="46"/>
      <c r="G155" s="45"/>
      <c r="H155" s="45"/>
      <c r="I155" s="46"/>
      <c r="J155" s="46"/>
      <c r="K155" s="46"/>
      <c r="L155" s="46"/>
    </row>
    <row r="156" spans="1:12" x14ac:dyDescent="0.2">
      <c r="A156" s="44"/>
      <c r="B156" s="45"/>
      <c r="C156" s="46"/>
      <c r="D156" s="45"/>
      <c r="E156" s="20"/>
      <c r="F156" s="46"/>
      <c r="G156" s="45"/>
      <c r="H156" s="45"/>
      <c r="I156" s="46"/>
      <c r="J156" s="46"/>
      <c r="K156" s="46"/>
      <c r="L156" s="46"/>
    </row>
    <row r="158" spans="1:12" x14ac:dyDescent="0.2">
      <c r="A158" s="1" t="s">
        <v>73</v>
      </c>
      <c r="B158" s="1" t="s">
        <v>163</v>
      </c>
      <c r="C158" t="s">
        <v>71</v>
      </c>
      <c r="D158" s="49" t="s">
        <v>72</v>
      </c>
      <c r="E158" s="49"/>
    </row>
    <row r="159" spans="1:12" x14ac:dyDescent="0.2">
      <c r="A159" s="24" t="s">
        <v>18</v>
      </c>
      <c r="B159" s="69">
        <f t="shared" ref="B159:B167" si="1">C159/$C$168</f>
        <v>0</v>
      </c>
      <c r="C159" s="7">
        <f>'summary 0625'!I24</f>
        <v>0</v>
      </c>
      <c r="D159">
        <f>33+1+1+1+1+1+8+1</f>
        <v>47</v>
      </c>
      <c r="E159" s="70"/>
    </row>
    <row r="160" spans="1:12" x14ac:dyDescent="0.2">
      <c r="A160" s="24" t="s">
        <v>19</v>
      </c>
      <c r="B160" s="69">
        <f t="shared" si="1"/>
        <v>0.11538461538461539</v>
      </c>
      <c r="C160" s="7">
        <f>'summary 0625'!I25</f>
        <v>3</v>
      </c>
      <c r="D160">
        <f>540+17+1+1+6+10+1+2+12</f>
        <v>590</v>
      </c>
      <c r="E160" s="70"/>
    </row>
    <row r="161" spans="1:5" x14ac:dyDescent="0.2">
      <c r="A161" s="24" t="s">
        <v>20</v>
      </c>
      <c r="B161" s="69">
        <f t="shared" si="1"/>
        <v>0.38461538461538464</v>
      </c>
      <c r="C161" s="7">
        <f>'summary 0625'!I26</f>
        <v>10</v>
      </c>
      <c r="D161">
        <f>13+1+1+1</f>
        <v>16</v>
      </c>
      <c r="E161" s="70"/>
    </row>
    <row r="162" spans="1:5" x14ac:dyDescent="0.2">
      <c r="A162" s="24" t="s">
        <v>33</v>
      </c>
      <c r="B162" s="69">
        <f t="shared" si="1"/>
        <v>7.6923076923076927E-2</v>
      </c>
      <c r="C162" s="7">
        <f>'summary 0625'!I27</f>
        <v>2</v>
      </c>
      <c r="D162">
        <f>36+1</f>
        <v>37</v>
      </c>
      <c r="E162" s="70"/>
    </row>
    <row r="163" spans="1:5" x14ac:dyDescent="0.2">
      <c r="A163" s="24" t="s">
        <v>21</v>
      </c>
      <c r="B163" s="69">
        <f t="shared" si="1"/>
        <v>3.8461538461538464E-2</v>
      </c>
      <c r="C163" s="7">
        <f>'summary 0625'!I28</f>
        <v>1</v>
      </c>
      <c r="D163">
        <f>288+2+13+2+5</f>
        <v>310</v>
      </c>
      <c r="E163" s="70"/>
    </row>
    <row r="164" spans="1:5" x14ac:dyDescent="0.2">
      <c r="A164" s="24" t="s">
        <v>22</v>
      </c>
      <c r="B164" s="69">
        <f t="shared" si="1"/>
        <v>3.8461538461538464E-2</v>
      </c>
      <c r="C164" s="7">
        <f>'summary 0625'!I29</f>
        <v>1</v>
      </c>
      <c r="D164">
        <f>132+2+1+2</f>
        <v>137</v>
      </c>
      <c r="E164" s="70"/>
    </row>
    <row r="165" spans="1:5" x14ac:dyDescent="0.2">
      <c r="A165" s="24" t="s">
        <v>23</v>
      </c>
      <c r="B165" s="69">
        <f t="shared" si="1"/>
        <v>0.11538461538461539</v>
      </c>
      <c r="C165" s="7">
        <f>'summary 0625'!I30</f>
        <v>3</v>
      </c>
      <c r="D165">
        <v>9</v>
      </c>
      <c r="E165" s="70"/>
    </row>
    <row r="166" spans="1:5" x14ac:dyDescent="0.2">
      <c r="A166" s="24" t="s">
        <v>24</v>
      </c>
      <c r="B166" s="69">
        <f t="shared" si="1"/>
        <v>3.8461538461538464E-2</v>
      </c>
      <c r="C166" s="7">
        <f>'summary 0625'!I31</f>
        <v>1</v>
      </c>
      <c r="D166">
        <f>10+5</f>
        <v>15</v>
      </c>
      <c r="E166" s="70"/>
    </row>
    <row r="167" spans="1:5" x14ac:dyDescent="0.2">
      <c r="A167" s="72" t="s">
        <v>164</v>
      </c>
      <c r="B167" s="69">
        <f t="shared" si="1"/>
        <v>0.19230769230769232</v>
      </c>
      <c r="C167" s="7">
        <f>'summary 0625'!I32</f>
        <v>5</v>
      </c>
    </row>
    <row r="168" spans="1:5" x14ac:dyDescent="0.2">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26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f>1+1</f>
        <v>2</v>
      </c>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1*3</f>
        <v>3</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1+1+1+1+1</f>
        <v>5</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1+1+1+1+1+1*2</f>
        <v>7</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row>
    <row r="26" spans="1:11" x14ac:dyDescent="0.2">
      <c r="A26" s="44" t="s">
        <v>20</v>
      </c>
      <c r="B26" s="45"/>
      <c r="C26" s="45"/>
      <c r="D26" s="20"/>
      <c r="E26" s="46"/>
      <c r="F26" s="20"/>
      <c r="G26" s="20"/>
      <c r="H26" s="46"/>
      <c r="I26" s="46">
        <f>1+1+1+1+1+1+1+1+1+1</f>
        <v>10</v>
      </c>
      <c r="J26" s="46"/>
      <c r="K26" s="20"/>
    </row>
    <row r="27" spans="1:11" x14ac:dyDescent="0.2">
      <c r="A27" s="44" t="s">
        <v>33</v>
      </c>
      <c r="B27" s="45"/>
      <c r="C27" s="45"/>
      <c r="D27" s="20"/>
      <c r="E27" s="46"/>
      <c r="F27" s="20"/>
      <c r="G27" s="20"/>
      <c r="H27" s="46"/>
      <c r="I27" s="46">
        <f>1+1</f>
        <v>2</v>
      </c>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row>
    <row r="30" spans="1:11" x14ac:dyDescent="0.2">
      <c r="A30" s="44" t="s">
        <v>23</v>
      </c>
      <c r="B30" s="45"/>
      <c r="C30" s="45"/>
      <c r="D30" s="20"/>
      <c r="E30" s="46"/>
      <c r="F30" s="20"/>
      <c r="G30" s="20"/>
      <c r="H30" s="46"/>
      <c r="I30" s="46">
        <f>1+1+1</f>
        <v>3</v>
      </c>
      <c r="J30" s="46"/>
      <c r="K30" s="46"/>
    </row>
    <row r="31" spans="1:11" x14ac:dyDescent="0.2">
      <c r="A31" s="44" t="s">
        <v>24</v>
      </c>
      <c r="B31" s="45"/>
      <c r="C31" s="45"/>
      <c r="D31" s="20"/>
      <c r="E31" s="46"/>
      <c r="F31" s="20"/>
      <c r="G31" s="20"/>
      <c r="H31" s="46"/>
      <c r="I31" s="46">
        <f>1</f>
        <v>1</v>
      </c>
      <c r="J31" s="46"/>
      <c r="K31" s="46"/>
    </row>
    <row r="32" spans="1:11" ht="13.5" thickBot="1" x14ac:dyDescent="0.25">
      <c r="A32" s="71" t="s">
        <v>161</v>
      </c>
      <c r="I32" s="2">
        <f>1+1+1+1+1</f>
        <v>5</v>
      </c>
      <c r="K32" s="85"/>
    </row>
    <row r="33" spans="1:11" ht="13.5" thickTop="1" x14ac:dyDescent="0.2">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7" s="1" customFormat="1" x14ac:dyDescent="0.2">
      <c r="A1" s="1" t="s">
        <v>61</v>
      </c>
      <c r="G1" s="1" t="s">
        <v>63</v>
      </c>
      <c r="H1" s="1" t="s">
        <v>62</v>
      </c>
      <c r="I1" s="1" t="s">
        <v>64</v>
      </c>
      <c r="J1" s="1" t="s">
        <v>155</v>
      </c>
      <c r="K1" s="1" t="s">
        <v>65</v>
      </c>
      <c r="L1" s="1" t="s">
        <v>66</v>
      </c>
      <c r="M1" s="1" t="s">
        <v>67</v>
      </c>
      <c r="N1" s="1" t="s">
        <v>68</v>
      </c>
      <c r="O1" s="1" t="s">
        <v>156</v>
      </c>
      <c r="P1" s="1" t="s">
        <v>191</v>
      </c>
      <c r="Q1" s="1" t="s">
        <v>228</v>
      </c>
    </row>
    <row r="2" spans="1:17" x14ac:dyDescent="0.2">
      <c r="A2" s="6" t="s">
        <v>0</v>
      </c>
      <c r="B2" s="2"/>
      <c r="H2">
        <f>1+1</f>
        <v>2</v>
      </c>
      <c r="J2">
        <f>1</f>
        <v>1</v>
      </c>
      <c r="K2" s="2"/>
      <c r="L2" s="7"/>
      <c r="M2" s="2"/>
      <c r="N2" s="2"/>
      <c r="P2">
        <f>'summary 0611'!K10</f>
        <v>1</v>
      </c>
    </row>
    <row r="3" spans="1:17" x14ac:dyDescent="0.2">
      <c r="A3" s="6" t="s">
        <v>1</v>
      </c>
      <c r="B3" s="7"/>
      <c r="K3" s="7"/>
      <c r="L3" s="7"/>
      <c r="M3" s="7"/>
      <c r="N3" s="11">
        <v>1</v>
      </c>
      <c r="P3">
        <f>'summary 0611'!K11</f>
        <v>1</v>
      </c>
    </row>
    <row r="4" spans="1:17"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
      <c r="A6" s="6" t="s">
        <v>56</v>
      </c>
      <c r="B6" s="7"/>
      <c r="G6">
        <f>1+1</f>
        <v>2</v>
      </c>
      <c r="H6">
        <f>1+1+1+1</f>
        <v>4</v>
      </c>
      <c r="I6">
        <f>1</f>
        <v>1</v>
      </c>
      <c r="J6">
        <f>1+1+1</f>
        <v>3</v>
      </c>
      <c r="K6" s="7"/>
      <c r="L6" s="7"/>
      <c r="M6" s="7">
        <v>1</v>
      </c>
      <c r="N6" s="11"/>
      <c r="O6">
        <f>'summary 0604'!K14</f>
        <v>1</v>
      </c>
      <c r="P6">
        <f>'summary 0611'!K14</f>
        <v>3</v>
      </c>
    </row>
    <row r="7" spans="1:17" x14ac:dyDescent="0.2">
      <c r="A7" s="6" t="s">
        <v>3</v>
      </c>
      <c r="B7" s="7"/>
      <c r="G7">
        <f>1+1+1</f>
        <v>3</v>
      </c>
      <c r="K7" s="7"/>
      <c r="L7" s="7"/>
      <c r="M7" s="7">
        <v>1</v>
      </c>
      <c r="N7" s="11">
        <f>1</f>
        <v>1</v>
      </c>
      <c r="O7">
        <f>'summary 0604'!K15</f>
        <v>3</v>
      </c>
      <c r="Q7">
        <f>'summary 0618'!K15</f>
        <v>1</v>
      </c>
    </row>
    <row r="8" spans="1:17" x14ac:dyDescent="0.2">
      <c r="A8" s="6" t="s">
        <v>7</v>
      </c>
      <c r="B8" s="7"/>
      <c r="G8">
        <f>1+1+1+1</f>
        <v>4</v>
      </c>
      <c r="H8">
        <f>1</f>
        <v>1</v>
      </c>
      <c r="I8">
        <f>1+1+1+1+1</f>
        <v>5</v>
      </c>
      <c r="J8">
        <f>1</f>
        <v>1</v>
      </c>
      <c r="K8" s="7">
        <v>2</v>
      </c>
      <c r="L8" s="7">
        <v>1</v>
      </c>
      <c r="M8" s="7"/>
      <c r="N8" s="11">
        <f>3</f>
        <v>3</v>
      </c>
      <c r="P8">
        <f>'summary 0611'!K16</f>
        <v>3</v>
      </c>
      <c r="Q8">
        <f>'summary 0618'!K16</f>
        <v>1</v>
      </c>
    </row>
    <row r="9" spans="1:17" x14ac:dyDescent="0.2">
      <c r="A9" s="6" t="s">
        <v>4</v>
      </c>
      <c r="B9" s="7"/>
      <c r="K9" s="7">
        <v>1</v>
      </c>
      <c r="L9" s="7"/>
      <c r="M9" s="7">
        <v>1</v>
      </c>
      <c r="N9" s="11"/>
      <c r="O9">
        <f>'summary 0604'!K17+'summary 0604'!K18</f>
        <v>2</v>
      </c>
      <c r="Q9">
        <f>'summary 0618'!K17</f>
        <v>4</v>
      </c>
    </row>
    <row r="10" spans="1:17" x14ac:dyDescent="0.2">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
      <c r="A11" s="1" t="s">
        <v>61</v>
      </c>
      <c r="G11" s="51">
        <v>36986</v>
      </c>
      <c r="H11" s="51">
        <v>36993</v>
      </c>
      <c r="I11" s="51">
        <v>37000</v>
      </c>
      <c r="J11" s="51">
        <v>37007</v>
      </c>
      <c r="K11" s="51">
        <v>37013</v>
      </c>
      <c r="L11" s="51">
        <v>37021</v>
      </c>
      <c r="M11" s="51">
        <v>37029</v>
      </c>
      <c r="N11" s="51">
        <v>37039</v>
      </c>
      <c r="O11" s="51">
        <v>37046</v>
      </c>
      <c r="P11" s="51">
        <v>37053</v>
      </c>
      <c r="Q11" s="51">
        <v>37060</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63.75" x14ac:dyDescent="0.2">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6.5" x14ac:dyDescent="0.2">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3.75" x14ac:dyDescent="0.2">
      <c r="A107" s="83">
        <v>37063</v>
      </c>
      <c r="B107" s="81" t="s">
        <v>244</v>
      </c>
      <c r="C107" s="81"/>
      <c r="D107" s="81"/>
      <c r="E107" s="81"/>
      <c r="F107" s="81" t="s">
        <v>14</v>
      </c>
      <c r="G107" s="45" t="s">
        <v>245</v>
      </c>
      <c r="H107" s="45" t="s">
        <v>246</v>
      </c>
      <c r="I107" s="81" t="s">
        <v>80</v>
      </c>
      <c r="J107" s="81" t="s">
        <v>79</v>
      </c>
      <c r="K107" s="81" t="s">
        <v>80</v>
      </c>
      <c r="L107" s="81" t="s">
        <v>81</v>
      </c>
    </row>
    <row r="108" spans="1:12" ht="38.25" x14ac:dyDescent="0.2">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8.25" x14ac:dyDescent="0.2">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1" x14ac:dyDescent="0.2">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3.75" x14ac:dyDescent="0.2">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8.25" x14ac:dyDescent="0.2">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1" x14ac:dyDescent="0.2">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3.75" x14ac:dyDescent="0.2">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1" x14ac:dyDescent="0.2">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8.25" x14ac:dyDescent="0.2">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8.25" x14ac:dyDescent="0.2">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6.5" x14ac:dyDescent="0.2">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8.25" x14ac:dyDescent="0.2">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1" x14ac:dyDescent="0.2">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8.25" x14ac:dyDescent="0.2">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2" x14ac:dyDescent="0.2">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8.25" x14ac:dyDescent="0.2">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1" x14ac:dyDescent="0.2">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8.25" x14ac:dyDescent="0.2">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8.25" x14ac:dyDescent="0.2">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
      <c r="A129" s="44">
        <v>37035</v>
      </c>
      <c r="B129" s="45" t="s">
        <v>82</v>
      </c>
      <c r="C129" s="46" t="s">
        <v>20</v>
      </c>
      <c r="D129" s="45" t="s">
        <v>82</v>
      </c>
      <c r="E129" s="20" t="s">
        <v>83</v>
      </c>
      <c r="F129" s="46" t="s">
        <v>84</v>
      </c>
      <c r="G129" s="20" t="s">
        <v>98</v>
      </c>
      <c r="H129" s="20" t="s">
        <v>99</v>
      </c>
      <c r="I129" s="46"/>
      <c r="J129" s="46"/>
      <c r="K129" s="46"/>
      <c r="L129" s="46" t="s">
        <v>81</v>
      </c>
    </row>
    <row r="130" spans="1:12" ht="38.25" x14ac:dyDescent="0.2">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1" x14ac:dyDescent="0.2">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5.5" x14ac:dyDescent="0.2">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27.5" x14ac:dyDescent="0.2">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4.75" x14ac:dyDescent="0.2">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8.25" x14ac:dyDescent="0.2">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0618'!I24</f>
        <v>0</v>
      </c>
      <c r="D141">
        <f>33+1+1+1+1+1</f>
        <v>38</v>
      </c>
      <c r="E141" s="70"/>
    </row>
    <row r="142" spans="1:12" x14ac:dyDescent="0.2">
      <c r="A142" s="24" t="s">
        <v>19</v>
      </c>
      <c r="B142" s="69">
        <f t="shared" si="1"/>
        <v>0</v>
      </c>
      <c r="C142" s="7">
        <f>'summary 0618'!I25</f>
        <v>0</v>
      </c>
      <c r="D142">
        <f>540+17+1+1+6+10+1</f>
        <v>576</v>
      </c>
      <c r="E142" s="70"/>
    </row>
    <row r="143" spans="1:12" x14ac:dyDescent="0.2">
      <c r="A143" s="24" t="s">
        <v>20</v>
      </c>
      <c r="B143" s="69">
        <f t="shared" si="1"/>
        <v>0.625</v>
      </c>
      <c r="C143" s="7">
        <f>'summary 0618'!I26</f>
        <v>10</v>
      </c>
      <c r="D143">
        <f>13+1+1</f>
        <v>15</v>
      </c>
      <c r="E143" s="70"/>
    </row>
    <row r="144" spans="1:12" x14ac:dyDescent="0.2">
      <c r="A144" s="24" t="s">
        <v>33</v>
      </c>
      <c r="B144" s="69">
        <f t="shared" si="1"/>
        <v>0</v>
      </c>
      <c r="C144" s="7">
        <f>'summary 0618'!I27</f>
        <v>0</v>
      </c>
      <c r="D144">
        <f>36+1</f>
        <v>37</v>
      </c>
      <c r="E144" s="70"/>
    </row>
    <row r="145" spans="1:5" x14ac:dyDescent="0.2">
      <c r="A145" s="24" t="s">
        <v>21</v>
      </c>
      <c r="B145" s="69">
        <f t="shared" si="1"/>
        <v>6.25E-2</v>
      </c>
      <c r="C145" s="7">
        <f>'summary 0618'!I28</f>
        <v>1</v>
      </c>
      <c r="D145">
        <f>288+2+13+2</f>
        <v>305</v>
      </c>
      <c r="E145" s="70"/>
    </row>
    <row r="146" spans="1:5" x14ac:dyDescent="0.2">
      <c r="A146" s="24" t="s">
        <v>22</v>
      </c>
      <c r="B146" s="69">
        <f t="shared" si="1"/>
        <v>6.25E-2</v>
      </c>
      <c r="C146" s="7">
        <f>'summary 0618'!I29</f>
        <v>1</v>
      </c>
      <c r="D146">
        <f>132+2+1</f>
        <v>135</v>
      </c>
      <c r="E146" s="70"/>
    </row>
    <row r="147" spans="1:5" x14ac:dyDescent="0.2">
      <c r="A147" s="24" t="s">
        <v>23</v>
      </c>
      <c r="B147" s="69">
        <f t="shared" si="1"/>
        <v>0.125</v>
      </c>
      <c r="C147" s="7">
        <f>'summary 0618'!I30</f>
        <v>2</v>
      </c>
      <c r="D147">
        <v>9</v>
      </c>
      <c r="E147" s="70"/>
    </row>
    <row r="148" spans="1:5" x14ac:dyDescent="0.2">
      <c r="A148" s="24" t="s">
        <v>24</v>
      </c>
      <c r="B148" s="69">
        <f t="shared" si="1"/>
        <v>0</v>
      </c>
      <c r="C148" s="7">
        <f>'summary 0618'!I31</f>
        <v>0</v>
      </c>
      <c r="D148">
        <v>10</v>
      </c>
      <c r="E148" s="70"/>
    </row>
    <row r="149" spans="1:5" x14ac:dyDescent="0.2">
      <c r="A149" s="72" t="s">
        <v>164</v>
      </c>
      <c r="B149" s="69">
        <f t="shared" si="1"/>
        <v>0.125</v>
      </c>
      <c r="C149" s="7">
        <f>'summary 0618'!I32</f>
        <v>2</v>
      </c>
    </row>
    <row r="150" spans="1:5" x14ac:dyDescent="0.2">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4</f>
        <v>4</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4</f>
        <v>4</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c r="J25" s="46"/>
      <c r="K25" s="22"/>
    </row>
    <row r="26" spans="1:11" ht="25.5" x14ac:dyDescent="0.2">
      <c r="A26" s="44" t="s">
        <v>20</v>
      </c>
      <c r="B26" s="45"/>
      <c r="C26" s="45"/>
      <c r="D26" s="20"/>
      <c r="E26" s="46"/>
      <c r="F26" s="20"/>
      <c r="G26" s="20"/>
      <c r="H26" s="46"/>
      <c r="I26" s="46">
        <f>10</f>
        <v>10</v>
      </c>
      <c r="J26" s="46"/>
      <c r="K26" s="20" t="s">
        <v>229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230</v>
      </c>
    </row>
    <row r="29" spans="1:11" ht="25.5" x14ac:dyDescent="0.2">
      <c r="A29" s="44" t="s">
        <v>22</v>
      </c>
      <c r="B29" s="45"/>
      <c r="C29" s="45"/>
      <c r="D29" s="20"/>
      <c r="E29" s="46"/>
      <c r="F29" s="20"/>
      <c r="G29" s="20"/>
      <c r="H29" s="46"/>
      <c r="I29" s="46">
        <f>1</f>
        <v>1</v>
      </c>
      <c r="J29" s="46"/>
      <c r="K29" s="20" t="s">
        <v>231</v>
      </c>
    </row>
    <row r="30" spans="1:11" ht="25.5" x14ac:dyDescent="0.2">
      <c r="A30" s="44" t="s">
        <v>23</v>
      </c>
      <c r="B30" s="45"/>
      <c r="C30" s="45"/>
      <c r="D30" s="20"/>
      <c r="E30" s="46"/>
      <c r="F30" s="20"/>
      <c r="G30" s="20"/>
      <c r="H30" s="46"/>
      <c r="I30" s="46">
        <f>2</f>
        <v>2</v>
      </c>
      <c r="J30" s="46"/>
      <c r="K30" s="46" t="s">
        <v>232</v>
      </c>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233</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2.75" x14ac:dyDescent="0.2"/>
  <cols>
    <col min="2" max="2" width="30.7109375" customWidth="1"/>
    <col min="3" max="3" width="8.8554687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6" s="1" customFormat="1" x14ac:dyDescent="0.2">
      <c r="A1" s="1" t="s">
        <v>61</v>
      </c>
      <c r="G1" s="1" t="s">
        <v>63</v>
      </c>
      <c r="H1" s="1" t="s">
        <v>62</v>
      </c>
      <c r="I1" s="1" t="s">
        <v>64</v>
      </c>
      <c r="J1" s="1" t="s">
        <v>155</v>
      </c>
      <c r="K1" s="1" t="s">
        <v>65</v>
      </c>
      <c r="L1" s="1" t="s">
        <v>66</v>
      </c>
      <c r="M1" s="1" t="s">
        <v>67</v>
      </c>
      <c r="N1" s="1" t="s">
        <v>68</v>
      </c>
      <c r="O1" s="1" t="s">
        <v>156</v>
      </c>
      <c r="P1" s="1" t="s">
        <v>191</v>
      </c>
    </row>
    <row r="2" spans="1:16" x14ac:dyDescent="0.2">
      <c r="A2" s="6" t="s">
        <v>0</v>
      </c>
      <c r="B2" s="2"/>
      <c r="H2">
        <f>1+1</f>
        <v>2</v>
      </c>
      <c r="J2">
        <f>1</f>
        <v>1</v>
      </c>
      <c r="K2" s="2"/>
      <c r="L2" s="7"/>
      <c r="M2" s="2"/>
      <c r="N2" s="2"/>
      <c r="P2">
        <f>'summary 0611'!K10</f>
        <v>1</v>
      </c>
    </row>
    <row r="3" spans="1:16" x14ac:dyDescent="0.2">
      <c r="A3" s="6" t="s">
        <v>1</v>
      </c>
      <c r="B3" s="7"/>
      <c r="K3" s="7"/>
      <c r="L3" s="7"/>
      <c r="M3" s="7"/>
      <c r="N3" s="11">
        <v>1</v>
      </c>
      <c r="P3">
        <f>'summary 0611'!K11</f>
        <v>1</v>
      </c>
    </row>
    <row r="4" spans="1:16"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
      <c r="A5" s="6" t="s">
        <v>60</v>
      </c>
      <c r="B5" s="7"/>
      <c r="G5">
        <f>1+1+1+1+1</f>
        <v>5</v>
      </c>
      <c r="H5">
        <f>1+1+1</f>
        <v>3</v>
      </c>
      <c r="I5">
        <f>1+1+1</f>
        <v>3</v>
      </c>
      <c r="J5">
        <f>1+1</f>
        <v>2</v>
      </c>
      <c r="K5" s="7">
        <v>6</v>
      </c>
      <c r="L5" s="7">
        <v>5</v>
      </c>
      <c r="M5" s="7">
        <v>6</v>
      </c>
      <c r="N5" s="11">
        <f>4</f>
        <v>4</v>
      </c>
      <c r="O5">
        <f>'summary 0604'!K13</f>
        <v>5</v>
      </c>
      <c r="P5">
        <f>'summary 0611'!K13</f>
        <v>2</v>
      </c>
    </row>
    <row r="6" spans="1:16" x14ac:dyDescent="0.2">
      <c r="A6" s="6" t="s">
        <v>56</v>
      </c>
      <c r="B6" s="7"/>
      <c r="G6">
        <f>1+1</f>
        <v>2</v>
      </c>
      <c r="H6">
        <f>1+1+1+1</f>
        <v>4</v>
      </c>
      <c r="I6">
        <f>1</f>
        <v>1</v>
      </c>
      <c r="J6">
        <f>1+1+1</f>
        <v>3</v>
      </c>
      <c r="K6" s="7"/>
      <c r="L6" s="7"/>
      <c r="M6" s="7">
        <v>1</v>
      </c>
      <c r="N6" s="11"/>
      <c r="O6">
        <f>'summary 0604'!K14</f>
        <v>1</v>
      </c>
      <c r="P6">
        <f>'summary 0611'!K14</f>
        <v>3</v>
      </c>
    </row>
    <row r="7" spans="1:16" x14ac:dyDescent="0.2">
      <c r="A7" s="6" t="s">
        <v>3</v>
      </c>
      <c r="B7" s="7"/>
      <c r="G7">
        <f>1+1+1</f>
        <v>3</v>
      </c>
      <c r="K7" s="7"/>
      <c r="L7" s="7"/>
      <c r="M7" s="7">
        <v>1</v>
      </c>
      <c r="N7" s="11">
        <f>1</f>
        <v>1</v>
      </c>
      <c r="O7">
        <f>'summary 0604'!K15</f>
        <v>3</v>
      </c>
    </row>
    <row r="8" spans="1:16" x14ac:dyDescent="0.2">
      <c r="A8" s="6" t="s">
        <v>7</v>
      </c>
      <c r="B8" s="7"/>
      <c r="G8">
        <f>1+1+1+1</f>
        <v>4</v>
      </c>
      <c r="H8">
        <f>1</f>
        <v>1</v>
      </c>
      <c r="I8">
        <f>1+1+1+1+1</f>
        <v>5</v>
      </c>
      <c r="J8">
        <f>1</f>
        <v>1</v>
      </c>
      <c r="K8" s="7">
        <v>2</v>
      </c>
      <c r="L8" s="7">
        <v>1</v>
      </c>
      <c r="M8" s="7"/>
      <c r="N8" s="11">
        <f>3</f>
        <v>3</v>
      </c>
      <c r="P8">
        <f>'summary 0611'!K16</f>
        <v>3</v>
      </c>
    </row>
    <row r="9" spans="1:16" x14ac:dyDescent="0.2">
      <c r="A9" s="6" t="s">
        <v>4</v>
      </c>
      <c r="B9" s="7"/>
      <c r="K9" s="7">
        <v>1</v>
      </c>
      <c r="L9" s="7"/>
      <c r="M9" s="7">
        <v>1</v>
      </c>
      <c r="N9" s="11"/>
      <c r="O9">
        <f>'summary 0604'!K17+'summary 0604'!K18</f>
        <v>2</v>
      </c>
    </row>
    <row r="10" spans="1:16" x14ac:dyDescent="0.2">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
      <c r="A11" s="1" t="s">
        <v>61</v>
      </c>
      <c r="G11" s="51">
        <v>36986</v>
      </c>
      <c r="H11" s="51">
        <v>36993</v>
      </c>
      <c r="I11" s="51">
        <v>37000</v>
      </c>
      <c r="J11" s="51">
        <v>37007</v>
      </c>
      <c r="K11" s="51">
        <v>37013</v>
      </c>
      <c r="L11" s="51">
        <v>37021</v>
      </c>
      <c r="M11" s="51">
        <v>37029</v>
      </c>
      <c r="N11" s="51">
        <v>37039</v>
      </c>
      <c r="O11" s="51">
        <v>37046</v>
      </c>
      <c r="P11" s="51">
        <v>37053</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63.75" x14ac:dyDescent="0.2">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89.25" x14ac:dyDescent="0.2">
      <c r="A105" s="83">
        <v>37057</v>
      </c>
      <c r="B105" s="81" t="s">
        <v>200</v>
      </c>
      <c r="C105" s="81"/>
      <c r="D105" s="81"/>
      <c r="E105" s="81" t="s">
        <v>201</v>
      </c>
      <c r="F105" s="81" t="s">
        <v>13</v>
      </c>
      <c r="G105" s="45" t="s">
        <v>202</v>
      </c>
      <c r="H105" s="45" t="s">
        <v>203</v>
      </c>
      <c r="I105" s="81" t="s">
        <v>79</v>
      </c>
      <c r="J105" s="81" t="s">
        <v>79</v>
      </c>
      <c r="K105" s="81" t="s">
        <v>79</v>
      </c>
      <c r="L105" s="81" t="s">
        <v>81</v>
      </c>
    </row>
    <row r="106" spans="1:12" ht="51" x14ac:dyDescent="0.2">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8.25" x14ac:dyDescent="0.2">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8.25" x14ac:dyDescent="0.2">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6.5" x14ac:dyDescent="0.2">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6.5" x14ac:dyDescent="0.2">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
      <c r="A112" s="75">
        <v>37053</v>
      </c>
      <c r="B112" s="81" t="s">
        <v>167</v>
      </c>
      <c r="C112" s="81" t="s">
        <v>20</v>
      </c>
      <c r="D112" s="81" t="s">
        <v>168</v>
      </c>
      <c r="E112" s="81" t="s">
        <v>169</v>
      </c>
      <c r="F112" s="81" t="s">
        <v>10</v>
      </c>
      <c r="G112" s="45" t="s">
        <v>225</v>
      </c>
      <c r="H112" s="45"/>
      <c r="I112" s="81"/>
      <c r="J112" s="81"/>
      <c r="K112" s="81"/>
      <c r="L112" s="81" t="s">
        <v>81</v>
      </c>
    </row>
    <row r="113" spans="1:12" ht="63.75" x14ac:dyDescent="0.2">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8.25" x14ac:dyDescent="0.2">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1" x14ac:dyDescent="0.2">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8.25" x14ac:dyDescent="0.2">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8.25" x14ac:dyDescent="0.2">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2" x14ac:dyDescent="0.2">
      <c r="A119" s="75">
        <v>37046</v>
      </c>
      <c r="B119" s="45" t="s">
        <v>182</v>
      </c>
      <c r="C119" s="46"/>
      <c r="D119" s="45"/>
      <c r="E119" s="20" t="s">
        <v>183</v>
      </c>
      <c r="F119" s="46" t="s">
        <v>14</v>
      </c>
      <c r="G119" s="45" t="s">
        <v>184</v>
      </c>
      <c r="H119" s="45" t="s">
        <v>185</v>
      </c>
      <c r="I119" s="81" t="s">
        <v>80</v>
      </c>
      <c r="J119" s="81" t="s">
        <v>80</v>
      </c>
      <c r="K119" s="81" t="s">
        <v>80</v>
      </c>
      <c r="L119" s="81" t="s">
        <v>81</v>
      </c>
    </row>
    <row r="120" spans="1:12" ht="76.5" x14ac:dyDescent="0.2">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8.25" x14ac:dyDescent="0.2">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8.25" x14ac:dyDescent="0.2">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1" x14ac:dyDescent="0.2">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5.5" x14ac:dyDescent="0.2">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8.25" x14ac:dyDescent="0.2">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8.25" x14ac:dyDescent="0.2">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
      <c r="A128" s="44">
        <v>37035</v>
      </c>
      <c r="B128" s="45" t="s">
        <v>82</v>
      </c>
      <c r="C128" s="46" t="s">
        <v>20</v>
      </c>
      <c r="D128" s="45" t="s">
        <v>82</v>
      </c>
      <c r="E128" s="20" t="s">
        <v>83</v>
      </c>
      <c r="F128" s="46" t="s">
        <v>84</v>
      </c>
      <c r="G128" s="20" t="s">
        <v>98</v>
      </c>
      <c r="H128" s="20" t="s">
        <v>99</v>
      </c>
      <c r="I128" s="46"/>
      <c r="J128" s="46"/>
      <c r="K128" s="46"/>
      <c r="L128" s="46" t="s">
        <v>81</v>
      </c>
    </row>
    <row r="129" spans="1:12" ht="38.25" x14ac:dyDescent="0.2">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1" x14ac:dyDescent="0.2">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5.5" x14ac:dyDescent="0.2">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27.5" x14ac:dyDescent="0.2">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4.75" x14ac:dyDescent="0.2">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8.25" x14ac:dyDescent="0.2">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 t="shared" ref="B141:B149" si="1">C141/$C$150</f>
        <v>0</v>
      </c>
      <c r="C141" s="7">
        <f>'summary 0611'!I24</f>
        <v>0</v>
      </c>
      <c r="D141">
        <f>33+1+1+1+1</f>
        <v>37</v>
      </c>
      <c r="E141" s="70"/>
    </row>
    <row r="142" spans="1:12" x14ac:dyDescent="0.2">
      <c r="A142" s="24" t="s">
        <v>19</v>
      </c>
      <c r="B142" s="69">
        <f t="shared" si="1"/>
        <v>0.1875</v>
      </c>
      <c r="C142" s="7">
        <f>'summary 0611'!I25</f>
        <v>3</v>
      </c>
      <c r="D142">
        <f>540+17+1</f>
        <v>558</v>
      </c>
      <c r="E142" s="70"/>
    </row>
    <row r="143" spans="1:12" x14ac:dyDescent="0.2">
      <c r="A143" s="24" t="s">
        <v>20</v>
      </c>
      <c r="B143" s="69">
        <f t="shared" si="1"/>
        <v>0.5</v>
      </c>
      <c r="C143" s="7">
        <f>'summary 0611'!I26</f>
        <v>8</v>
      </c>
      <c r="D143">
        <f>13+1</f>
        <v>14</v>
      </c>
      <c r="E143" s="70"/>
    </row>
    <row r="144" spans="1:12" x14ac:dyDescent="0.2">
      <c r="A144" s="24" t="s">
        <v>33</v>
      </c>
      <c r="B144" s="69">
        <f t="shared" si="1"/>
        <v>0</v>
      </c>
      <c r="C144" s="7">
        <f>'summary 0611'!I27</f>
        <v>0</v>
      </c>
      <c r="D144">
        <f>36+1</f>
        <v>37</v>
      </c>
      <c r="E144" s="70"/>
    </row>
    <row r="145" spans="1:5" x14ac:dyDescent="0.2">
      <c r="A145" s="24" t="s">
        <v>21</v>
      </c>
      <c r="B145" s="69">
        <f t="shared" si="1"/>
        <v>6.25E-2</v>
      </c>
      <c r="C145" s="7">
        <f>'summary 0611'!I28</f>
        <v>1</v>
      </c>
      <c r="D145">
        <f>288+2+13</f>
        <v>303</v>
      </c>
      <c r="E145" s="70"/>
    </row>
    <row r="146" spans="1:5" x14ac:dyDescent="0.2">
      <c r="A146" s="24" t="s">
        <v>22</v>
      </c>
      <c r="B146" s="69">
        <f t="shared" si="1"/>
        <v>0.1875</v>
      </c>
      <c r="C146" s="7">
        <f>'summary 0611'!I29</f>
        <v>3</v>
      </c>
      <c r="D146">
        <f>132+2+1</f>
        <v>135</v>
      </c>
      <c r="E146" s="70"/>
    </row>
    <row r="147" spans="1:5" x14ac:dyDescent="0.2">
      <c r="A147" s="24" t="s">
        <v>23</v>
      </c>
      <c r="B147" s="69">
        <f t="shared" si="1"/>
        <v>0</v>
      </c>
      <c r="C147" s="7">
        <f>'summary 0611'!I30</f>
        <v>0</v>
      </c>
      <c r="D147">
        <v>9</v>
      </c>
      <c r="E147" s="70"/>
    </row>
    <row r="148" spans="1:5" x14ac:dyDescent="0.2">
      <c r="A148" s="24" t="s">
        <v>24</v>
      </c>
      <c r="B148" s="69">
        <f t="shared" si="1"/>
        <v>0</v>
      </c>
      <c r="C148" s="7">
        <f>'summary 0611'!I31</f>
        <v>0</v>
      </c>
      <c r="D148">
        <v>10</v>
      </c>
      <c r="E148" s="70"/>
    </row>
    <row r="149" spans="1:5" x14ac:dyDescent="0.2">
      <c r="A149" s="72" t="s">
        <v>164</v>
      </c>
      <c r="B149" s="69">
        <f t="shared" si="1"/>
        <v>6.25E-2</v>
      </c>
      <c r="C149" s="7">
        <f>'summary 0611'!I32</f>
        <v>1</v>
      </c>
    </row>
    <row r="150" spans="1:5" x14ac:dyDescent="0.2">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0" sqref="K30"/>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395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f>
        <v>5</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2</f>
        <v>2</v>
      </c>
    </row>
    <row r="15" spans="1:11" x14ac:dyDescent="0.2">
      <c r="A15" s="11" t="s">
        <v>12</v>
      </c>
      <c r="B15" s="8"/>
      <c r="C15" s="8" t="s">
        <v>3</v>
      </c>
      <c r="D15" s="8"/>
      <c r="E15" s="8"/>
      <c r="F15" s="8"/>
      <c r="G15" s="8"/>
      <c r="H15" s="8"/>
      <c r="I15" s="8"/>
      <c r="J15" s="8"/>
      <c r="K15" s="8">
        <f>2</f>
        <v>2</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2</f>
        <v>2</v>
      </c>
    </row>
    <row r="18" spans="1:11" x14ac:dyDescent="0.2">
      <c r="A18" s="11" t="s">
        <v>30</v>
      </c>
      <c r="B18" s="8"/>
      <c r="C18" s="8" t="s">
        <v>31</v>
      </c>
      <c r="D18" s="8"/>
      <c r="E18" s="8"/>
      <c r="F18" s="8"/>
      <c r="G18" s="8"/>
      <c r="H18" s="8"/>
      <c r="I18" s="8"/>
      <c r="J18" s="8"/>
      <c r="K18" s="84"/>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38.25" x14ac:dyDescent="0.2">
      <c r="A25" s="44" t="s">
        <v>19</v>
      </c>
      <c r="B25" s="45"/>
      <c r="C25" s="45"/>
      <c r="D25" s="20"/>
      <c r="E25" s="46"/>
      <c r="F25" s="20"/>
      <c r="G25" s="20"/>
      <c r="H25" s="46"/>
      <c r="I25" s="7">
        <f>1+1+1+1+1</f>
        <v>5</v>
      </c>
      <c r="J25" s="46"/>
      <c r="K25" s="22" t="s">
        <v>396</v>
      </c>
    </row>
    <row r="26" spans="1:11" ht="38.25" x14ac:dyDescent="0.2">
      <c r="A26" s="44" t="s">
        <v>20</v>
      </c>
      <c r="B26" s="45"/>
      <c r="C26" s="45"/>
      <c r="D26" s="20"/>
      <c r="E26" s="46"/>
      <c r="F26" s="20"/>
      <c r="G26" s="20"/>
      <c r="H26" s="46"/>
      <c r="I26" s="7">
        <f>9</f>
        <v>9</v>
      </c>
      <c r="J26" s="46"/>
      <c r="K26" s="20" t="s">
        <v>397</v>
      </c>
    </row>
    <row r="27" spans="1:11" x14ac:dyDescent="0.2">
      <c r="A27" s="44" t="s">
        <v>33</v>
      </c>
      <c r="B27" s="45"/>
      <c r="C27" s="45"/>
      <c r="D27" s="20"/>
      <c r="E27" s="46"/>
      <c r="F27" s="20"/>
      <c r="G27" s="20"/>
      <c r="H27" s="46"/>
      <c r="I27" s="7"/>
      <c r="J27" s="46"/>
      <c r="K27" s="46"/>
    </row>
    <row r="28" spans="1:11" ht="25.5" x14ac:dyDescent="0.2">
      <c r="A28" s="44" t="s">
        <v>21</v>
      </c>
      <c r="B28" s="45"/>
      <c r="C28" s="45"/>
      <c r="D28" s="20"/>
      <c r="E28" s="46"/>
      <c r="F28" s="20"/>
      <c r="G28" s="20"/>
      <c r="H28" s="46"/>
      <c r="I28" s="7">
        <v>1</v>
      </c>
      <c r="J28" s="46"/>
      <c r="K28" s="46" t="s">
        <v>398</v>
      </c>
    </row>
    <row r="29" spans="1:11" ht="25.5" x14ac:dyDescent="0.2">
      <c r="A29" s="44" t="s">
        <v>22</v>
      </c>
      <c r="B29" s="45"/>
      <c r="C29" s="45"/>
      <c r="D29" s="20"/>
      <c r="E29" s="46"/>
      <c r="F29" s="20"/>
      <c r="G29" s="20"/>
      <c r="H29" s="46"/>
      <c r="I29" s="7">
        <v>1</v>
      </c>
      <c r="J29" s="46"/>
      <c r="K29" s="20" t="s">
        <v>399</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v>1</v>
      </c>
      <c r="K32" s="85"/>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f>1</f>
        <v>1</v>
      </c>
    </row>
    <row r="11" spans="1:11" x14ac:dyDescent="0.2">
      <c r="A11" s="11" t="s">
        <v>9</v>
      </c>
      <c r="B11" s="8"/>
      <c r="C11" s="8" t="s">
        <v>1</v>
      </c>
      <c r="D11" s="8"/>
      <c r="E11" s="8"/>
      <c r="F11" s="8"/>
      <c r="G11" s="8"/>
      <c r="H11" s="8"/>
      <c r="I11" s="8"/>
      <c r="J11" s="8"/>
      <c r="K11" s="8">
        <v>1</v>
      </c>
    </row>
    <row r="12" spans="1:11" x14ac:dyDescent="0.2">
      <c r="A12" s="11" t="s">
        <v>10</v>
      </c>
      <c r="B12" s="8"/>
      <c r="C12" s="8" t="s">
        <v>5</v>
      </c>
      <c r="D12" s="8"/>
      <c r="E12" s="8"/>
      <c r="F12" s="8"/>
      <c r="G12" s="8"/>
      <c r="H12" s="8"/>
      <c r="I12" s="8"/>
      <c r="J12" s="8"/>
      <c r="K12" s="8">
        <f>6</f>
        <v>6</v>
      </c>
    </row>
    <row r="13" spans="1:11" x14ac:dyDescent="0.2">
      <c r="A13" s="11" t="s">
        <v>84</v>
      </c>
      <c r="B13" s="8"/>
      <c r="C13" s="8" t="s">
        <v>55</v>
      </c>
      <c r="D13" s="8"/>
      <c r="E13" s="8"/>
      <c r="F13" s="8"/>
      <c r="G13" s="8"/>
      <c r="H13" s="8"/>
      <c r="I13" s="8"/>
      <c r="J13" s="8"/>
      <c r="K13" s="8">
        <f>2</f>
        <v>2</v>
      </c>
    </row>
    <row r="14" spans="1:11" x14ac:dyDescent="0.2">
      <c r="A14" s="11" t="s">
        <v>151</v>
      </c>
      <c r="B14" s="8"/>
      <c r="C14" s="8" t="s">
        <v>56</v>
      </c>
      <c r="D14" s="8"/>
      <c r="E14" s="8"/>
      <c r="F14" s="8"/>
      <c r="G14" s="8"/>
      <c r="H14" s="8"/>
      <c r="I14" s="8"/>
      <c r="J14" s="8"/>
      <c r="K14" s="8">
        <f>3</f>
        <v>3</v>
      </c>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3</f>
        <v>3</v>
      </c>
    </row>
    <row r="17" spans="1:11" x14ac:dyDescent="0.2">
      <c r="A17" s="11" t="s">
        <v>14</v>
      </c>
      <c r="B17" s="8"/>
      <c r="C17" s="8" t="s">
        <v>4</v>
      </c>
      <c r="D17" s="8"/>
      <c r="E17" s="8"/>
      <c r="F17" s="8"/>
      <c r="G17" s="8"/>
      <c r="H17" s="8"/>
      <c r="I17" s="8"/>
      <c r="J17" s="8"/>
      <c r="K17" s="8"/>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x14ac:dyDescent="0.2">
      <c r="A25" s="44" t="s">
        <v>19</v>
      </c>
      <c r="B25" s="45"/>
      <c r="C25" s="45"/>
      <c r="D25" s="20"/>
      <c r="E25" s="46"/>
      <c r="F25" s="20"/>
      <c r="G25" s="20"/>
      <c r="H25" s="46"/>
      <c r="I25" s="46">
        <f>1+1+1</f>
        <v>3</v>
      </c>
      <c r="J25" s="46"/>
      <c r="K25" s="22" t="s">
        <v>192</v>
      </c>
    </row>
    <row r="26" spans="1:11" x14ac:dyDescent="0.2">
      <c r="A26" s="44" t="s">
        <v>20</v>
      </c>
      <c r="B26" s="45"/>
      <c r="C26" s="45"/>
      <c r="D26" s="20"/>
      <c r="E26" s="46"/>
      <c r="F26" s="20"/>
      <c r="G26" s="20"/>
      <c r="H26" s="46"/>
      <c r="I26" s="46">
        <f>2+2+3+1</f>
        <v>8</v>
      </c>
      <c r="J26" s="46"/>
      <c r="K26" s="20" t="s">
        <v>193</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t="s">
        <v>189</v>
      </c>
    </row>
    <row r="29" spans="1:11" ht="38.25" x14ac:dyDescent="0.2">
      <c r="A29" s="44" t="s">
        <v>22</v>
      </c>
      <c r="B29" s="45"/>
      <c r="C29" s="45"/>
      <c r="D29" s="20"/>
      <c r="E29" s="46"/>
      <c r="F29" s="20"/>
      <c r="G29" s="20"/>
      <c r="H29" s="46"/>
      <c r="I29" s="46">
        <f>1+1+1</f>
        <v>3</v>
      </c>
      <c r="J29" s="46"/>
      <c r="K29" s="20" t="s">
        <v>194</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f>1</f>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88" spans="1:12" ht="15.75" x14ac:dyDescent="0.25">
      <c r="A88" s="62" t="s">
        <v>154</v>
      </c>
      <c r="B88" s="63"/>
      <c r="C88" s="63"/>
      <c r="D88" s="63"/>
      <c r="E88" s="63"/>
      <c r="F88" s="64"/>
      <c r="G88" s="63"/>
      <c r="H88" s="63"/>
      <c r="I88" s="64"/>
      <c r="J88" s="64"/>
      <c r="K88" s="64"/>
      <c r="L88" s="63"/>
    </row>
    <row r="89" spans="1:12" x14ac:dyDescent="0.2">
      <c r="A89" s="63"/>
      <c r="B89" s="63"/>
      <c r="C89" s="63"/>
      <c r="D89" s="63"/>
      <c r="E89" s="63"/>
      <c r="F89" s="64"/>
      <c r="G89" s="63"/>
      <c r="H89" s="63"/>
      <c r="I89" s="64"/>
      <c r="J89" s="64"/>
      <c r="K89" s="64"/>
      <c r="L89" s="63"/>
    </row>
    <row r="90" spans="1:12" x14ac:dyDescent="0.2">
      <c r="A90" s="65" t="s">
        <v>118</v>
      </c>
      <c r="B90" s="63"/>
      <c r="C90" s="63"/>
      <c r="D90" s="63"/>
      <c r="E90" s="63"/>
      <c r="F90" s="64"/>
      <c r="G90" s="63"/>
      <c r="H90" s="63"/>
      <c r="I90" s="64"/>
      <c r="J90" s="64"/>
      <c r="K90" s="64"/>
      <c r="L90" s="63"/>
    </row>
    <row r="91" spans="1:12" x14ac:dyDescent="0.2">
      <c r="A91" s="63" t="s">
        <v>119</v>
      </c>
      <c r="B91" s="63"/>
      <c r="C91" s="63"/>
      <c r="D91" s="63"/>
      <c r="E91" s="63"/>
      <c r="F91" s="64"/>
      <c r="G91" s="63"/>
      <c r="H91" s="63"/>
      <c r="I91" s="64"/>
      <c r="J91" s="64"/>
      <c r="K91" s="64"/>
      <c r="L91" s="63"/>
    </row>
    <row r="92" spans="1:12" x14ac:dyDescent="0.2">
      <c r="A92" s="63" t="s">
        <v>120</v>
      </c>
      <c r="B92" s="63"/>
      <c r="C92" s="63"/>
      <c r="D92" s="63"/>
      <c r="E92" s="63"/>
      <c r="F92" s="64"/>
      <c r="G92" s="63"/>
      <c r="H92" s="63"/>
      <c r="I92" s="64"/>
      <c r="J92" s="64"/>
      <c r="K92" s="64"/>
      <c r="L92" s="63"/>
    </row>
    <row r="93" spans="1:12" x14ac:dyDescent="0.2">
      <c r="A93" s="63" t="s">
        <v>121</v>
      </c>
      <c r="B93" s="63"/>
      <c r="C93" s="63"/>
      <c r="D93" s="63"/>
      <c r="E93" s="63"/>
      <c r="F93" s="64"/>
      <c r="G93" s="63"/>
      <c r="H93" s="63"/>
      <c r="I93" s="64"/>
      <c r="J93" s="64"/>
      <c r="K93" s="64"/>
      <c r="L93" s="63"/>
    </row>
    <row r="94" spans="1:12" x14ac:dyDescent="0.2">
      <c r="A94" s="63" t="s">
        <v>122</v>
      </c>
      <c r="B94" s="63"/>
      <c r="C94" s="63"/>
      <c r="D94" s="63"/>
      <c r="E94" s="63"/>
      <c r="F94" s="64"/>
      <c r="G94" s="63"/>
      <c r="H94" s="63"/>
      <c r="I94" s="64"/>
      <c r="J94" s="64"/>
      <c r="K94" s="64"/>
      <c r="L94" s="63"/>
    </row>
    <row r="95" spans="1:12" x14ac:dyDescent="0.2">
      <c r="A95" s="63" t="s">
        <v>123</v>
      </c>
      <c r="B95" s="63"/>
      <c r="C95" s="63"/>
      <c r="D95" s="63"/>
      <c r="E95" s="63"/>
      <c r="F95" s="64"/>
      <c r="G95" s="63"/>
      <c r="H95" s="63"/>
      <c r="I95" s="64"/>
      <c r="J95" s="64"/>
      <c r="K95" s="64"/>
      <c r="L95" s="63"/>
    </row>
    <row r="96" spans="1:12" x14ac:dyDescent="0.2">
      <c r="A96" s="63" t="s">
        <v>124</v>
      </c>
      <c r="B96" s="63"/>
      <c r="C96" s="63"/>
      <c r="D96" s="63"/>
      <c r="E96" s="63"/>
      <c r="F96" s="64"/>
      <c r="G96" s="63"/>
      <c r="H96" s="63"/>
      <c r="I96" s="64"/>
      <c r="J96" s="64"/>
      <c r="K96" s="64"/>
      <c r="L96" s="63"/>
    </row>
    <row r="97" spans="1:12" x14ac:dyDescent="0.2">
      <c r="A97" s="63" t="s">
        <v>125</v>
      </c>
      <c r="B97" s="63"/>
      <c r="C97" s="63"/>
      <c r="D97" s="63"/>
      <c r="E97" s="63"/>
      <c r="F97" s="64"/>
      <c r="G97" s="63"/>
      <c r="H97" s="63"/>
      <c r="I97" s="64"/>
      <c r="J97" s="64"/>
      <c r="K97" s="64"/>
      <c r="L97" s="63"/>
    </row>
    <row r="98" spans="1:12" x14ac:dyDescent="0.2">
      <c r="A98" s="63" t="s">
        <v>126</v>
      </c>
      <c r="B98" s="63"/>
      <c r="C98" s="63"/>
      <c r="D98" s="63"/>
      <c r="E98" s="63"/>
      <c r="F98" s="64"/>
      <c r="G98" s="63"/>
      <c r="H98" s="63"/>
      <c r="I98" s="64"/>
      <c r="J98" s="64"/>
      <c r="K98" s="64"/>
      <c r="L98" s="63"/>
    </row>
    <row r="99" spans="1:12" x14ac:dyDescent="0.2">
      <c r="A99" s="63" t="s">
        <v>127</v>
      </c>
      <c r="B99" s="63"/>
      <c r="C99" s="63"/>
      <c r="D99" s="63"/>
      <c r="E99" s="63"/>
      <c r="F99" s="64"/>
      <c r="G99" s="63"/>
      <c r="H99" s="63"/>
      <c r="I99" s="64"/>
      <c r="J99" s="64"/>
      <c r="K99" s="64"/>
      <c r="L99" s="63"/>
    </row>
    <row r="100" spans="1:12" x14ac:dyDescent="0.2">
      <c r="A100" s="63"/>
      <c r="B100" s="63"/>
      <c r="C100" s="63"/>
      <c r="D100" s="63"/>
      <c r="E100" s="63"/>
      <c r="F100" s="64"/>
      <c r="G100" s="63"/>
      <c r="H100" s="63"/>
      <c r="I100" s="64"/>
      <c r="J100" s="64"/>
      <c r="K100" s="64"/>
      <c r="L100" s="63"/>
    </row>
    <row r="101" spans="1:12" x14ac:dyDescent="0.2">
      <c r="A101" s="66"/>
      <c r="B101" s="66"/>
      <c r="C101" s="66"/>
      <c r="D101" s="66"/>
      <c r="E101" s="66" t="s">
        <v>128</v>
      </c>
      <c r="F101" s="66"/>
      <c r="G101" s="66"/>
      <c r="H101" s="66"/>
      <c r="I101" s="66" t="s">
        <v>129</v>
      </c>
      <c r="J101" s="66" t="s">
        <v>130</v>
      </c>
      <c r="K101" s="66" t="s">
        <v>131</v>
      </c>
      <c r="L101" s="66" t="s">
        <v>132</v>
      </c>
    </row>
    <row r="102" spans="1:12" x14ac:dyDescent="0.2">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
      <c r="A103" s="66"/>
      <c r="B103" s="66"/>
      <c r="C103" s="66"/>
      <c r="D103" s="66"/>
      <c r="E103" s="66"/>
      <c r="F103" s="66"/>
      <c r="G103" s="66"/>
      <c r="H103" s="66"/>
      <c r="I103" s="66"/>
      <c r="J103" s="66"/>
      <c r="K103" s="66"/>
      <c r="L103" s="66"/>
    </row>
    <row r="104" spans="1:12" ht="38.25" x14ac:dyDescent="0.2">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8.25" x14ac:dyDescent="0.2">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1" x14ac:dyDescent="0.2">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8.25" x14ac:dyDescent="0.2">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8.25" x14ac:dyDescent="0.2">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3.75" x14ac:dyDescent="0.2">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2" x14ac:dyDescent="0.2">
      <c r="A110" s="75">
        <v>37046</v>
      </c>
      <c r="B110" s="45" t="s">
        <v>182</v>
      </c>
      <c r="C110" s="46"/>
      <c r="D110" s="45"/>
      <c r="E110" s="20" t="s">
        <v>183</v>
      </c>
      <c r="F110" s="46" t="s">
        <v>14</v>
      </c>
      <c r="G110" s="45" t="s">
        <v>184</v>
      </c>
      <c r="H110" s="45" t="s">
        <v>185</v>
      </c>
      <c r="I110" s="81" t="s">
        <v>80</v>
      </c>
      <c r="J110" s="81" t="s">
        <v>80</v>
      </c>
      <c r="K110" s="81" t="s">
        <v>80</v>
      </c>
      <c r="L110" s="81" t="s">
        <v>81</v>
      </c>
    </row>
    <row r="111" spans="1:12" ht="76.5" x14ac:dyDescent="0.2">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8.25" x14ac:dyDescent="0.2">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8.25" x14ac:dyDescent="0.2">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1" x14ac:dyDescent="0.2">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5.5" x14ac:dyDescent="0.2">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8.25" x14ac:dyDescent="0.2">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
      <c r="A119" s="61">
        <v>37035</v>
      </c>
      <c r="B119" s="57" t="s">
        <v>82</v>
      </c>
      <c r="C119" s="58" t="s">
        <v>20</v>
      </c>
      <c r="D119" s="57" t="s">
        <v>82</v>
      </c>
      <c r="E119" s="59" t="s">
        <v>83</v>
      </c>
      <c r="F119" s="58" t="s">
        <v>84</v>
      </c>
      <c r="G119" s="59" t="s">
        <v>98</v>
      </c>
      <c r="H119" s="59" t="s">
        <v>99</v>
      </c>
      <c r="I119" s="60"/>
      <c r="J119" s="60"/>
      <c r="K119" s="60"/>
      <c r="L119" s="60" t="s">
        <v>81</v>
      </c>
    </row>
    <row r="120" spans="1:12" ht="38.25" x14ac:dyDescent="0.2">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1" x14ac:dyDescent="0.2">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5.5" x14ac:dyDescent="0.2">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8.25" x14ac:dyDescent="0.2">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27.5" x14ac:dyDescent="0.2">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4.75" x14ac:dyDescent="0.2">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3.75" x14ac:dyDescent="0.2">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8.25" x14ac:dyDescent="0.2">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8.25" x14ac:dyDescent="0.2">
      <c r="A128" s="61">
        <v>37008</v>
      </c>
      <c r="B128" s="57" t="s">
        <v>188</v>
      </c>
      <c r="C128" s="58" t="s">
        <v>33</v>
      </c>
      <c r="D128" s="57" t="s">
        <v>145</v>
      </c>
      <c r="E128" s="59" t="s">
        <v>146</v>
      </c>
      <c r="F128" s="58" t="s">
        <v>10</v>
      </c>
      <c r="G128" s="57" t="s">
        <v>189</v>
      </c>
      <c r="H128" s="57" t="s">
        <v>190</v>
      </c>
      <c r="I128" s="58"/>
      <c r="J128" s="58"/>
      <c r="K128" s="58"/>
      <c r="L128" s="58" t="s">
        <v>81</v>
      </c>
    </row>
    <row r="129" spans="1:12" x14ac:dyDescent="0.2">
      <c r="A129" s="61"/>
      <c r="B129" s="57"/>
      <c r="C129" s="58"/>
      <c r="D129" s="57"/>
      <c r="E129" s="57"/>
      <c r="F129" s="58"/>
      <c r="G129" s="57"/>
      <c r="H129" s="57"/>
      <c r="I129" s="58"/>
      <c r="J129" s="58"/>
      <c r="K129" s="58"/>
      <c r="L129" s="74"/>
    </row>
    <row r="130" spans="1:12" x14ac:dyDescent="0.2">
      <c r="A130" s="61"/>
      <c r="B130" s="57"/>
      <c r="C130" s="58"/>
      <c r="D130" s="57"/>
      <c r="E130" s="57"/>
      <c r="F130" s="58"/>
      <c r="G130" s="57"/>
      <c r="H130" s="57"/>
      <c r="I130" s="58"/>
      <c r="J130" s="58"/>
      <c r="K130" s="58"/>
      <c r="L130" s="74"/>
    </row>
    <row r="131" spans="1:12" x14ac:dyDescent="0.2">
      <c r="A131" s="61"/>
      <c r="B131" s="57"/>
      <c r="C131" s="58"/>
      <c r="D131" s="57"/>
      <c r="E131" s="57"/>
      <c r="F131" s="58"/>
      <c r="G131" s="57"/>
      <c r="H131" s="57"/>
      <c r="I131" s="58"/>
      <c r="J131" s="58"/>
      <c r="K131" s="58"/>
      <c r="L131" s="74"/>
    </row>
    <row r="132" spans="1:12" x14ac:dyDescent="0.2">
      <c r="A132" s="61"/>
      <c r="B132" s="57"/>
      <c r="C132" s="58"/>
      <c r="D132" s="57"/>
      <c r="E132" s="57"/>
      <c r="F132" s="58"/>
      <c r="G132" s="57"/>
      <c r="H132" s="57"/>
      <c r="I132" s="58"/>
      <c r="J132" s="58"/>
      <c r="K132" s="58"/>
      <c r="L132" s="74"/>
    </row>
    <row r="133" spans="1:12" x14ac:dyDescent="0.2">
      <c r="A133" s="61"/>
      <c r="B133" s="57"/>
      <c r="C133" s="58"/>
      <c r="D133" s="57"/>
      <c r="E133" s="57"/>
      <c r="F133" s="58"/>
      <c r="G133" s="57"/>
      <c r="H133" s="57"/>
      <c r="I133" s="58"/>
      <c r="J133" s="58"/>
      <c r="K133" s="58"/>
      <c r="L133" s="74"/>
    </row>
    <row r="134" spans="1:12" x14ac:dyDescent="0.2">
      <c r="A134" s="61"/>
      <c r="B134" s="57"/>
      <c r="C134" s="58"/>
      <c r="D134" s="57"/>
      <c r="E134" s="57"/>
      <c r="F134" s="58"/>
      <c r="G134" s="57"/>
      <c r="H134" s="57"/>
      <c r="I134" s="58"/>
      <c r="J134" s="58"/>
      <c r="K134" s="58"/>
      <c r="L134" s="74"/>
    </row>
    <row r="135" spans="1:12" x14ac:dyDescent="0.2">
      <c r="A135" s="61"/>
      <c r="B135" s="57"/>
      <c r="C135" s="58"/>
      <c r="D135" s="57"/>
      <c r="E135" s="57"/>
      <c r="F135" s="58"/>
      <c r="G135" s="57"/>
      <c r="H135" s="57"/>
      <c r="I135" s="58"/>
      <c r="J135" s="58"/>
      <c r="K135" s="58"/>
      <c r="L135" s="74"/>
    </row>
    <row r="136" spans="1:12" x14ac:dyDescent="0.2">
      <c r="A136" s="61"/>
      <c r="B136" s="57"/>
      <c r="C136" s="58"/>
      <c r="D136" s="57"/>
      <c r="E136" s="59"/>
      <c r="F136" s="58"/>
      <c r="G136" s="57"/>
      <c r="H136" s="57"/>
      <c r="I136" s="58"/>
      <c r="J136" s="58"/>
      <c r="K136" s="58"/>
      <c r="L136" s="58"/>
    </row>
    <row r="137" spans="1:12" x14ac:dyDescent="0.2">
      <c r="A137" s="44"/>
      <c r="B137" s="45"/>
      <c r="C137" s="46"/>
      <c r="D137" s="45"/>
      <c r="E137" s="20"/>
      <c r="F137" s="46"/>
      <c r="G137" s="45"/>
      <c r="H137" s="45"/>
      <c r="I137" s="46"/>
      <c r="J137" s="46"/>
      <c r="K137" s="46"/>
      <c r="L137" s="46"/>
    </row>
    <row r="138" spans="1:12" x14ac:dyDescent="0.2">
      <c r="A138" s="44"/>
      <c r="B138" s="45"/>
      <c r="C138" s="46"/>
      <c r="D138" s="45"/>
      <c r="E138" s="20"/>
      <c r="F138" s="46"/>
      <c r="G138" s="45"/>
      <c r="H138" s="45"/>
      <c r="I138" s="46"/>
      <c r="J138" s="46"/>
      <c r="K138" s="46"/>
      <c r="L138" s="46"/>
    </row>
    <row r="140" spans="1:12" x14ac:dyDescent="0.2">
      <c r="A140" s="1" t="s">
        <v>73</v>
      </c>
      <c r="B140" s="1" t="s">
        <v>163</v>
      </c>
      <c r="C140" t="s">
        <v>71</v>
      </c>
      <c r="D140" s="49" t="s">
        <v>72</v>
      </c>
      <c r="E140" s="49"/>
    </row>
    <row r="141" spans="1:12" x14ac:dyDescent="0.2">
      <c r="A141" s="24" t="s">
        <v>18</v>
      </c>
      <c r="B141" s="69">
        <f>C141/$C$150</f>
        <v>0</v>
      </c>
      <c r="C141" s="7">
        <f>'summary 0604'!I24</f>
        <v>0</v>
      </c>
      <c r="D141">
        <f>33+1+1+1+1</f>
        <v>37</v>
      </c>
      <c r="E141" s="70"/>
    </row>
    <row r="142" spans="1:12" x14ac:dyDescent="0.2">
      <c r="A142" s="24" t="s">
        <v>19</v>
      </c>
      <c r="B142" s="69">
        <f t="shared" ref="B142:B149" si="0">C142/$C$150</f>
        <v>0.1875</v>
      </c>
      <c r="C142" s="7">
        <f>'summary 0604'!I25</f>
        <v>3</v>
      </c>
      <c r="D142">
        <f>540+17</f>
        <v>557</v>
      </c>
      <c r="E142" s="70"/>
    </row>
    <row r="143" spans="1:12" x14ac:dyDescent="0.2">
      <c r="A143" s="24" t="s">
        <v>20</v>
      </c>
      <c r="B143" s="69">
        <f t="shared" si="0"/>
        <v>0.625</v>
      </c>
      <c r="C143" s="7">
        <f>'summary 0604'!I26</f>
        <v>10</v>
      </c>
      <c r="D143">
        <f>13+1</f>
        <v>14</v>
      </c>
      <c r="E143" s="70"/>
    </row>
    <row r="144" spans="1:12" x14ac:dyDescent="0.2">
      <c r="A144" s="24" t="s">
        <v>33</v>
      </c>
      <c r="B144" s="69">
        <f t="shared" si="0"/>
        <v>0</v>
      </c>
      <c r="C144" s="7">
        <f>'summary 0604'!I27</f>
        <v>0</v>
      </c>
      <c r="D144">
        <v>36</v>
      </c>
      <c r="E144" s="70"/>
    </row>
    <row r="145" spans="1:5" x14ac:dyDescent="0.2">
      <c r="A145" s="24" t="s">
        <v>21</v>
      </c>
      <c r="B145" s="69">
        <f t="shared" si="0"/>
        <v>6.25E-2</v>
      </c>
      <c r="C145" s="7">
        <f>'summary 0604'!I28</f>
        <v>1</v>
      </c>
      <c r="D145">
        <f>288+2</f>
        <v>290</v>
      </c>
      <c r="E145" s="70"/>
    </row>
    <row r="146" spans="1:5" x14ac:dyDescent="0.2">
      <c r="A146" s="24" t="s">
        <v>22</v>
      </c>
      <c r="B146" s="69">
        <f t="shared" si="0"/>
        <v>6.25E-2</v>
      </c>
      <c r="C146" s="7">
        <f>'summary 0604'!I29</f>
        <v>1</v>
      </c>
      <c r="D146">
        <f>132+2</f>
        <v>134</v>
      </c>
      <c r="E146" s="70"/>
    </row>
    <row r="147" spans="1:5" x14ac:dyDescent="0.2">
      <c r="A147" s="24" t="s">
        <v>23</v>
      </c>
      <c r="B147" s="69">
        <f t="shared" si="0"/>
        <v>0</v>
      </c>
      <c r="C147" s="7">
        <f>'summary 0604'!I30</f>
        <v>0</v>
      </c>
      <c r="D147">
        <v>9</v>
      </c>
      <c r="E147" s="70"/>
    </row>
    <row r="148" spans="1:5" x14ac:dyDescent="0.2">
      <c r="A148" s="24" t="s">
        <v>24</v>
      </c>
      <c r="B148" s="69">
        <f t="shared" si="0"/>
        <v>0</v>
      </c>
      <c r="C148" s="7">
        <f>'summary 0604'!I31</f>
        <v>0</v>
      </c>
      <c r="D148">
        <v>10</v>
      </c>
      <c r="E148" s="70"/>
    </row>
    <row r="149" spans="1:5" x14ac:dyDescent="0.2">
      <c r="A149" s="72" t="s">
        <v>164</v>
      </c>
      <c r="B149" s="69">
        <f t="shared" si="0"/>
        <v>6.25E-2</v>
      </c>
      <c r="C149" s="7">
        <f>'summary 0604'!I32</f>
        <v>1</v>
      </c>
    </row>
    <row r="150" spans="1:5" x14ac:dyDescent="0.2">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157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54</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50</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98" t="s">
        <v>35</v>
      </c>
      <c r="B1" s="98"/>
      <c r="C1" s="98"/>
      <c r="D1" s="98"/>
      <c r="E1" s="98"/>
      <c r="F1" s="98"/>
      <c r="G1" s="98"/>
      <c r="H1" s="98"/>
      <c r="I1" s="98"/>
      <c r="J1" s="98"/>
      <c r="K1" s="98"/>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98" t="s">
        <v>36</v>
      </c>
      <c r="B1" s="98"/>
      <c r="C1" s="98"/>
      <c r="D1" s="98"/>
      <c r="E1" s="98"/>
      <c r="F1" s="98"/>
      <c r="G1" s="98"/>
      <c r="H1" s="98"/>
      <c r="I1" s="98"/>
      <c r="J1" s="98"/>
      <c r="K1" s="98"/>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opLeftCell="A40" zoomScale="80" zoomScaleNormal="100" workbookViewId="0">
      <selection activeCell="G82" sqref="G81:G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4" width="9.85546875" bestFit="1" customWidth="1"/>
  </cols>
  <sheetData>
    <row r="1" spans="1:24"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
      <c r="A2" s="6" t="s">
        <v>0</v>
      </c>
      <c r="B2" s="2"/>
      <c r="H2">
        <f>1+1</f>
        <v>2</v>
      </c>
      <c r="J2">
        <f>1</f>
        <v>1</v>
      </c>
      <c r="K2" s="2"/>
      <c r="L2" s="7"/>
      <c r="M2" s="2"/>
      <c r="N2" s="2"/>
      <c r="P2">
        <f>'summary 0611'!K10</f>
        <v>1</v>
      </c>
    </row>
    <row r="3" spans="1:24" x14ac:dyDescent="0.2">
      <c r="A3" s="6" t="s">
        <v>1</v>
      </c>
      <c r="B3" s="7"/>
      <c r="K3" s="7"/>
      <c r="L3" s="7"/>
      <c r="M3" s="7"/>
      <c r="N3" s="11">
        <v>1</v>
      </c>
      <c r="P3">
        <f>'summary 0611'!K11</f>
        <v>1</v>
      </c>
      <c r="R3">
        <f>'summary 0625'!K11</f>
        <v>2</v>
      </c>
      <c r="T3">
        <f>'summary 0709'!K10</f>
        <v>1</v>
      </c>
    </row>
    <row r="4" spans="1:24"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
      <c r="A10" s="8" t="s">
        <v>31</v>
      </c>
      <c r="B10" s="7"/>
      <c r="K10" s="7"/>
      <c r="L10" s="7"/>
      <c r="M10" s="7"/>
      <c r="N10" s="7"/>
      <c r="S10">
        <f>'summary 0702'!K18:K18</f>
        <v>1</v>
      </c>
      <c r="U10">
        <f>'summary 0716'!K17</f>
        <v>1</v>
      </c>
      <c r="V10">
        <f>'summary 0723'!K17</f>
        <v>1</v>
      </c>
      <c r="W10">
        <f>'summary 0730'!K18</f>
        <v>2</v>
      </c>
      <c r="X10">
        <f>'summary 0806'!K18</f>
        <v>1</v>
      </c>
    </row>
    <row r="11" spans="1:24"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51" x14ac:dyDescent="0.2">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8.25" x14ac:dyDescent="0.2">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5.5" x14ac:dyDescent="0.2">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63.75" x14ac:dyDescent="0.2">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1" x14ac:dyDescent="0.2">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76.5" x14ac:dyDescent="0.2">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3.75" x14ac:dyDescent="0.2">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8.25" x14ac:dyDescent="0.2">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8.25" x14ac:dyDescent="0.2">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8.25" x14ac:dyDescent="0.2">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6.5" x14ac:dyDescent="0.2">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1" x14ac:dyDescent="0.2">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1" x14ac:dyDescent="0.2">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5.5" x14ac:dyDescent="0.2">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8.25" x14ac:dyDescent="0.2">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102" x14ac:dyDescent="0.2">
      <c r="A124" s="83">
        <v>37068</v>
      </c>
      <c r="B124" s="81" t="s">
        <v>279</v>
      </c>
      <c r="C124" s="81"/>
      <c r="D124" s="81"/>
      <c r="E124" s="81"/>
      <c r="F124" s="81" t="s">
        <v>12</v>
      </c>
      <c r="G124" s="89" t="s">
        <v>280</v>
      </c>
      <c r="H124" s="89" t="s">
        <v>281</v>
      </c>
      <c r="I124" s="81" t="s">
        <v>79</v>
      </c>
      <c r="J124" s="81" t="s">
        <v>80</v>
      </c>
      <c r="K124" s="81" t="s">
        <v>80</v>
      </c>
      <c r="L124" s="81" t="s">
        <v>81</v>
      </c>
    </row>
    <row r="125" spans="1:25" ht="38.25" x14ac:dyDescent="0.2">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63.75" x14ac:dyDescent="0.2">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6.5" x14ac:dyDescent="0.2">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38.25" x14ac:dyDescent="0.2">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8.25" x14ac:dyDescent="0.2">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1" x14ac:dyDescent="0.2">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3.75" x14ac:dyDescent="0.2">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1" x14ac:dyDescent="0.2">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3.75" x14ac:dyDescent="0.2">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8.25" x14ac:dyDescent="0.2">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6.5"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8.25" x14ac:dyDescent="0.2">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2" x14ac:dyDescent="0.2">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1" x14ac:dyDescent="0.2">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5.5" x14ac:dyDescent="0.2">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27.5" x14ac:dyDescent="0.2">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
      <c r="A147" s="44"/>
      <c r="B147" s="45"/>
      <c r="C147" s="46"/>
      <c r="D147" s="45"/>
      <c r="E147" s="20"/>
      <c r="F147" s="46"/>
      <c r="G147" s="20"/>
      <c r="H147" s="20"/>
      <c r="I147" s="46"/>
      <c r="J147" s="46"/>
      <c r="K147" s="46"/>
      <c r="L147" s="46"/>
    </row>
    <row r="148" spans="1:12" x14ac:dyDescent="0.2">
      <c r="A148" s="44"/>
      <c r="B148" s="45"/>
      <c r="C148" s="46"/>
      <c r="D148" s="45"/>
      <c r="E148" s="20"/>
      <c r="F148" s="46"/>
      <c r="G148" s="20"/>
      <c r="H148" s="20"/>
      <c r="I148" s="46"/>
      <c r="J148" s="46"/>
      <c r="K148" s="46"/>
      <c r="L148" s="46"/>
    </row>
    <row r="149" spans="1:12" x14ac:dyDescent="0.2">
      <c r="A149" s="44"/>
      <c r="B149" s="45"/>
      <c r="C149" s="46"/>
      <c r="D149" s="45"/>
      <c r="E149" s="20"/>
      <c r="F149" s="46"/>
      <c r="G149" s="20"/>
      <c r="H149" s="20"/>
      <c r="I149" s="46"/>
      <c r="J149" s="46"/>
      <c r="K149" s="46"/>
      <c r="L149" s="46"/>
    </row>
    <row r="150" spans="1:12" x14ac:dyDescent="0.2">
      <c r="A150" s="44"/>
      <c r="B150" s="45"/>
      <c r="C150" s="46"/>
      <c r="D150" s="45"/>
      <c r="E150" s="45"/>
      <c r="F150" s="46"/>
      <c r="G150" s="45"/>
      <c r="H150" s="45"/>
      <c r="I150" s="46"/>
      <c r="J150" s="46"/>
      <c r="K150" s="46"/>
      <c r="L150" s="68"/>
    </row>
    <row r="151" spans="1:12" x14ac:dyDescent="0.2">
      <c r="A151" s="61"/>
      <c r="B151" s="57"/>
      <c r="C151" s="58"/>
      <c r="D151" s="57"/>
      <c r="E151" s="59"/>
      <c r="F151" s="58"/>
      <c r="G151" s="57"/>
      <c r="H151" s="57"/>
      <c r="I151" s="58"/>
      <c r="J151" s="58"/>
      <c r="K151" s="58"/>
      <c r="L151" s="58"/>
    </row>
    <row r="152" spans="1:12" x14ac:dyDescent="0.2">
      <c r="A152" s="44"/>
      <c r="B152" s="45"/>
      <c r="C152" s="46"/>
      <c r="D152" s="45"/>
      <c r="E152" s="20"/>
      <c r="F152" s="46"/>
      <c r="G152" s="45"/>
      <c r="H152" s="45"/>
      <c r="I152" s="46"/>
      <c r="J152" s="46"/>
      <c r="K152" s="46"/>
      <c r="L152" s="46"/>
    </row>
    <row r="153" spans="1:12" x14ac:dyDescent="0.2">
      <c r="A153" s="44"/>
      <c r="B153" s="45"/>
      <c r="C153" s="46"/>
      <c r="D153" s="45"/>
      <c r="E153" s="20"/>
      <c r="F153" s="46"/>
      <c r="G153" s="45"/>
      <c r="H153" s="45"/>
      <c r="I153" s="46"/>
      <c r="J153" s="46"/>
      <c r="K153" s="46"/>
      <c r="L153" s="46"/>
    </row>
    <row r="155" spans="1:12" x14ac:dyDescent="0.2">
      <c r="A155" s="1" t="s">
        <v>73</v>
      </c>
      <c r="B155" s="1" t="s">
        <v>163</v>
      </c>
      <c r="C155" t="s">
        <v>71</v>
      </c>
      <c r="D155" s="93" t="s">
        <v>304</v>
      </c>
      <c r="E155" s="93" t="s">
        <v>365</v>
      </c>
    </row>
    <row r="156" spans="1:12" x14ac:dyDescent="0.2">
      <c r="A156" s="24" t="s">
        <v>18</v>
      </c>
      <c r="B156" s="69">
        <f t="shared" ref="B156:B164" si="1">C156/$C$165</f>
        <v>0</v>
      </c>
      <c r="C156" s="7"/>
      <c r="D156">
        <f>33+1+1+1+1+1+8+1+1+1+2+1</f>
        <v>52</v>
      </c>
      <c r="E156" s="95"/>
    </row>
    <row r="157" spans="1:12" x14ac:dyDescent="0.2">
      <c r="A157" s="24" t="s">
        <v>19</v>
      </c>
      <c r="B157" s="69">
        <f t="shared" si="1"/>
        <v>0.375</v>
      </c>
      <c r="C157" s="7">
        <f>'summary 0806'!I25</f>
        <v>9</v>
      </c>
      <c r="D157">
        <f>540+17+1+1+6+10+1+2+12+2+1+1+1+3+4+3+1+1+1+8+2+1+1+6</f>
        <v>626</v>
      </c>
      <c r="E157" s="95">
        <f>(C157/D157)*100</f>
        <v>1.4376996805111821</v>
      </c>
    </row>
    <row r="158" spans="1:12" x14ac:dyDescent="0.2">
      <c r="A158" s="24" t="s">
        <v>20</v>
      </c>
      <c r="B158" s="69">
        <f t="shared" si="1"/>
        <v>0.41666666666666669</v>
      </c>
      <c r="C158" s="7">
        <f>'summary 0806'!I26</f>
        <v>10</v>
      </c>
      <c r="D158">
        <f>13+1+1+1+16</f>
        <v>32</v>
      </c>
      <c r="E158" s="95">
        <f>(C158/D158)*100</f>
        <v>31.25</v>
      </c>
    </row>
    <row r="159" spans="1:12" x14ac:dyDescent="0.2">
      <c r="A159" s="24" t="s">
        <v>33</v>
      </c>
      <c r="B159" s="69">
        <f t="shared" si="1"/>
        <v>0</v>
      </c>
      <c r="C159" s="7"/>
      <c r="D159">
        <f>36+1+1</f>
        <v>38</v>
      </c>
      <c r="E159" s="95"/>
    </row>
    <row r="160" spans="1:12" x14ac:dyDescent="0.2">
      <c r="A160" s="24" t="s">
        <v>21</v>
      </c>
      <c r="B160" s="69">
        <f t="shared" si="1"/>
        <v>0.125</v>
      </c>
      <c r="C160" s="7">
        <f>'summary 0806'!I28</f>
        <v>3</v>
      </c>
      <c r="D160">
        <f>288+2+13+2+5+56+59+14+2+3</f>
        <v>444</v>
      </c>
      <c r="E160" s="95">
        <f>(C160/D160)*100</f>
        <v>0.67567567567567566</v>
      </c>
    </row>
    <row r="161" spans="1:5" x14ac:dyDescent="0.2">
      <c r="A161" s="24" t="s">
        <v>22</v>
      </c>
      <c r="B161" s="69">
        <f t="shared" si="1"/>
        <v>4.1666666666666664E-2</v>
      </c>
      <c r="C161" s="7">
        <f>'summary 0806'!I29</f>
        <v>1</v>
      </c>
      <c r="D161">
        <f>132+2+1+2+7+3</f>
        <v>147</v>
      </c>
      <c r="E161" s="95">
        <f>(C161/D161)*100</f>
        <v>0.68027210884353739</v>
      </c>
    </row>
    <row r="162" spans="1:5" x14ac:dyDescent="0.2">
      <c r="A162" s="24" t="s">
        <v>23</v>
      </c>
      <c r="B162" s="69">
        <f t="shared" si="1"/>
        <v>0</v>
      </c>
      <c r="C162" s="7"/>
      <c r="D162">
        <v>9</v>
      </c>
      <c r="E162" s="95"/>
    </row>
    <row r="163" spans="1:5" x14ac:dyDescent="0.2">
      <c r="A163" s="24" t="s">
        <v>24</v>
      </c>
      <c r="B163" s="69">
        <f t="shared" si="1"/>
        <v>0</v>
      </c>
      <c r="C163" s="7"/>
      <c r="D163">
        <f>10+5+2</f>
        <v>17</v>
      </c>
      <c r="E163" s="95"/>
    </row>
    <row r="164" spans="1:5" x14ac:dyDescent="0.2">
      <c r="A164" s="72" t="s">
        <v>164</v>
      </c>
      <c r="B164" s="69">
        <f t="shared" si="1"/>
        <v>4.1666666666666664E-2</v>
      </c>
      <c r="C164" s="7">
        <f>'summary 0806'!I32</f>
        <v>1</v>
      </c>
    </row>
    <row r="165" spans="1:5" x14ac:dyDescent="0.2">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60" fitToHeight="3"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99" t="s">
        <v>53</v>
      </c>
      <c r="B1" s="99"/>
      <c r="C1" s="99"/>
      <c r="D1" s="99"/>
      <c r="E1" s="99"/>
      <c r="F1" s="99"/>
      <c r="G1" s="99"/>
      <c r="H1" s="99"/>
      <c r="I1" s="99"/>
      <c r="J1" s="99"/>
      <c r="K1" s="99"/>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98" t="s">
        <v>43</v>
      </c>
      <c r="C1" s="98"/>
      <c r="D1" s="98"/>
      <c r="E1" s="98"/>
      <c r="F1" s="98"/>
      <c r="G1" s="98"/>
      <c r="H1" s="98"/>
      <c r="I1" s="98"/>
      <c r="J1" s="98"/>
      <c r="K1" s="98"/>
      <c r="L1" s="98"/>
      <c r="M1" s="98"/>
      <c r="N1" s="98"/>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100" t="s">
        <v>45</v>
      </c>
      <c r="C3" s="100"/>
      <c r="D3" s="100"/>
      <c r="E3" s="100"/>
      <c r="F3" s="100"/>
      <c r="G3" s="100"/>
      <c r="H3" s="100"/>
      <c r="I3" s="100"/>
      <c r="J3" s="100"/>
      <c r="K3" s="100"/>
      <c r="L3" s="100"/>
      <c r="M3" s="100"/>
      <c r="N3" s="100"/>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100" t="s">
        <v>44</v>
      </c>
      <c r="C26" s="100"/>
      <c r="D26" s="100"/>
      <c r="E26" s="100"/>
      <c r="F26" s="100"/>
      <c r="G26" s="100"/>
      <c r="H26" s="100"/>
      <c r="I26" s="100"/>
      <c r="J26" s="100"/>
      <c r="K26" s="100"/>
      <c r="L26" s="100"/>
      <c r="M26" s="100"/>
      <c r="N26" s="100"/>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101"/>
      <c r="B51" s="102"/>
      <c r="C51" s="102"/>
      <c r="D51" s="102"/>
      <c r="E51" s="102"/>
      <c r="F51" s="102"/>
      <c r="G51" s="102"/>
      <c r="H51" s="102"/>
      <c r="I51" s="102"/>
      <c r="J51" s="102"/>
      <c r="K51" s="102"/>
      <c r="L51" s="102"/>
      <c r="M51" s="102"/>
      <c r="N51" s="102"/>
      <c r="O51" s="103"/>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375</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24</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1+1+1+1+1+1+1+1+1+1+1+1</f>
        <v>12</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f>
        <v>1</v>
      </c>
    </row>
    <row r="16" spans="1:11" x14ac:dyDescent="0.2">
      <c r="A16" s="11" t="s">
        <v>13</v>
      </c>
      <c r="B16" s="8"/>
      <c r="C16" s="8" t="s">
        <v>7</v>
      </c>
      <c r="D16" s="8"/>
      <c r="E16" s="8"/>
      <c r="F16" s="8"/>
      <c r="G16" s="8"/>
      <c r="H16" s="8"/>
      <c r="I16" s="8"/>
      <c r="J16" s="8"/>
      <c r="K16" s="8">
        <f>1</f>
        <v>1</v>
      </c>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f>
        <v>1</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c r="J24" s="46"/>
      <c r="K24" s="46"/>
    </row>
    <row r="25" spans="1:11" ht="25.5" x14ac:dyDescent="0.2">
      <c r="A25" s="44" t="s">
        <v>19</v>
      </c>
      <c r="B25" s="45"/>
      <c r="C25" s="45"/>
      <c r="D25" s="20"/>
      <c r="E25" s="46"/>
      <c r="F25" s="20"/>
      <c r="G25" s="20"/>
      <c r="H25" s="46"/>
      <c r="I25" s="7">
        <f>1+1+1+1+1+1+1+1+1</f>
        <v>9</v>
      </c>
      <c r="J25" s="46"/>
      <c r="K25" s="22" t="s">
        <v>377</v>
      </c>
    </row>
    <row r="26" spans="1:11" ht="38.25" x14ac:dyDescent="0.2">
      <c r="A26" s="44" t="s">
        <v>20</v>
      </c>
      <c r="B26" s="45"/>
      <c r="C26" s="45"/>
      <c r="D26" s="20"/>
      <c r="E26" s="46"/>
      <c r="F26" s="20"/>
      <c r="G26" s="20"/>
      <c r="H26" s="46"/>
      <c r="I26" s="7">
        <f>1+1+1+1+1+1+1+1+1+1</f>
        <v>10</v>
      </c>
      <c r="J26" s="46"/>
      <c r="K26" s="20" t="s">
        <v>376</v>
      </c>
    </row>
    <row r="27" spans="1:11" x14ac:dyDescent="0.2">
      <c r="A27" s="44" t="s">
        <v>33</v>
      </c>
      <c r="B27" s="45"/>
      <c r="C27" s="45"/>
      <c r="D27" s="20"/>
      <c r="E27" s="46"/>
      <c r="F27" s="20"/>
      <c r="G27" s="20"/>
      <c r="H27" s="46"/>
      <c r="I27" s="7"/>
      <c r="J27" s="46"/>
      <c r="K27" s="46"/>
    </row>
    <row r="28" spans="1:11" x14ac:dyDescent="0.2">
      <c r="A28" s="44" t="s">
        <v>21</v>
      </c>
      <c r="B28" s="45"/>
      <c r="C28" s="45"/>
      <c r="D28" s="20"/>
      <c r="E28" s="46"/>
      <c r="F28" s="20"/>
      <c r="G28" s="20"/>
      <c r="H28" s="46"/>
      <c r="I28" s="7">
        <f>1+1+1</f>
        <v>3</v>
      </c>
      <c r="J28" s="46"/>
      <c r="K28" s="46" t="s">
        <v>160</v>
      </c>
    </row>
    <row r="29" spans="1:11" x14ac:dyDescent="0.2">
      <c r="A29" s="44" t="s">
        <v>22</v>
      </c>
      <c r="B29" s="45"/>
      <c r="C29" s="45"/>
      <c r="D29" s="20"/>
      <c r="E29" s="46"/>
      <c r="F29" s="20"/>
      <c r="G29" s="20"/>
      <c r="H29" s="46"/>
      <c r="I29" s="7">
        <f>1</f>
        <v>1</v>
      </c>
      <c r="J29" s="46"/>
      <c r="K29" s="20" t="s">
        <v>378</v>
      </c>
    </row>
    <row r="30" spans="1:11" x14ac:dyDescent="0.2">
      <c r="A30" s="44" t="s">
        <v>23</v>
      </c>
      <c r="B30" s="45"/>
      <c r="C30" s="45"/>
      <c r="D30" s="20"/>
      <c r="E30" s="46"/>
      <c r="F30" s="20"/>
      <c r="G30" s="20"/>
      <c r="H30" s="46"/>
      <c r="I30" s="7"/>
      <c r="J30" s="46"/>
      <c r="K30" s="46"/>
    </row>
    <row r="31" spans="1:11" x14ac:dyDescent="0.2">
      <c r="A31" s="44" t="s">
        <v>24</v>
      </c>
      <c r="B31" s="45"/>
      <c r="C31" s="45"/>
      <c r="D31" s="20"/>
      <c r="E31" s="46"/>
      <c r="F31" s="20"/>
      <c r="G31" s="20"/>
      <c r="H31" s="46"/>
      <c r="I31" s="7"/>
      <c r="J31" s="46"/>
      <c r="K31" s="46"/>
    </row>
    <row r="32" spans="1:11" ht="13.5" thickBot="1" x14ac:dyDescent="0.25">
      <c r="A32" s="71" t="s">
        <v>161</v>
      </c>
      <c r="I32" s="7">
        <f>1</f>
        <v>1</v>
      </c>
      <c r="K32" s="85" t="s">
        <v>379</v>
      </c>
    </row>
    <row r="33" spans="1:11" ht="13.5" thickTop="1" x14ac:dyDescent="0.2">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3" width="9.85546875" bestFit="1" customWidth="1"/>
  </cols>
  <sheetData>
    <row r="1" spans="1:23"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
      <c r="A2" s="6" t="s">
        <v>0</v>
      </c>
      <c r="B2" s="2"/>
      <c r="H2">
        <f>1+1</f>
        <v>2</v>
      </c>
      <c r="J2">
        <f>1</f>
        <v>1</v>
      </c>
      <c r="K2" s="2"/>
      <c r="L2" s="7"/>
      <c r="M2" s="2"/>
      <c r="N2" s="2"/>
      <c r="P2">
        <f>'summary 0611'!K10</f>
        <v>1</v>
      </c>
    </row>
    <row r="3" spans="1:23" x14ac:dyDescent="0.2">
      <c r="A3" s="6" t="s">
        <v>1</v>
      </c>
      <c r="B3" s="7"/>
      <c r="K3" s="7"/>
      <c r="L3" s="7"/>
      <c r="M3" s="7"/>
      <c r="N3" s="11">
        <v>1</v>
      </c>
      <c r="P3">
        <f>'summary 0611'!K11</f>
        <v>1</v>
      </c>
      <c r="R3">
        <f>'summary 0625'!K11</f>
        <v>2</v>
      </c>
      <c r="T3">
        <f>'summary 0709'!K10</f>
        <v>1</v>
      </c>
    </row>
    <row r="4" spans="1:23"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
      <c r="A9" s="6" t="s">
        <v>4</v>
      </c>
      <c r="B9" s="7"/>
      <c r="K9" s="7">
        <v>1</v>
      </c>
      <c r="L9" s="7"/>
      <c r="M9" s="7">
        <v>1</v>
      </c>
      <c r="N9" s="11"/>
      <c r="O9">
        <f>'summary 0604'!K17+'summary 0604'!K18</f>
        <v>2</v>
      </c>
      <c r="Q9">
        <f>'summary 0618'!K17</f>
        <v>4</v>
      </c>
      <c r="R9">
        <f>'summary 0625'!K17</f>
        <v>7</v>
      </c>
      <c r="V9">
        <f>'summary 0723'!K16</f>
        <v>2</v>
      </c>
      <c r="W9">
        <f>'summary 0730'!K17</f>
        <v>3</v>
      </c>
    </row>
    <row r="10" spans="1:23" x14ac:dyDescent="0.2">
      <c r="A10" s="8" t="s">
        <v>31</v>
      </c>
      <c r="B10" s="7"/>
      <c r="K10" s="7"/>
      <c r="L10" s="7"/>
      <c r="M10" s="7"/>
      <c r="N10" s="7"/>
      <c r="S10">
        <f>'summary 0702'!K18:K18</f>
        <v>1</v>
      </c>
      <c r="U10">
        <f>'summary 0716'!K17</f>
        <v>1</v>
      </c>
      <c r="V10">
        <f>'summary 0723'!K17</f>
        <v>1</v>
      </c>
      <c r="W10">
        <f>'summary 0730'!K18</f>
        <v>2</v>
      </c>
    </row>
    <row r="11" spans="1:23"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ht="38.25" x14ac:dyDescent="0.2">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3.75" x14ac:dyDescent="0.2">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1" x14ac:dyDescent="0.2">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76.5" x14ac:dyDescent="0.2">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3.75" x14ac:dyDescent="0.2">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8.25" x14ac:dyDescent="0.2">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8.25" x14ac:dyDescent="0.2">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8.25" x14ac:dyDescent="0.2">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1" x14ac:dyDescent="0.2">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5.5" x14ac:dyDescent="0.2">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6.5" x14ac:dyDescent="0.2">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1" x14ac:dyDescent="0.2">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8.25" x14ac:dyDescent="0.2">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102" x14ac:dyDescent="0.2">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6.5" x14ac:dyDescent="0.2">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38.25" x14ac:dyDescent="0.2">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8.25" x14ac:dyDescent="0.2">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8.25" x14ac:dyDescent="0.2">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1" x14ac:dyDescent="0.2">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3.75" x14ac:dyDescent="0.2">
      <c r="A128" s="83">
        <v>37063</v>
      </c>
      <c r="B128" s="81" t="s">
        <v>244</v>
      </c>
      <c r="C128" s="81"/>
      <c r="D128" s="81"/>
      <c r="E128" s="81"/>
      <c r="F128" s="81" t="s">
        <v>14</v>
      </c>
      <c r="G128" s="45" t="s">
        <v>245</v>
      </c>
      <c r="H128" s="45" t="s">
        <v>246</v>
      </c>
      <c r="I128" s="81" t="s">
        <v>80</v>
      </c>
      <c r="J128" s="81" t="s">
        <v>79</v>
      </c>
      <c r="K128" s="81" t="s">
        <v>80</v>
      </c>
      <c r="L128" s="81" t="s">
        <v>81</v>
      </c>
    </row>
    <row r="129" spans="1:12" ht="51" x14ac:dyDescent="0.2">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8.25" x14ac:dyDescent="0.2">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3.75" x14ac:dyDescent="0.2">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8.25" x14ac:dyDescent="0.2">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6.5" x14ac:dyDescent="0.2">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6.5" x14ac:dyDescent="0.2">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8.25" x14ac:dyDescent="0.2">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1" x14ac:dyDescent="0.2">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2" x14ac:dyDescent="0.2">
      <c r="A138" s="75">
        <v>37046</v>
      </c>
      <c r="B138" s="45" t="s">
        <v>182</v>
      </c>
      <c r="C138" s="46"/>
      <c r="D138" s="45"/>
      <c r="E138" s="20" t="s">
        <v>183</v>
      </c>
      <c r="F138" s="46" t="s">
        <v>14</v>
      </c>
      <c r="G138" s="45" t="s">
        <v>184</v>
      </c>
      <c r="H138" s="45" t="s">
        <v>185</v>
      </c>
      <c r="I138" s="81" t="s">
        <v>80</v>
      </c>
      <c r="J138" s="81" t="s">
        <v>80</v>
      </c>
      <c r="K138" s="81" t="s">
        <v>80</v>
      </c>
      <c r="L138" s="81" t="s">
        <v>81</v>
      </c>
    </row>
    <row r="139" spans="1:12" ht="38.25" x14ac:dyDescent="0.2">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1" x14ac:dyDescent="0.2">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8.25" x14ac:dyDescent="0.2">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
      <c r="A144" s="44">
        <v>37035</v>
      </c>
      <c r="B144" s="45" t="s">
        <v>82</v>
      </c>
      <c r="C144" s="46" t="s">
        <v>20</v>
      </c>
      <c r="D144" s="45" t="s">
        <v>82</v>
      </c>
      <c r="E144" s="20" t="s">
        <v>83</v>
      </c>
      <c r="F144" s="46" t="s">
        <v>84</v>
      </c>
      <c r="G144" s="20" t="s">
        <v>98</v>
      </c>
      <c r="H144" s="20" t="s">
        <v>99</v>
      </c>
      <c r="I144" s="46"/>
      <c r="J144" s="46"/>
      <c r="K144" s="46"/>
      <c r="L144" s="46" t="s">
        <v>81</v>
      </c>
    </row>
    <row r="145" spans="1:12" ht="38.25" x14ac:dyDescent="0.2">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1" x14ac:dyDescent="0.2">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5.5" x14ac:dyDescent="0.2">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27.5" x14ac:dyDescent="0.2">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4.75" x14ac:dyDescent="0.2">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6.5" x14ac:dyDescent="0.2">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1" x14ac:dyDescent="0.2">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5.5" x14ac:dyDescent="0.2">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27.5" x14ac:dyDescent="0.2">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4.75" x14ac:dyDescent="0.2">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93" t="s">
        <v>365</v>
      </c>
    </row>
    <row r="165" spans="1:12" x14ac:dyDescent="0.2">
      <c r="A165" s="24" t="s">
        <v>18</v>
      </c>
      <c r="B165" s="69">
        <f t="shared" ref="B165:B173" si="1">C165/$C$174</f>
        <v>0</v>
      </c>
      <c r="C165" s="7">
        <f>'summary 0730'!I24</f>
        <v>0</v>
      </c>
      <c r="D165">
        <f>33+1+1+1+1+1+8+1+1+1+2+1</f>
        <v>52</v>
      </c>
      <c r="E165" s="95">
        <f>(C165/D165)*100</f>
        <v>0</v>
      </c>
    </row>
    <row r="166" spans="1:12" x14ac:dyDescent="0.2">
      <c r="A166" s="24" t="s">
        <v>19</v>
      </c>
      <c r="B166" s="69">
        <f t="shared" si="1"/>
        <v>0.16666666666666666</v>
      </c>
      <c r="C166" s="7">
        <f>'summary 0730'!I25</f>
        <v>5</v>
      </c>
      <c r="D166">
        <f>540+17+1+1+6+10+1+2+12+2+1+1+1+3+4+3+1+1+1+8</f>
        <v>616</v>
      </c>
      <c r="E166" s="95">
        <f t="shared" ref="E166:E171" si="2">(C166/D166)*100</f>
        <v>0.81168831168831157</v>
      </c>
    </row>
    <row r="167" spans="1:12" x14ac:dyDescent="0.2">
      <c r="A167" s="24" t="s">
        <v>20</v>
      </c>
      <c r="B167" s="69">
        <f t="shared" si="1"/>
        <v>0.2</v>
      </c>
      <c r="C167" s="7">
        <f>'summary 0730'!I26</f>
        <v>6</v>
      </c>
      <c r="D167">
        <f>13+1+1+1+16</f>
        <v>32</v>
      </c>
      <c r="E167" s="95">
        <f t="shared" si="2"/>
        <v>18.75</v>
      </c>
    </row>
    <row r="168" spans="1:12" x14ac:dyDescent="0.2">
      <c r="A168" s="24" t="s">
        <v>33</v>
      </c>
      <c r="B168" s="69">
        <f t="shared" si="1"/>
        <v>0</v>
      </c>
      <c r="C168" s="7">
        <f>'summary 0730'!I27</f>
        <v>0</v>
      </c>
      <c r="D168">
        <f>36+1</f>
        <v>37</v>
      </c>
      <c r="E168" s="95">
        <f t="shared" si="2"/>
        <v>0</v>
      </c>
    </row>
    <row r="169" spans="1:12" x14ac:dyDescent="0.2">
      <c r="A169" s="24" t="s">
        <v>21</v>
      </c>
      <c r="B169" s="69">
        <f t="shared" si="1"/>
        <v>0.4</v>
      </c>
      <c r="C169" s="7">
        <f>'summary 0730'!I28</f>
        <v>12</v>
      </c>
      <c r="D169">
        <f>288+2+13+2+5+56+59+14</f>
        <v>439</v>
      </c>
      <c r="E169" s="95">
        <f t="shared" si="2"/>
        <v>2.7334851936218678</v>
      </c>
    </row>
    <row r="170" spans="1:12" x14ac:dyDescent="0.2">
      <c r="A170" s="24" t="s">
        <v>22</v>
      </c>
      <c r="B170" s="69">
        <f t="shared" si="1"/>
        <v>0.16666666666666666</v>
      </c>
      <c r="C170" s="7">
        <f>'summary 0730'!I29</f>
        <v>5</v>
      </c>
      <c r="D170">
        <f>132+2+1+2+7+3</f>
        <v>147</v>
      </c>
      <c r="E170" s="95">
        <f t="shared" si="2"/>
        <v>3.4013605442176873</v>
      </c>
    </row>
    <row r="171" spans="1:12" x14ac:dyDescent="0.2">
      <c r="A171" s="24" t="s">
        <v>23</v>
      </c>
      <c r="B171" s="69">
        <f t="shared" si="1"/>
        <v>0</v>
      </c>
      <c r="C171" s="7">
        <f>'summary 0730'!I30</f>
        <v>0</v>
      </c>
      <c r="D171">
        <v>9</v>
      </c>
      <c r="E171" s="95">
        <f t="shared" si="2"/>
        <v>0</v>
      </c>
    </row>
    <row r="172" spans="1:12" x14ac:dyDescent="0.2">
      <c r="A172" s="24" t="s">
        <v>24</v>
      </c>
      <c r="B172" s="69">
        <f t="shared" si="1"/>
        <v>0</v>
      </c>
      <c r="C172" s="7">
        <f>'summary 0730'!I31</f>
        <v>0</v>
      </c>
      <c r="D172">
        <f>10+5+2</f>
        <v>17</v>
      </c>
      <c r="E172" s="95">
        <f>(C172/D172)</f>
        <v>0</v>
      </c>
    </row>
    <row r="173" spans="1:12" x14ac:dyDescent="0.2">
      <c r="A173" s="72" t="s">
        <v>164</v>
      </c>
      <c r="B173" s="69">
        <f t="shared" si="1"/>
        <v>6.6666666666666666E-2</v>
      </c>
      <c r="C173" s="7">
        <f>'summary 0730'!I32</f>
        <v>2</v>
      </c>
    </row>
    <row r="174" spans="1:12" x14ac:dyDescent="0.2">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29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13+2+2</f>
        <v>17</v>
      </c>
    </row>
    <row r="13" spans="1:11" x14ac:dyDescent="0.2">
      <c r="A13" s="11" t="s">
        <v>84</v>
      </c>
      <c r="B13" s="8"/>
      <c r="C13" s="8" t="s">
        <v>55</v>
      </c>
      <c r="D13" s="8"/>
      <c r="E13" s="8"/>
      <c r="F13" s="8"/>
      <c r="G13" s="8"/>
      <c r="H13" s="8"/>
      <c r="I13" s="8"/>
      <c r="J13" s="8"/>
      <c r="K13" s="8">
        <f>1+2+1</f>
        <v>4</v>
      </c>
    </row>
    <row r="14" spans="1:11" x14ac:dyDescent="0.2">
      <c r="A14" s="11" t="s">
        <v>151</v>
      </c>
      <c r="B14" s="8"/>
      <c r="C14" s="8" t="s">
        <v>56</v>
      </c>
      <c r="D14" s="8"/>
      <c r="E14" s="8"/>
      <c r="F14" s="8"/>
      <c r="G14" s="8"/>
      <c r="H14" s="8"/>
      <c r="I14" s="8"/>
      <c r="J14" s="8"/>
      <c r="K14" s="8">
        <f>1</f>
        <v>1</v>
      </c>
    </row>
    <row r="15" spans="1:11" x14ac:dyDescent="0.2">
      <c r="A15" s="11" t="s">
        <v>12</v>
      </c>
      <c r="B15" s="8"/>
      <c r="C15" s="8" t="s">
        <v>3</v>
      </c>
      <c r="D15" s="8"/>
      <c r="E15" s="8"/>
      <c r="F15" s="8"/>
      <c r="G15" s="8"/>
      <c r="H15" s="8"/>
      <c r="I15" s="8"/>
      <c r="J15" s="8"/>
      <c r="K15" s="8">
        <f>1+1</f>
        <v>2</v>
      </c>
    </row>
    <row r="16" spans="1:11" x14ac:dyDescent="0.2">
      <c r="A16" s="11" t="s">
        <v>13</v>
      </c>
      <c r="B16" s="8"/>
      <c r="C16" s="8" t="s">
        <v>7</v>
      </c>
      <c r="D16" s="8"/>
      <c r="E16" s="8"/>
      <c r="F16" s="8"/>
      <c r="G16" s="8"/>
      <c r="H16" s="8"/>
      <c r="I16" s="8"/>
      <c r="J16" s="8"/>
      <c r="K16" s="8"/>
    </row>
    <row r="17" spans="1:11" x14ac:dyDescent="0.2">
      <c r="A17" s="11" t="s">
        <v>14</v>
      </c>
      <c r="B17" s="8"/>
      <c r="C17" s="8" t="s">
        <v>4</v>
      </c>
      <c r="D17" s="8"/>
      <c r="E17" s="8"/>
      <c r="F17" s="8"/>
      <c r="G17" s="8"/>
      <c r="H17" s="8"/>
      <c r="I17" s="8"/>
      <c r="J17" s="8"/>
      <c r="K17" s="8">
        <f>1+1+1</f>
        <v>3</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7">
        <v>0</v>
      </c>
      <c r="J24" s="46"/>
      <c r="K24" s="46"/>
    </row>
    <row r="25" spans="1:11" x14ac:dyDescent="0.2">
      <c r="A25" s="44" t="s">
        <v>19</v>
      </c>
      <c r="B25" s="45"/>
      <c r="C25" s="45"/>
      <c r="D25" s="20"/>
      <c r="E25" s="46"/>
      <c r="F25" s="20"/>
      <c r="G25" s="20"/>
      <c r="H25" s="46"/>
      <c r="I25" s="7">
        <f>1+1+1+1+1</f>
        <v>5</v>
      </c>
      <c r="J25" s="46"/>
      <c r="K25" s="22" t="s">
        <v>364</v>
      </c>
    </row>
    <row r="26" spans="1:11" x14ac:dyDescent="0.2">
      <c r="A26" s="44" t="s">
        <v>20</v>
      </c>
      <c r="B26" s="45"/>
      <c r="C26" s="45"/>
      <c r="D26" s="20"/>
      <c r="E26" s="46"/>
      <c r="F26" s="20"/>
      <c r="G26" s="20"/>
      <c r="H26" s="46"/>
      <c r="I26" s="7">
        <f>1+1+1+1+1+1</f>
        <v>6</v>
      </c>
      <c r="J26" s="46"/>
      <c r="K26" s="20" t="s">
        <v>363</v>
      </c>
    </row>
    <row r="27" spans="1:11" x14ac:dyDescent="0.2">
      <c r="A27" s="44" t="s">
        <v>33</v>
      </c>
      <c r="B27" s="45"/>
      <c r="C27" s="45"/>
      <c r="D27" s="20"/>
      <c r="E27" s="46"/>
      <c r="F27" s="20"/>
      <c r="G27" s="20"/>
      <c r="H27" s="46"/>
      <c r="I27" s="7">
        <v>0</v>
      </c>
      <c r="J27" s="46"/>
      <c r="K27" s="46"/>
    </row>
    <row r="28" spans="1:11" ht="25.5" x14ac:dyDescent="0.2">
      <c r="A28" s="44" t="s">
        <v>21</v>
      </c>
      <c r="B28" s="45"/>
      <c r="C28" s="45"/>
      <c r="D28" s="20"/>
      <c r="E28" s="46"/>
      <c r="F28" s="20"/>
      <c r="G28" s="20"/>
      <c r="H28" s="46"/>
      <c r="I28" s="7">
        <f>1+1+1+1+1+1+1+1+1+1+1+1</f>
        <v>12</v>
      </c>
      <c r="J28" s="46"/>
      <c r="K28" s="46" t="s">
        <v>361</v>
      </c>
    </row>
    <row r="29" spans="1:11" ht="25.5" x14ac:dyDescent="0.2">
      <c r="A29" s="44" t="s">
        <v>22</v>
      </c>
      <c r="B29" s="45"/>
      <c r="C29" s="45"/>
      <c r="D29" s="20"/>
      <c r="E29" s="46"/>
      <c r="F29" s="20"/>
      <c r="G29" s="20"/>
      <c r="H29" s="46"/>
      <c r="I29" s="7">
        <f>1+1+1+1+1</f>
        <v>5</v>
      </c>
      <c r="J29" s="46"/>
      <c r="K29" s="20" t="s">
        <v>362</v>
      </c>
    </row>
    <row r="30" spans="1:11" x14ac:dyDescent="0.2">
      <c r="A30" s="44" t="s">
        <v>23</v>
      </c>
      <c r="B30" s="45"/>
      <c r="C30" s="45"/>
      <c r="D30" s="20"/>
      <c r="E30" s="46"/>
      <c r="F30" s="20"/>
      <c r="G30" s="20"/>
      <c r="H30" s="46"/>
      <c r="I30" s="7">
        <v>0</v>
      </c>
      <c r="J30" s="46"/>
      <c r="K30" s="46"/>
    </row>
    <row r="31" spans="1:11" x14ac:dyDescent="0.2">
      <c r="A31" s="44" t="s">
        <v>24</v>
      </c>
      <c r="B31" s="45"/>
      <c r="C31" s="45"/>
      <c r="D31" s="20"/>
      <c r="E31" s="46"/>
      <c r="F31" s="20"/>
      <c r="G31" s="20"/>
      <c r="H31" s="46"/>
      <c r="I31" s="7">
        <v>0</v>
      </c>
      <c r="J31" s="46"/>
      <c r="K31" s="46"/>
    </row>
    <row r="32" spans="1:11" ht="13.5" thickBot="1" x14ac:dyDescent="0.25">
      <c r="A32" s="71" t="s">
        <v>161</v>
      </c>
      <c r="I32" s="7">
        <f>1+1</f>
        <v>2</v>
      </c>
      <c r="K32" s="85"/>
    </row>
    <row r="33" spans="1:11" ht="13.5" thickTop="1" x14ac:dyDescent="0.2">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2.75" x14ac:dyDescent="0.2"/>
  <cols>
    <col min="1" max="1" width="9.85546875" bestFit="1" customWidth="1"/>
    <col min="2" max="2" width="30.7109375" customWidth="1"/>
    <col min="3" max="3" width="10.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2" width="9.85546875" bestFit="1" customWidth="1"/>
  </cols>
  <sheetData>
    <row r="1" spans="1:22"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
      <c r="A2" s="6" t="s">
        <v>0</v>
      </c>
      <c r="B2" s="2"/>
      <c r="H2">
        <f>1+1</f>
        <v>2</v>
      </c>
      <c r="J2">
        <f>1</f>
        <v>1</v>
      </c>
      <c r="K2" s="2"/>
      <c r="L2" s="7"/>
      <c r="M2" s="2"/>
      <c r="N2" s="2"/>
      <c r="P2">
        <f>'summary 0611'!K10</f>
        <v>1</v>
      </c>
    </row>
    <row r="3" spans="1:22" x14ac:dyDescent="0.2">
      <c r="A3" s="6" t="s">
        <v>1</v>
      </c>
      <c r="B3" s="7"/>
      <c r="K3" s="7"/>
      <c r="L3" s="7"/>
      <c r="M3" s="7"/>
      <c r="N3" s="11">
        <v>1</v>
      </c>
      <c r="P3">
        <f>'summary 0611'!K11</f>
        <v>1</v>
      </c>
      <c r="R3">
        <f>'summary 0625'!K11</f>
        <v>2</v>
      </c>
      <c r="T3">
        <f>'summary 0709'!K10</f>
        <v>1</v>
      </c>
    </row>
    <row r="4" spans="1:22"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
      <c r="A9" s="6" t="s">
        <v>4</v>
      </c>
      <c r="B9" s="7"/>
      <c r="K9" s="7">
        <v>1</v>
      </c>
      <c r="L9" s="7"/>
      <c r="M9" s="7">
        <v>1</v>
      </c>
      <c r="N9" s="11"/>
      <c r="O9">
        <f>'summary 0604'!K17+'summary 0604'!K18</f>
        <v>2</v>
      </c>
      <c r="Q9">
        <f>'summary 0618'!K17</f>
        <v>4</v>
      </c>
      <c r="R9">
        <f>'summary 0625'!K17</f>
        <v>7</v>
      </c>
      <c r="V9">
        <f>'summary 0723'!K16</f>
        <v>2</v>
      </c>
    </row>
    <row r="10" spans="1:22" x14ac:dyDescent="0.2">
      <c r="A10" s="8" t="s">
        <v>31</v>
      </c>
      <c r="B10" s="7"/>
      <c r="K10" s="7"/>
      <c r="L10" s="7"/>
      <c r="M10" s="7"/>
      <c r="N10" s="7"/>
      <c r="S10">
        <f>'summary 0702'!K18:K18</f>
        <v>1</v>
      </c>
      <c r="U10">
        <f>'summary 0716'!K17</f>
        <v>1</v>
      </c>
      <c r="V10">
        <f>'summary 0723'!K17</f>
        <v>1</v>
      </c>
    </row>
    <row r="11" spans="1:22"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76.5" x14ac:dyDescent="0.2">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3.75" x14ac:dyDescent="0.2">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8.25" x14ac:dyDescent="0.2">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8.25" x14ac:dyDescent="0.2">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8.25" x14ac:dyDescent="0.2">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6.5" x14ac:dyDescent="0.2">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1" x14ac:dyDescent="0.2">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1" x14ac:dyDescent="0.2">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5.5" x14ac:dyDescent="0.2">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8.25" x14ac:dyDescent="0.2">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6.5" x14ac:dyDescent="0.2">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1" x14ac:dyDescent="0.2">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8.25" x14ac:dyDescent="0.2">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102" x14ac:dyDescent="0.2">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38.25" x14ac:dyDescent="0.2">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6.5" x14ac:dyDescent="0.2">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3.75" x14ac:dyDescent="0.2">
      <c r="A125" s="83">
        <v>37063</v>
      </c>
      <c r="B125" s="81" t="s">
        <v>244</v>
      </c>
      <c r="C125" s="81"/>
      <c r="D125" s="81"/>
      <c r="E125" s="81"/>
      <c r="F125" s="81" t="s">
        <v>14</v>
      </c>
      <c r="G125" s="45" t="s">
        <v>245</v>
      </c>
      <c r="H125" s="45" t="s">
        <v>246</v>
      </c>
      <c r="I125" s="81" t="s">
        <v>80</v>
      </c>
      <c r="J125" s="81" t="s">
        <v>79</v>
      </c>
      <c r="K125" s="81" t="s">
        <v>80</v>
      </c>
      <c r="L125" s="81" t="s">
        <v>81</v>
      </c>
    </row>
    <row r="126" spans="1:25" ht="38.25" x14ac:dyDescent="0.2">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8.25" x14ac:dyDescent="0.2">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1" x14ac:dyDescent="0.2">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3.75" x14ac:dyDescent="0.2">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8.25" x14ac:dyDescent="0.2">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1" x14ac:dyDescent="0.2">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3.75" x14ac:dyDescent="0.2">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1" x14ac:dyDescent="0.2">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8.25" x14ac:dyDescent="0.2">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8.25" x14ac:dyDescent="0.2">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6.5" x14ac:dyDescent="0.2">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8.25" x14ac:dyDescent="0.2">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1" x14ac:dyDescent="0.2">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8.25" x14ac:dyDescent="0.2">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2" x14ac:dyDescent="0.2">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1" x14ac:dyDescent="0.2">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8.25" x14ac:dyDescent="0.2">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8.25" x14ac:dyDescent="0.2">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
      <c r="A147" s="44">
        <v>37035</v>
      </c>
      <c r="B147" s="45" t="s">
        <v>82</v>
      </c>
      <c r="C147" s="46" t="s">
        <v>20</v>
      </c>
      <c r="D147" s="45" t="s">
        <v>82</v>
      </c>
      <c r="E147" s="20" t="s">
        <v>83</v>
      </c>
      <c r="F147" s="46" t="s">
        <v>84</v>
      </c>
      <c r="G147" s="20" t="s">
        <v>98</v>
      </c>
      <c r="H147" s="20" t="s">
        <v>99</v>
      </c>
      <c r="I147" s="46"/>
      <c r="J147" s="46"/>
      <c r="K147" s="46"/>
      <c r="L147" s="46" t="s">
        <v>81</v>
      </c>
    </row>
    <row r="148" spans="1:12" ht="38.25" x14ac:dyDescent="0.2">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1" x14ac:dyDescent="0.2">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27.5" x14ac:dyDescent="0.2">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4.75" x14ac:dyDescent="0.2">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0723'!I24</f>
        <v>0</v>
      </c>
      <c r="D165">
        <f>33+1+1+1+1+1+8+1+1+1+2+1</f>
        <v>52</v>
      </c>
      <c r="E165" s="70"/>
    </row>
    <row r="166" spans="1:12" x14ac:dyDescent="0.2">
      <c r="A166" s="24" t="s">
        <v>19</v>
      </c>
      <c r="B166" s="69">
        <f t="shared" si="1"/>
        <v>0.47368421052631576</v>
      </c>
      <c r="C166" s="7">
        <f>'summary 0723'!I25</f>
        <v>9</v>
      </c>
      <c r="D166">
        <f>540+17+1+1+6+10+1+2+12+2+1+1+1+3+4+3+1+1+1+8</f>
        <v>616</v>
      </c>
      <c r="E166" s="70"/>
    </row>
    <row r="167" spans="1:12" x14ac:dyDescent="0.2">
      <c r="A167" s="24" t="s">
        <v>20</v>
      </c>
      <c r="B167" s="69">
        <f t="shared" si="1"/>
        <v>0.26315789473684209</v>
      </c>
      <c r="C167" s="7">
        <f>'summary 0723'!I26</f>
        <v>5</v>
      </c>
      <c r="D167">
        <f>13+1+1+1+16</f>
        <v>32</v>
      </c>
      <c r="E167" s="70"/>
    </row>
    <row r="168" spans="1:12" x14ac:dyDescent="0.2">
      <c r="A168" s="24" t="s">
        <v>33</v>
      </c>
      <c r="B168" s="69">
        <f t="shared" si="1"/>
        <v>0.10526315789473684</v>
      </c>
      <c r="C168" s="7">
        <f>'summary 0723'!I27</f>
        <v>2</v>
      </c>
      <c r="D168">
        <f>36+1</f>
        <v>37</v>
      </c>
      <c r="E168" s="70"/>
    </row>
    <row r="169" spans="1:12" x14ac:dyDescent="0.2">
      <c r="A169" s="24" t="s">
        <v>21</v>
      </c>
      <c r="B169" s="69">
        <f t="shared" si="1"/>
        <v>5.2631578947368418E-2</v>
      </c>
      <c r="C169" s="7">
        <f>'summary 0723'!I28</f>
        <v>1</v>
      </c>
      <c r="D169">
        <f>288+2+13+2+5+56+59+14</f>
        <v>439</v>
      </c>
      <c r="E169" s="70"/>
    </row>
    <row r="170" spans="1:12" x14ac:dyDescent="0.2">
      <c r="A170" s="24" t="s">
        <v>22</v>
      </c>
      <c r="B170" s="69">
        <f t="shared" si="1"/>
        <v>0</v>
      </c>
      <c r="C170" s="7">
        <f>'summary 0723'!I29</f>
        <v>0</v>
      </c>
      <c r="D170">
        <f>132+2+1+2+7+3</f>
        <v>147</v>
      </c>
      <c r="E170" s="70"/>
    </row>
    <row r="171" spans="1:12" x14ac:dyDescent="0.2">
      <c r="A171" s="24" t="s">
        <v>23</v>
      </c>
      <c r="B171" s="69">
        <f t="shared" si="1"/>
        <v>0</v>
      </c>
      <c r="C171" s="7">
        <f>'summary 0723'!I30</f>
        <v>0</v>
      </c>
      <c r="D171">
        <v>9</v>
      </c>
      <c r="E171" s="70"/>
    </row>
    <row r="172" spans="1:12" x14ac:dyDescent="0.2">
      <c r="A172" s="24" t="s">
        <v>24</v>
      </c>
      <c r="B172" s="69">
        <f t="shared" si="1"/>
        <v>0</v>
      </c>
      <c r="C172" s="7">
        <f>'summary 0723'!I31</f>
        <v>0</v>
      </c>
      <c r="D172">
        <f>10+5+2</f>
        <v>17</v>
      </c>
      <c r="E172" s="70"/>
    </row>
    <row r="173" spans="1:12" x14ac:dyDescent="0.2">
      <c r="A173" s="72" t="s">
        <v>164</v>
      </c>
      <c r="B173" s="69">
        <f t="shared" si="1"/>
        <v>0.10526315789473684</v>
      </c>
      <c r="C173" s="7">
        <f>'summary 0723'!I32</f>
        <v>2</v>
      </c>
    </row>
    <row r="174" spans="1:12" x14ac:dyDescent="0.2">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98" t="s">
        <v>227</v>
      </c>
      <c r="B1" s="98"/>
      <c r="C1" s="98"/>
      <c r="D1" s="98"/>
      <c r="E1" s="98"/>
      <c r="F1" s="98"/>
      <c r="G1" s="98"/>
      <c r="H1" s="98"/>
      <c r="I1" s="98"/>
      <c r="J1" s="98"/>
      <c r="K1" s="98"/>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SUM(K10:K18)</f>
        <v>19</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6"/>
    </row>
    <row r="11" spans="1:11" x14ac:dyDescent="0.2">
      <c r="A11" s="11" t="s">
        <v>9</v>
      </c>
      <c r="B11" s="8"/>
      <c r="C11" s="8" t="s">
        <v>1</v>
      </c>
      <c r="D11" s="8"/>
      <c r="E11" s="8"/>
      <c r="F11" s="8"/>
      <c r="G11" s="8"/>
      <c r="H11" s="8"/>
      <c r="I11" s="8"/>
      <c r="J11" s="8"/>
      <c r="K11" s="8"/>
    </row>
    <row r="12" spans="1:11" x14ac:dyDescent="0.2">
      <c r="A12" s="11" t="s">
        <v>10</v>
      </c>
      <c r="B12" s="8"/>
      <c r="C12" s="8" t="s">
        <v>5</v>
      </c>
      <c r="D12" s="8"/>
      <c r="E12" s="8"/>
      <c r="F12" s="8"/>
      <c r="G12" s="8"/>
      <c r="H12" s="8"/>
      <c r="I12" s="8"/>
      <c r="J12" s="8"/>
      <c r="K12" s="8">
        <f>1+1+1+1+1+1+1+1+1</f>
        <v>9</v>
      </c>
    </row>
    <row r="13" spans="1:11" x14ac:dyDescent="0.2">
      <c r="A13" s="11" t="s">
        <v>84</v>
      </c>
      <c r="B13" s="8"/>
      <c r="C13" s="8" t="s">
        <v>55</v>
      </c>
      <c r="D13" s="8"/>
      <c r="E13" s="8"/>
      <c r="F13" s="8"/>
      <c r="G13" s="8"/>
      <c r="H13" s="8"/>
      <c r="I13" s="8"/>
      <c r="J13" s="8"/>
      <c r="K13" s="8">
        <f>1+1+1+1+1</f>
        <v>5</v>
      </c>
    </row>
    <row r="14" spans="1:11" x14ac:dyDescent="0.2">
      <c r="A14" s="11" t="s">
        <v>151</v>
      </c>
      <c r="B14" s="8"/>
      <c r="C14" s="8" t="s">
        <v>56</v>
      </c>
      <c r="D14" s="8"/>
      <c r="E14" s="8"/>
      <c r="F14" s="8"/>
      <c r="G14" s="8"/>
      <c r="H14" s="8"/>
      <c r="I14" s="8"/>
      <c r="J14" s="8"/>
      <c r="K14" s="8"/>
    </row>
    <row r="15" spans="1:11" x14ac:dyDescent="0.2">
      <c r="A15" s="11" t="s">
        <v>12</v>
      </c>
      <c r="B15" s="8"/>
      <c r="C15" s="8" t="s">
        <v>3</v>
      </c>
      <c r="D15" s="8"/>
      <c r="E15" s="8"/>
      <c r="F15" s="8"/>
      <c r="G15" s="8"/>
      <c r="H15" s="8"/>
      <c r="I15" s="8"/>
      <c r="J15" s="8"/>
      <c r="K15" s="8"/>
    </row>
    <row r="16" spans="1:11" x14ac:dyDescent="0.2">
      <c r="A16" s="11" t="s">
        <v>13</v>
      </c>
      <c r="B16" s="8"/>
      <c r="C16" s="8" t="s">
        <v>7</v>
      </c>
      <c r="D16" s="8"/>
      <c r="E16" s="8"/>
      <c r="F16" s="8"/>
      <c r="G16" s="8"/>
      <c r="H16" s="8"/>
      <c r="I16" s="8"/>
      <c r="J16" s="8"/>
      <c r="K16" s="8">
        <f>1+1</f>
        <v>2</v>
      </c>
    </row>
    <row r="17" spans="1:11" x14ac:dyDescent="0.2">
      <c r="A17" s="11" t="s">
        <v>14</v>
      </c>
      <c r="B17" s="8"/>
      <c r="C17" s="8" t="s">
        <v>4</v>
      </c>
      <c r="D17" s="8"/>
      <c r="E17" s="8"/>
      <c r="F17" s="8"/>
      <c r="G17" s="8"/>
      <c r="H17" s="8"/>
      <c r="I17" s="8"/>
      <c r="J17" s="8"/>
      <c r="K17" s="8">
        <f>1</f>
        <v>1</v>
      </c>
    </row>
    <row r="18" spans="1:11" x14ac:dyDescent="0.2">
      <c r="A18" s="11" t="s">
        <v>30</v>
      </c>
      <c r="B18" s="8"/>
      <c r="C18" s="8" t="s">
        <v>31</v>
      </c>
      <c r="D18" s="8"/>
      <c r="E18" s="8"/>
      <c r="F18" s="8"/>
      <c r="G18" s="8"/>
      <c r="H18" s="8"/>
      <c r="I18" s="8"/>
      <c r="J18" s="8"/>
      <c r="K18" s="84">
        <f>1+1</f>
        <v>2</v>
      </c>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row>
    <row r="25" spans="1:11" ht="38.25" x14ac:dyDescent="0.2">
      <c r="A25" s="44" t="s">
        <v>19</v>
      </c>
      <c r="B25" s="45"/>
      <c r="C25" s="45"/>
      <c r="D25" s="20"/>
      <c r="E25" s="46"/>
      <c r="F25" s="20"/>
      <c r="G25" s="20"/>
      <c r="H25" s="46"/>
      <c r="I25" s="46">
        <f>1+1+1+1+1+1+1+1+1</f>
        <v>9</v>
      </c>
      <c r="J25" s="46"/>
      <c r="K25" s="22" t="s">
        <v>345</v>
      </c>
    </row>
    <row r="26" spans="1:11" ht="25.5" x14ac:dyDescent="0.2">
      <c r="A26" s="44" t="s">
        <v>20</v>
      </c>
      <c r="B26" s="45"/>
      <c r="C26" s="45"/>
      <c r="D26" s="20"/>
      <c r="E26" s="46"/>
      <c r="F26" s="20"/>
      <c r="G26" s="20"/>
      <c r="H26" s="46"/>
      <c r="I26" s="46">
        <f>1+1+1+1+1</f>
        <v>5</v>
      </c>
      <c r="J26" s="46"/>
      <c r="K26" s="20" t="s">
        <v>346</v>
      </c>
    </row>
    <row r="27" spans="1:11" ht="25.5" x14ac:dyDescent="0.2">
      <c r="A27" s="44" t="s">
        <v>33</v>
      </c>
      <c r="B27" s="45"/>
      <c r="C27" s="45"/>
      <c r="D27" s="20"/>
      <c r="E27" s="46"/>
      <c r="F27" s="20"/>
      <c r="G27" s="20"/>
      <c r="H27" s="46"/>
      <c r="I27" s="46">
        <f>1+1</f>
        <v>2</v>
      </c>
      <c r="J27" s="46"/>
      <c r="K27" s="46" t="s">
        <v>348</v>
      </c>
    </row>
    <row r="28" spans="1:11" x14ac:dyDescent="0.2">
      <c r="A28" s="44" t="s">
        <v>21</v>
      </c>
      <c r="B28" s="45"/>
      <c r="C28" s="45"/>
      <c r="D28" s="20"/>
      <c r="E28" s="46"/>
      <c r="F28" s="20"/>
      <c r="G28" s="20"/>
      <c r="H28" s="46"/>
      <c r="I28" s="46">
        <f>1</f>
        <v>1</v>
      </c>
      <c r="J28" s="46"/>
      <c r="K28" s="46" t="s">
        <v>349</v>
      </c>
    </row>
    <row r="29" spans="1:11" x14ac:dyDescent="0.2">
      <c r="A29" s="44" t="s">
        <v>22</v>
      </c>
      <c r="B29" s="45"/>
      <c r="C29" s="45"/>
      <c r="D29" s="20"/>
      <c r="E29" s="46"/>
      <c r="F29" s="20"/>
      <c r="G29" s="20"/>
      <c r="H29" s="46"/>
      <c r="I29" s="46"/>
      <c r="J29" s="46"/>
      <c r="K29" s="20"/>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26.25" thickBot="1" x14ac:dyDescent="0.25">
      <c r="A32" s="71" t="s">
        <v>161</v>
      </c>
      <c r="I32" s="2">
        <f>1+1</f>
        <v>2</v>
      </c>
      <c r="K32" s="85" t="s">
        <v>347</v>
      </c>
    </row>
    <row r="33" spans="1:11" ht="13.5" thickTop="1" x14ac:dyDescent="0.2">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2.75" x14ac:dyDescent="0.2"/>
  <cols>
    <col min="1" max="1" width="9.85546875" bestFit="1" customWidth="1"/>
    <col min="2" max="2" width="30.7109375" customWidth="1"/>
    <col min="3" max="3" width="8.85546875" customWidth="1"/>
    <col min="4" max="4" width="20.140625" bestFit="1" customWidth="1"/>
    <col min="5" max="5" width="15.140625"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9.85546875" customWidth="1"/>
    <col min="13" max="13" width="13.28515625" bestFit="1" customWidth="1"/>
    <col min="14" max="14" width="10.85546875" bestFit="1" customWidth="1"/>
    <col min="16" max="16" width="12.28515625" customWidth="1"/>
    <col min="17" max="17" width="10.7109375" bestFit="1" customWidth="1"/>
    <col min="18" max="18" width="13.28515625" bestFit="1" customWidth="1"/>
    <col min="19" max="19" width="9.7109375" bestFit="1" customWidth="1"/>
    <col min="20" max="20" width="11.5703125" bestFit="1" customWidth="1"/>
    <col min="21" max="21" width="9.85546875" bestFit="1" customWidth="1"/>
  </cols>
  <sheetData>
    <row r="1" spans="1:21" s="1" customFormat="1" x14ac:dyDescent="0.2">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
      <c r="A2" s="6" t="s">
        <v>0</v>
      </c>
      <c r="B2" s="2"/>
      <c r="H2">
        <f>1+1</f>
        <v>2</v>
      </c>
      <c r="J2">
        <f>1</f>
        <v>1</v>
      </c>
      <c r="K2" s="2"/>
      <c r="L2" s="7"/>
      <c r="M2" s="2"/>
      <c r="N2" s="2"/>
      <c r="P2">
        <f>'summary 0611'!K10</f>
        <v>1</v>
      </c>
    </row>
    <row r="3" spans="1:21" x14ac:dyDescent="0.2">
      <c r="A3" s="6" t="s">
        <v>1</v>
      </c>
      <c r="B3" s="7"/>
      <c r="K3" s="7"/>
      <c r="L3" s="7"/>
      <c r="M3" s="7"/>
      <c r="N3" s="11">
        <v>1</v>
      </c>
      <c r="P3">
        <f>'summary 0611'!K11</f>
        <v>1</v>
      </c>
      <c r="R3">
        <f>'summary 0625'!K11</f>
        <v>2</v>
      </c>
      <c r="T3">
        <f>'summary 0709'!K10</f>
        <v>1</v>
      </c>
    </row>
    <row r="4" spans="1:21" x14ac:dyDescent="0.2">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
      <c r="A9" s="6" t="s">
        <v>4</v>
      </c>
      <c r="B9" s="7"/>
      <c r="K9" s="7">
        <v>1</v>
      </c>
      <c r="L9" s="7"/>
      <c r="M9" s="7">
        <v>1</v>
      </c>
      <c r="N9" s="11"/>
      <c r="O9">
        <f>'summary 0604'!K17+'summary 0604'!K18</f>
        <v>2</v>
      </c>
      <c r="Q9">
        <f>'summary 0618'!K17</f>
        <v>4</v>
      </c>
      <c r="R9">
        <f>'summary 0625'!K17</f>
        <v>7</v>
      </c>
    </row>
    <row r="10" spans="1:21" x14ac:dyDescent="0.2">
      <c r="A10" s="8" t="s">
        <v>31</v>
      </c>
      <c r="B10" s="7"/>
      <c r="K10" s="7"/>
      <c r="L10" s="7"/>
      <c r="M10" s="7"/>
      <c r="N10" s="7"/>
      <c r="S10">
        <f>'summary 0702'!K18:K18</f>
        <v>1</v>
      </c>
      <c r="U10">
        <f>'summary 0716'!K17</f>
        <v>1</v>
      </c>
    </row>
    <row r="11" spans="1:21" x14ac:dyDescent="0.2">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75" x14ac:dyDescent="0.25">
      <c r="A89" s="62" t="s">
        <v>154</v>
      </c>
      <c r="B89" s="63"/>
      <c r="C89" s="63"/>
      <c r="D89" s="63"/>
      <c r="E89" s="63"/>
      <c r="F89" s="64"/>
      <c r="G89" s="63"/>
      <c r="H89" s="63"/>
      <c r="I89" s="64"/>
      <c r="J89" s="64"/>
      <c r="K89" s="64"/>
      <c r="L89" s="63"/>
    </row>
    <row r="90" spans="1:12" x14ac:dyDescent="0.2">
      <c r="A90" s="63"/>
      <c r="B90" s="63"/>
      <c r="C90" s="63"/>
      <c r="D90" s="63"/>
      <c r="E90" s="63"/>
      <c r="F90" s="64"/>
      <c r="G90" s="63"/>
      <c r="H90" s="63"/>
      <c r="I90" s="64"/>
      <c r="J90" s="64"/>
      <c r="K90" s="64"/>
      <c r="L90" s="63"/>
    </row>
    <row r="91" spans="1:12" x14ac:dyDescent="0.2">
      <c r="A91" s="65" t="s">
        <v>118</v>
      </c>
      <c r="B91" s="63"/>
      <c r="C91" s="63"/>
      <c r="D91" s="63"/>
      <c r="E91" s="63"/>
      <c r="F91" s="64"/>
      <c r="G91" s="63"/>
      <c r="H91" s="63"/>
      <c r="I91" s="64"/>
      <c r="J91" s="64"/>
      <c r="K91" s="64"/>
      <c r="L91" s="63"/>
    </row>
    <row r="92" spans="1:12" x14ac:dyDescent="0.2">
      <c r="A92" s="63" t="s">
        <v>119</v>
      </c>
      <c r="B92" s="63"/>
      <c r="C92" s="63"/>
      <c r="D92" s="63"/>
      <c r="E92" s="63"/>
      <c r="F92" s="64"/>
      <c r="G92" s="63"/>
      <c r="H92" s="63"/>
      <c r="I92" s="64"/>
      <c r="J92" s="64"/>
      <c r="K92" s="64"/>
      <c r="L92" s="63"/>
    </row>
    <row r="93" spans="1:12" x14ac:dyDescent="0.2">
      <c r="A93" s="63" t="s">
        <v>120</v>
      </c>
      <c r="B93" s="63"/>
      <c r="C93" s="63"/>
      <c r="D93" s="63"/>
      <c r="E93" s="63"/>
      <c r="F93" s="64"/>
      <c r="G93" s="63"/>
      <c r="H93" s="63"/>
      <c r="I93" s="64"/>
      <c r="J93" s="64"/>
      <c r="K93" s="64"/>
      <c r="L93" s="63"/>
    </row>
    <row r="94" spans="1:12" x14ac:dyDescent="0.2">
      <c r="A94" s="63" t="s">
        <v>121</v>
      </c>
      <c r="B94" s="63"/>
      <c r="C94" s="63"/>
      <c r="D94" s="63"/>
      <c r="E94" s="63"/>
      <c r="F94" s="64"/>
      <c r="G94" s="63"/>
      <c r="H94" s="63"/>
      <c r="I94" s="64"/>
      <c r="J94" s="64"/>
      <c r="K94" s="64"/>
      <c r="L94" s="63"/>
    </row>
    <row r="95" spans="1:12" x14ac:dyDescent="0.2">
      <c r="A95" s="63" t="s">
        <v>122</v>
      </c>
      <c r="B95" s="63"/>
      <c r="C95" s="63"/>
      <c r="D95" s="63"/>
      <c r="E95" s="63"/>
      <c r="F95" s="64"/>
      <c r="G95" s="63"/>
      <c r="H95" s="63"/>
      <c r="I95" s="64"/>
      <c r="J95" s="64"/>
      <c r="K95" s="64"/>
      <c r="L95" s="63"/>
    </row>
    <row r="96" spans="1:12" x14ac:dyDescent="0.2">
      <c r="A96" s="63" t="s">
        <v>123</v>
      </c>
      <c r="B96" s="63"/>
      <c r="C96" s="63"/>
      <c r="D96" s="63"/>
      <c r="E96" s="63"/>
      <c r="F96" s="64"/>
      <c r="G96" s="63"/>
      <c r="H96" s="63"/>
      <c r="I96" s="64"/>
      <c r="J96" s="64"/>
      <c r="K96" s="64"/>
      <c r="L96" s="63"/>
    </row>
    <row r="97" spans="1:25" x14ac:dyDescent="0.2">
      <c r="A97" s="63" t="s">
        <v>124</v>
      </c>
      <c r="B97" s="63"/>
      <c r="C97" s="63"/>
      <c r="D97" s="63"/>
      <c r="E97" s="63"/>
      <c r="F97" s="64"/>
      <c r="G97" s="63"/>
      <c r="H97" s="63"/>
      <c r="I97" s="64"/>
      <c r="J97" s="64"/>
      <c r="K97" s="64"/>
      <c r="L97" s="63"/>
    </row>
    <row r="98" spans="1:25" x14ac:dyDescent="0.2">
      <c r="A98" s="63" t="s">
        <v>125</v>
      </c>
      <c r="B98" s="63"/>
      <c r="C98" s="63"/>
      <c r="D98" s="63"/>
      <c r="E98" s="63"/>
      <c r="F98" s="64"/>
      <c r="G98" s="63"/>
      <c r="H98" s="63"/>
      <c r="I98" s="64"/>
      <c r="J98" s="64"/>
      <c r="K98" s="64"/>
      <c r="L98" s="63"/>
    </row>
    <row r="99" spans="1:25" x14ac:dyDescent="0.2">
      <c r="A99" s="63" t="s">
        <v>126</v>
      </c>
      <c r="B99" s="63"/>
      <c r="C99" s="63"/>
      <c r="D99" s="63"/>
      <c r="E99" s="63"/>
      <c r="F99" s="64"/>
      <c r="G99" s="63"/>
      <c r="H99" s="63"/>
      <c r="I99" s="64"/>
      <c r="J99" s="64"/>
      <c r="K99" s="64"/>
      <c r="L99" s="63"/>
    </row>
    <row r="100" spans="1:25" x14ac:dyDescent="0.2">
      <c r="A100" s="63" t="s">
        <v>127</v>
      </c>
      <c r="B100" s="63"/>
      <c r="C100" s="63"/>
      <c r="D100" s="63"/>
      <c r="E100" s="63"/>
      <c r="F100" s="64"/>
      <c r="G100" s="63"/>
      <c r="H100" s="63"/>
      <c r="I100" s="64"/>
      <c r="J100" s="64"/>
      <c r="K100" s="64"/>
      <c r="L100" s="63"/>
    </row>
    <row r="101" spans="1:25" x14ac:dyDescent="0.2">
      <c r="A101" s="63"/>
      <c r="B101" s="63"/>
      <c r="C101" s="63"/>
      <c r="D101" s="63"/>
      <c r="E101" s="63"/>
      <c r="F101" s="64"/>
      <c r="G101" s="63"/>
      <c r="H101" s="63"/>
      <c r="I101" s="64"/>
      <c r="J101" s="64"/>
      <c r="K101" s="64"/>
      <c r="L101" s="63"/>
    </row>
    <row r="102" spans="1:25" x14ac:dyDescent="0.2">
      <c r="A102" s="66"/>
      <c r="B102" s="66"/>
      <c r="C102" s="66"/>
      <c r="D102" s="66"/>
      <c r="E102" s="66" t="s">
        <v>128</v>
      </c>
      <c r="F102" s="66"/>
      <c r="G102" s="66"/>
      <c r="H102" s="66"/>
      <c r="I102" s="66" t="s">
        <v>129</v>
      </c>
      <c r="J102" s="66" t="s">
        <v>130</v>
      </c>
      <c r="K102" s="66" t="s">
        <v>131</v>
      </c>
      <c r="L102" s="66" t="s">
        <v>132</v>
      </c>
    </row>
    <row r="103" spans="1:25" x14ac:dyDescent="0.2">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
      <c r="A104" s="66"/>
      <c r="B104" s="66"/>
      <c r="C104" s="66"/>
      <c r="D104" s="66"/>
      <c r="E104" s="66"/>
      <c r="F104" s="66"/>
      <c r="G104" s="66"/>
      <c r="H104" s="66"/>
      <c r="I104" s="66"/>
      <c r="J104" s="66"/>
      <c r="K104" s="66"/>
      <c r="L104" s="66"/>
    </row>
    <row r="105" spans="1:25" x14ac:dyDescent="0.2">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8.25" x14ac:dyDescent="0.2">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8.25" x14ac:dyDescent="0.2">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8.25" x14ac:dyDescent="0.2">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3.75" x14ac:dyDescent="0.2">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6.5" x14ac:dyDescent="0.2">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1" x14ac:dyDescent="0.2">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1" x14ac:dyDescent="0.2">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5.5" x14ac:dyDescent="0.2">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8.25" x14ac:dyDescent="0.2">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6.5" x14ac:dyDescent="0.2">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1" x14ac:dyDescent="0.2">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8.25" x14ac:dyDescent="0.2">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102" x14ac:dyDescent="0.2">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38.25" x14ac:dyDescent="0.2">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63.75" x14ac:dyDescent="0.2">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6.5" x14ac:dyDescent="0.2">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3.75" x14ac:dyDescent="0.2">
      <c r="A123" s="83">
        <v>37063</v>
      </c>
      <c r="B123" s="81" t="s">
        <v>244</v>
      </c>
      <c r="C123" s="81"/>
      <c r="D123" s="81"/>
      <c r="E123" s="81"/>
      <c r="F123" s="81" t="s">
        <v>14</v>
      </c>
      <c r="G123" s="45" t="s">
        <v>245</v>
      </c>
      <c r="H123" s="45" t="s">
        <v>246</v>
      </c>
      <c r="I123" s="81" t="s">
        <v>80</v>
      </c>
      <c r="J123" s="81" t="s">
        <v>79</v>
      </c>
      <c r="K123" s="81" t="s">
        <v>80</v>
      </c>
      <c r="L123" s="81" t="s">
        <v>81</v>
      </c>
    </row>
    <row r="124" spans="1:25" ht="38.25" x14ac:dyDescent="0.2">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8.25" x14ac:dyDescent="0.2">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1" x14ac:dyDescent="0.2">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3.75" x14ac:dyDescent="0.2">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8.25" x14ac:dyDescent="0.2">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1" x14ac:dyDescent="0.2">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3.75" x14ac:dyDescent="0.2">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1" x14ac:dyDescent="0.2">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8.25" x14ac:dyDescent="0.2">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8.25" x14ac:dyDescent="0.2">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6.5" x14ac:dyDescent="0.2">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6.5" x14ac:dyDescent="0.2">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8.25" x14ac:dyDescent="0.2">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8.25" x14ac:dyDescent="0.2">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2" x14ac:dyDescent="0.2">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8.25" x14ac:dyDescent="0.2">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1" x14ac:dyDescent="0.2">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8.25" x14ac:dyDescent="0.2">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
      <c r="A145" s="44">
        <v>37035</v>
      </c>
      <c r="B145" s="45" t="s">
        <v>82</v>
      </c>
      <c r="C145" s="46" t="s">
        <v>20</v>
      </c>
      <c r="D145" s="45" t="s">
        <v>82</v>
      </c>
      <c r="E145" s="20" t="s">
        <v>83</v>
      </c>
      <c r="F145" s="46" t="s">
        <v>84</v>
      </c>
      <c r="G145" s="20" t="s">
        <v>98</v>
      </c>
      <c r="H145" s="20" t="s">
        <v>99</v>
      </c>
      <c r="I145" s="46"/>
      <c r="J145" s="46"/>
      <c r="K145" s="46"/>
      <c r="L145" s="46" t="s">
        <v>81</v>
      </c>
    </row>
    <row r="146" spans="1:12" ht="38.25" x14ac:dyDescent="0.2">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1" x14ac:dyDescent="0.2">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5.5" x14ac:dyDescent="0.2">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27.5" x14ac:dyDescent="0.2">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
      <c r="A151" s="44"/>
      <c r="B151" s="45"/>
      <c r="C151" s="46"/>
      <c r="D151" s="45"/>
      <c r="E151" s="45"/>
      <c r="F151" s="46"/>
      <c r="G151" s="45"/>
      <c r="H151" s="45"/>
      <c r="I151" s="46"/>
      <c r="J151" s="46"/>
      <c r="K151" s="46"/>
      <c r="L151" s="68"/>
    </row>
    <row r="152" spans="1:12" x14ac:dyDescent="0.2">
      <c r="A152" s="44"/>
      <c r="B152" s="45"/>
      <c r="C152" s="46"/>
      <c r="D152" s="45"/>
      <c r="E152" s="45"/>
      <c r="F152" s="46"/>
      <c r="G152" s="45"/>
      <c r="H152" s="45"/>
      <c r="I152" s="46"/>
      <c r="J152" s="46"/>
      <c r="K152" s="46"/>
      <c r="L152" s="68"/>
    </row>
    <row r="153" spans="1:12" x14ac:dyDescent="0.2">
      <c r="A153" s="44"/>
      <c r="B153" s="45"/>
      <c r="C153" s="46"/>
      <c r="D153" s="45"/>
      <c r="E153" s="20"/>
      <c r="F153" s="46"/>
      <c r="G153" s="20"/>
      <c r="H153" s="20"/>
      <c r="I153" s="46"/>
      <c r="J153" s="46"/>
      <c r="K153" s="46"/>
      <c r="L153" s="46"/>
    </row>
    <row r="154" spans="1:12" x14ac:dyDescent="0.2">
      <c r="A154" s="44"/>
      <c r="B154" s="45"/>
      <c r="C154" s="46"/>
      <c r="D154" s="45"/>
      <c r="E154" s="20"/>
      <c r="F154" s="46"/>
      <c r="G154" s="20"/>
      <c r="H154" s="20"/>
      <c r="I154" s="46"/>
      <c r="J154" s="46"/>
      <c r="K154" s="46"/>
      <c r="L154" s="46"/>
    </row>
    <row r="155" spans="1:12" x14ac:dyDescent="0.2">
      <c r="A155" s="44"/>
      <c r="B155" s="45"/>
      <c r="C155" s="46"/>
      <c r="D155" s="45"/>
      <c r="E155" s="20"/>
      <c r="F155" s="46"/>
      <c r="G155" s="20"/>
      <c r="H155" s="20"/>
      <c r="I155" s="46"/>
      <c r="J155" s="46"/>
      <c r="K155" s="46"/>
      <c r="L155" s="46"/>
    </row>
    <row r="156" spans="1:12" x14ac:dyDescent="0.2">
      <c r="A156" s="44"/>
      <c r="B156" s="45"/>
      <c r="C156" s="46"/>
      <c r="D156" s="45"/>
      <c r="E156" s="20"/>
      <c r="F156" s="46"/>
      <c r="G156" s="20"/>
      <c r="H156" s="20"/>
      <c r="I156" s="46"/>
      <c r="J156" s="46"/>
      <c r="K156" s="46"/>
      <c r="L156" s="46"/>
    </row>
    <row r="157" spans="1:12" x14ac:dyDescent="0.2">
      <c r="A157" s="44"/>
      <c r="B157" s="45"/>
      <c r="C157" s="46"/>
      <c r="D157" s="45"/>
      <c r="E157" s="20"/>
      <c r="F157" s="46"/>
      <c r="G157" s="20"/>
      <c r="H157" s="20"/>
      <c r="I157" s="46"/>
      <c r="J157" s="46"/>
      <c r="K157" s="46"/>
      <c r="L157" s="46"/>
    </row>
    <row r="158" spans="1:12" x14ac:dyDescent="0.2">
      <c r="A158" s="44"/>
      <c r="B158" s="45"/>
      <c r="C158" s="46"/>
      <c r="D158" s="45"/>
      <c r="E158" s="20"/>
      <c r="F158" s="46"/>
      <c r="G158" s="20"/>
      <c r="H158" s="20"/>
      <c r="I158" s="46"/>
      <c r="J158" s="46"/>
      <c r="K158" s="46"/>
      <c r="L158" s="46"/>
    </row>
    <row r="159" spans="1:12" x14ac:dyDescent="0.2">
      <c r="A159" s="44"/>
      <c r="B159" s="45"/>
      <c r="C159" s="46"/>
      <c r="D159" s="45"/>
      <c r="E159" s="45"/>
      <c r="F159" s="46"/>
      <c r="G159" s="45"/>
      <c r="H159" s="45"/>
      <c r="I159" s="46"/>
      <c r="J159" s="46"/>
      <c r="K159" s="46"/>
      <c r="L159" s="68"/>
    </row>
    <row r="160" spans="1:12" x14ac:dyDescent="0.2">
      <c r="A160" s="61"/>
      <c r="B160" s="57"/>
      <c r="C160" s="58"/>
      <c r="D160" s="57"/>
      <c r="E160" s="59"/>
      <c r="F160" s="58"/>
      <c r="G160" s="57"/>
      <c r="H160" s="57"/>
      <c r="I160" s="58"/>
      <c r="J160" s="58"/>
      <c r="K160" s="58"/>
      <c r="L160" s="58"/>
    </row>
    <row r="161" spans="1:12" x14ac:dyDescent="0.2">
      <c r="A161" s="44"/>
      <c r="B161" s="45"/>
      <c r="C161" s="46"/>
      <c r="D161" s="45"/>
      <c r="E161" s="20"/>
      <c r="F161" s="46"/>
      <c r="G161" s="45"/>
      <c r="H161" s="45"/>
      <c r="I161" s="46"/>
      <c r="J161" s="46"/>
      <c r="K161" s="46"/>
      <c r="L161" s="46"/>
    </row>
    <row r="162" spans="1:12" x14ac:dyDescent="0.2">
      <c r="A162" s="44"/>
      <c r="B162" s="45"/>
      <c r="C162" s="46"/>
      <c r="D162" s="45"/>
      <c r="E162" s="20"/>
      <c r="F162" s="46"/>
      <c r="G162" s="45"/>
      <c r="H162" s="45"/>
      <c r="I162" s="46"/>
      <c r="J162" s="46"/>
      <c r="K162" s="46"/>
      <c r="L162" s="46"/>
    </row>
    <row r="164" spans="1:12" x14ac:dyDescent="0.2">
      <c r="A164" s="1" t="s">
        <v>73</v>
      </c>
      <c r="B164" s="1" t="s">
        <v>163</v>
      </c>
      <c r="C164" t="s">
        <v>71</v>
      </c>
      <c r="D164" s="93" t="s">
        <v>304</v>
      </c>
      <c r="E164" s="49"/>
    </row>
    <row r="165" spans="1:12" x14ac:dyDescent="0.2">
      <c r="A165" s="24" t="s">
        <v>18</v>
      </c>
      <c r="B165" s="69">
        <f t="shared" ref="B165:B173" si="1">C165/$C$174</f>
        <v>0</v>
      </c>
      <c r="C165" s="7">
        <f>'summary 0716'!I24</f>
        <v>0</v>
      </c>
      <c r="D165">
        <f>33+1+1+1+1+1+8+1+1+1+2</f>
        <v>51</v>
      </c>
      <c r="E165" s="70"/>
    </row>
    <row r="166" spans="1:12" x14ac:dyDescent="0.2">
      <c r="A166" s="24" t="s">
        <v>19</v>
      </c>
      <c r="B166" s="69">
        <f t="shared" si="1"/>
        <v>6.6666666666666666E-2</v>
      </c>
      <c r="C166" s="7">
        <f>'summary 0716'!I25</f>
        <v>1</v>
      </c>
      <c r="D166">
        <f>540+17+1+1+6+10+1+2+12+2+1+1+1+3+4+3+1</f>
        <v>606</v>
      </c>
      <c r="E166" s="70"/>
    </row>
    <row r="167" spans="1:12" x14ac:dyDescent="0.2">
      <c r="A167" s="24" t="s">
        <v>20</v>
      </c>
      <c r="B167" s="69">
        <f t="shared" si="1"/>
        <v>0.33333333333333331</v>
      </c>
      <c r="C167" s="7">
        <f>'summary 0716'!I26</f>
        <v>5</v>
      </c>
      <c r="D167">
        <f>13+1+1+1+16</f>
        <v>32</v>
      </c>
      <c r="E167" s="70"/>
    </row>
    <row r="168" spans="1:12" x14ac:dyDescent="0.2">
      <c r="A168" s="24" t="s">
        <v>33</v>
      </c>
      <c r="B168" s="69">
        <f t="shared" si="1"/>
        <v>0</v>
      </c>
      <c r="C168" s="7">
        <f>'summary 0716'!I27</f>
        <v>0</v>
      </c>
      <c r="D168">
        <f>36+1</f>
        <v>37</v>
      </c>
      <c r="E168" s="70"/>
    </row>
    <row r="169" spans="1:12" x14ac:dyDescent="0.2">
      <c r="A169" s="24" t="s">
        <v>21</v>
      </c>
      <c r="B169" s="69">
        <f t="shared" si="1"/>
        <v>0.2</v>
      </c>
      <c r="C169" s="7">
        <f>'summary 0716'!I28</f>
        <v>3</v>
      </c>
      <c r="D169">
        <f>288+2+13+2+5+56+59</f>
        <v>425</v>
      </c>
      <c r="E169" s="70"/>
    </row>
    <row r="170" spans="1:12" x14ac:dyDescent="0.2">
      <c r="A170" s="24" t="s">
        <v>22</v>
      </c>
      <c r="B170" s="69">
        <f t="shared" si="1"/>
        <v>6.6666666666666666E-2</v>
      </c>
      <c r="C170" s="7">
        <f>'summary 0716'!I29</f>
        <v>1</v>
      </c>
      <c r="D170">
        <f>132+2+1+2+7+3</f>
        <v>147</v>
      </c>
      <c r="E170" s="70"/>
    </row>
    <row r="171" spans="1:12" x14ac:dyDescent="0.2">
      <c r="A171" s="24" t="s">
        <v>23</v>
      </c>
      <c r="B171" s="69">
        <f t="shared" si="1"/>
        <v>0.13333333333333333</v>
      </c>
      <c r="C171" s="7">
        <f>'summary 0716'!I30</f>
        <v>2</v>
      </c>
      <c r="D171">
        <v>9</v>
      </c>
      <c r="E171" s="70"/>
    </row>
    <row r="172" spans="1:12" x14ac:dyDescent="0.2">
      <c r="A172" s="24" t="s">
        <v>24</v>
      </c>
      <c r="B172" s="69">
        <f t="shared" si="1"/>
        <v>0</v>
      </c>
      <c r="C172" s="7">
        <f>'summary 0716'!I31</f>
        <v>0</v>
      </c>
      <c r="D172">
        <f>10+5+2</f>
        <v>17</v>
      </c>
      <c r="E172" s="70"/>
    </row>
    <row r="173" spans="1:12" x14ac:dyDescent="0.2">
      <c r="A173" s="72" t="s">
        <v>164</v>
      </c>
      <c r="B173" s="69">
        <f t="shared" si="1"/>
        <v>0.2</v>
      </c>
      <c r="C173" s="7">
        <f>'summary 0716'!I32</f>
        <v>3</v>
      </c>
    </row>
    <row r="174" spans="1:12" x14ac:dyDescent="0.2">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8</vt:i4>
      </vt:variant>
      <vt:variant>
        <vt:lpstr>Named Ranges</vt:lpstr>
      </vt:variant>
      <vt:variant>
        <vt:i4>13</vt:i4>
      </vt:variant>
    </vt:vector>
  </HeadingPairs>
  <TitlesOfParts>
    <vt:vector size="52" baseType="lpstr">
      <vt:lpstr>Graph Data Aug 13</vt:lpstr>
      <vt:lpstr>summary 0813</vt: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Aug 13'!Print_Area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Felienne</cp:lastModifiedBy>
  <cp:lastPrinted>2001-08-21T16:42:29Z</cp:lastPrinted>
  <dcterms:created xsi:type="dcterms:W3CDTF">2001-05-18T16:34:21Z</dcterms:created>
  <dcterms:modified xsi:type="dcterms:W3CDTF">2014-09-05T10:46:27Z</dcterms:modified>
</cp:coreProperties>
</file>