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85" yWindow="15" windowWidth="15345" windowHeight="9105" firstSheet="31" activeTab="31"/>
  </bookViews>
  <sheets>
    <sheet name="Summary 2002 Revised" sheetId="46" state="hidden" r:id="rId1"/>
    <sheet name="Summary 2002" sheetId="44" state="hidden" r:id="rId2"/>
    <sheet name="Natural Gas" sheetId="26" state="hidden" r:id="rId3"/>
    <sheet name="Natural Gas Trading" sheetId="47" state="hidden" r:id="rId4"/>
    <sheet name="Natural Gas Orig" sheetId="48" state="hidden" r:id="rId5"/>
    <sheet name="Natural Gas A&amp;A" sheetId="49" state="hidden" r:id="rId6"/>
    <sheet name="Natural Gas Admin" sheetId="50" state="hidden" r:id="rId7"/>
    <sheet name="East Power" sheetId="27" state="hidden" r:id="rId8"/>
    <sheet name="East Power Trading" sheetId="51" state="hidden" r:id="rId9"/>
    <sheet name="East Power Origination" sheetId="53" state="hidden" r:id="rId10"/>
    <sheet name="East Power A&amp;A" sheetId="54" state="hidden" r:id="rId11"/>
    <sheet name="East Power Admins" sheetId="55" state="hidden" r:id="rId12"/>
    <sheet name="West Power" sheetId="25" state="hidden" r:id="rId13"/>
    <sheet name="West Power Trading" sheetId="57" state="hidden" r:id="rId14"/>
    <sheet name="West Power Origination" sheetId="58" state="hidden" r:id="rId15"/>
    <sheet name="West Power A&amp;A" sheetId="59" state="hidden" r:id="rId16"/>
    <sheet name="West Power Admins" sheetId="60" state="hidden" r:id="rId17"/>
    <sheet name="Canada" sheetId="5" state="hidden" r:id="rId18"/>
    <sheet name="Canada Trading" sheetId="61" state="hidden" r:id="rId19"/>
    <sheet name="Canada Origination" sheetId="62" state="hidden" r:id="rId20"/>
    <sheet name="Canada A&amp;A" sheetId="63" state="hidden" r:id="rId21"/>
    <sheet name="Canada Admins" sheetId="64" state="hidden" r:id="rId22"/>
    <sheet name="Office of the Chair" sheetId="21" state="hidden" r:id="rId23"/>
    <sheet name="Fin Ops" sheetId="7" state="hidden" r:id="rId24"/>
    <sheet name="Mexico" sheetId="3" state="hidden" r:id="rId25"/>
    <sheet name="Cash Ops" sheetId="8" state="hidden" r:id="rId26"/>
    <sheet name="SAP" sheetId="15" state="hidden" r:id="rId27"/>
    <sheet name="Tax" sheetId="6" state="hidden" r:id="rId28"/>
    <sheet name="Reg Affairs" sheetId="9" state="hidden" r:id="rId29"/>
    <sheet name="Credit" sheetId="12" state="hidden" r:id="rId30"/>
    <sheet name="Research" sheetId="31" state="hidden" r:id="rId31"/>
    <sheet name="Mkt Risk" sheetId="11" r:id="rId32"/>
    <sheet name="EOPs" sheetId="28" state="hidden" r:id="rId33"/>
    <sheet name="HR" sheetId="13" state="hidden" r:id="rId34"/>
    <sheet name="IT Dev-EOL" sheetId="42" state="hidden" r:id="rId35"/>
    <sheet name="IT Infra" sheetId="16" state="hidden" r:id="rId36"/>
    <sheet name="EOL Support" sheetId="19" state="hidden" r:id="rId37"/>
    <sheet name="Canada Support" sheetId="14" state="hidden" r:id="rId38"/>
    <sheet name="Legal" sheetId="20" state="hidden" r:id="rId39"/>
    <sheet name="Fundies-All" sheetId="41" state="hidden" r:id="rId40"/>
    <sheet name="Struct" sheetId="40" state="hidden" r:id="rId41"/>
    <sheet name="Weather" sheetId="30" state="hidden" r:id="rId42"/>
    <sheet name="IT Dev" sheetId="17" state="hidden" r:id="rId43"/>
    <sheet name="IT EOL" sheetId="18" state="hidden" r:id="rId44"/>
    <sheet name="IT All" sheetId="43" state="hidden" r:id="rId45"/>
    <sheet name="Fundies-Hou" sheetId="29" state="hidden" r:id="rId46"/>
    <sheet name="Competitive Ana" sheetId="10" state="hidden" r:id="rId47"/>
    <sheet name="Gas - Fund" sheetId="34" state="hidden" r:id="rId48"/>
    <sheet name="East - Fund" sheetId="38" state="hidden" r:id="rId49"/>
    <sheet name="West - Fund" sheetId="36" state="hidden" r:id="rId50"/>
    <sheet name="West - Struct" sheetId="37" state="hidden" r:id="rId51"/>
    <sheet name="Gas - Struct" sheetId="35" state="hidden" r:id="rId52"/>
    <sheet name="East - Struct" sheetId="39" state="hidden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Print_Area" localSheetId="17">Canada!$B$1:$L$39</definedName>
    <definedName name="_xlnm.Print_Area" localSheetId="20">'Canada A&amp;A'!$B$1:$L$39</definedName>
    <definedName name="_xlnm.Print_Area" localSheetId="21">'Canada Admins'!$B$1:$L$39</definedName>
    <definedName name="_xlnm.Print_Area" localSheetId="19">'Canada Origination'!$B$1:$L$39</definedName>
    <definedName name="_xlnm.Print_Area" localSheetId="37">'Canada Support'!$A$1:$N$51</definedName>
    <definedName name="_xlnm.Print_Area" localSheetId="18">'Canada Trading'!$B$1:$L$39</definedName>
    <definedName name="_xlnm.Print_Area" localSheetId="25">'Cash Ops'!$B$1:$H$29</definedName>
    <definedName name="_xlnm.Print_Area" localSheetId="46">'Competitive Ana'!$B$1:$L$43</definedName>
    <definedName name="_xlnm.Print_Area" localSheetId="29">Credit!$A$1:$M$40</definedName>
    <definedName name="_xlnm.Print_Area" localSheetId="48">'East - Fund'!$B$1:$H$29</definedName>
    <definedName name="_xlnm.Print_Area" localSheetId="52">'East - Struct'!$B$1:$H$29</definedName>
    <definedName name="_xlnm.Print_Area" localSheetId="7">'East Power'!$B$1:$H$29</definedName>
    <definedName name="_xlnm.Print_Area" localSheetId="10">'East Power A&amp;A'!$B$1:$H$29</definedName>
    <definedName name="_xlnm.Print_Area" localSheetId="11">'East Power Admins'!$B$1:$H$29</definedName>
    <definedName name="_xlnm.Print_Area" localSheetId="9">'East Power Origination'!$B$1:$H$29</definedName>
    <definedName name="_xlnm.Print_Area" localSheetId="8">'East Power Trading'!$B$1:$H$29</definedName>
    <definedName name="_xlnm.Print_Area" localSheetId="36">'EOL Support'!$A$1:$P$39</definedName>
    <definedName name="_xlnm.Print_Area" localSheetId="32">EOPs!$A$1:$M$39</definedName>
    <definedName name="_xlnm.Print_Area" localSheetId="23">'Fin Ops'!$B$1:$H$29</definedName>
    <definedName name="_xlnm.Print_Area" localSheetId="39">'Fundies-All'!$B$1:$L$34</definedName>
    <definedName name="_xlnm.Print_Area" localSheetId="45">'Fundies-Hou'!$B$1:$L$34</definedName>
    <definedName name="_xlnm.Print_Area" localSheetId="47">'Gas - Fund'!$B$1:$L$34</definedName>
    <definedName name="_xlnm.Print_Area" localSheetId="51">'Gas - Struct'!$B$1:$L$34</definedName>
    <definedName name="_xlnm.Print_Area" localSheetId="33">HR!$B$1:$L$40</definedName>
    <definedName name="_xlnm.Print_Area" localSheetId="44">'IT All'!$B$1:$O$49</definedName>
    <definedName name="_xlnm.Print_Area" localSheetId="42">'IT Dev'!$B$1:$O$49</definedName>
    <definedName name="_xlnm.Print_Area" localSheetId="34">'IT Dev-EOL'!$B$1:$O$49</definedName>
    <definedName name="_xlnm.Print_Area" localSheetId="43">'IT EOL'!$B$1:$M$39</definedName>
    <definedName name="_xlnm.Print_Area" localSheetId="35">'IT Infra'!$B$1:$R$46</definedName>
    <definedName name="_xlnm.Print_Area" localSheetId="38">Legal!$B$1:$F$29</definedName>
    <definedName name="_xlnm.Print_Area" localSheetId="24">Mexico!$B$1:$F$29</definedName>
    <definedName name="_xlnm.Print_Area" localSheetId="31">'Mkt Risk'!$B$1:$M$42</definedName>
    <definedName name="_xlnm.Print_Area" localSheetId="2">'Natural Gas'!$B$1:$L$34</definedName>
    <definedName name="_xlnm.Print_Area" localSheetId="5">'Natural Gas A&amp;A'!$B$1:$L$34</definedName>
    <definedName name="_xlnm.Print_Area" localSheetId="6">'Natural Gas Admin'!$B$1:$L$34</definedName>
    <definedName name="_xlnm.Print_Area" localSheetId="4">'Natural Gas Orig'!$B$1:$L$34</definedName>
    <definedName name="_xlnm.Print_Area" localSheetId="3">'Natural Gas Trading'!$B$1:$L$34</definedName>
    <definedName name="_xlnm.Print_Area" localSheetId="22">'Office of the Chair'!$B$1:$M$40</definedName>
    <definedName name="_xlnm.Print_Area" localSheetId="28">'Reg Affairs'!$B$1:$L$39</definedName>
    <definedName name="_xlnm.Print_Area" localSheetId="30">Research!$B$1:$M$41</definedName>
    <definedName name="_xlnm.Print_Area" localSheetId="26">SAP!$B$1:$M$40</definedName>
    <definedName name="_xlnm.Print_Area" localSheetId="40">Struct!$B$1:$O$35</definedName>
    <definedName name="_xlnm.Print_Area" localSheetId="1">'Summary 2002'!$A$1:$T$89</definedName>
    <definedName name="_xlnm.Print_Area" localSheetId="0">'Summary 2002 Revised'!$A$1:$T$102</definedName>
    <definedName name="_xlnm.Print_Area" localSheetId="27">Tax!$B$1:$F$29</definedName>
    <definedName name="_xlnm.Print_Area" localSheetId="41">Weather!$B$1:$L$34</definedName>
    <definedName name="_xlnm.Print_Area" localSheetId="49">'West - Fund'!$B$1:$O$35</definedName>
    <definedName name="_xlnm.Print_Area" localSheetId="50">'West - Struct'!$B$1:$O$35</definedName>
    <definedName name="_xlnm.Print_Area" localSheetId="12">'West Power'!$B$1:$O$35</definedName>
    <definedName name="_xlnm.Print_Area" localSheetId="15">'West Power A&amp;A'!$B$1:$O$35</definedName>
    <definedName name="_xlnm.Print_Area" localSheetId="16">'West Power Admins'!$B$1:$O$35</definedName>
    <definedName name="_xlnm.Print_Area" localSheetId="14">'West Power Origination'!$B$1:$O$35</definedName>
    <definedName name="_xlnm.Print_Area" localSheetId="13">'West Power Trading'!$B$1:$O$35</definedName>
    <definedName name="SAPFuncF4Help" localSheetId="17" hidden="1">Main.SAPF4Help()</definedName>
    <definedName name="SAPFuncF4Help" localSheetId="20" hidden="1">Main.SAPF4Help()</definedName>
    <definedName name="SAPFuncF4Help" localSheetId="21" hidden="1">Main.SAPF4Help()</definedName>
    <definedName name="SAPFuncF4Help" localSheetId="19" hidden="1">Main.SAPF4Help()</definedName>
    <definedName name="SAPFuncF4Help" localSheetId="37" hidden="1">Main.SAPF4Help()</definedName>
    <definedName name="SAPFuncF4Help" localSheetId="18" hidden="1">Main.SAPF4Help()</definedName>
    <definedName name="SAPFuncF4Help" localSheetId="25" hidden="1">Main.SAPF4Help()</definedName>
    <definedName name="SAPFuncF4Help" localSheetId="46" hidden="1">Main.SAPF4Help()</definedName>
    <definedName name="SAPFuncF4Help" localSheetId="29" hidden="1">Main.SAPF4Help()</definedName>
    <definedName name="SAPFuncF4Help" localSheetId="48" hidden="1">Main.SAPF4Help()</definedName>
    <definedName name="SAPFuncF4Help" localSheetId="10" hidden="1">Main.SAPF4Help()</definedName>
    <definedName name="SAPFuncF4Help" localSheetId="11" hidden="1">Main.SAPF4Help()</definedName>
    <definedName name="SAPFuncF4Help" localSheetId="9" hidden="1">Main.SAPF4Help()</definedName>
    <definedName name="SAPFuncF4Help" localSheetId="8" hidden="1">Main.SAPF4Help()</definedName>
    <definedName name="SAPFuncF4Help" localSheetId="36" hidden="1">Main.SAPF4Help()</definedName>
    <definedName name="SAPFuncF4Help" localSheetId="32" hidden="1">Main.SAPF4Help()</definedName>
    <definedName name="SAPFuncF4Help" localSheetId="39" hidden="1">Main.SAPF4Help()</definedName>
    <definedName name="SAPFuncF4Help" localSheetId="45" hidden="1">Main.SAPF4Help()</definedName>
    <definedName name="SAPFuncF4Help" localSheetId="47" hidden="1">Main.SAPF4Help()</definedName>
    <definedName name="SAPFuncF4Help" localSheetId="33" hidden="1">Main.SAPF4Help()</definedName>
    <definedName name="SAPFuncF4Help" localSheetId="44" hidden="1">Main.SAPF4Help()</definedName>
    <definedName name="SAPFuncF4Help" localSheetId="42" hidden="1">Main.SAPF4Help()</definedName>
    <definedName name="SAPFuncF4Help" localSheetId="34" hidden="1">Main.SAPF4Help()</definedName>
    <definedName name="SAPFuncF4Help" localSheetId="43" hidden="1">Main.SAPF4Help()</definedName>
    <definedName name="SAPFuncF4Help" localSheetId="35" hidden="1">Main.SAPF4Help()</definedName>
    <definedName name="SAPFuncF4Help" localSheetId="38" hidden="1">Main.SAPF4Help()</definedName>
    <definedName name="SAPFuncF4Help" localSheetId="24" hidden="1">Main.SAPF4Help()</definedName>
    <definedName name="SAPFuncF4Help" localSheetId="31" hidden="1">Main.SAPF4Help()</definedName>
    <definedName name="SAPFuncF4Help" localSheetId="5" hidden="1">Main.SAPF4Help()</definedName>
    <definedName name="SAPFuncF4Help" localSheetId="6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22" hidden="1">Main.SAPF4Help()</definedName>
    <definedName name="SAPFuncF4Help" localSheetId="28" hidden="1">Main.SAPF4Help()</definedName>
    <definedName name="SAPFuncF4Help" localSheetId="30" hidden="1">Main.SAPF4Help()</definedName>
    <definedName name="SAPFuncF4Help" localSheetId="26" hidden="1">Main.SAPF4Help()</definedName>
    <definedName name="SAPFuncF4Help" localSheetId="40" hidden="1">Main.SAPF4Help()</definedName>
    <definedName name="SAPFuncF4Help" localSheetId="1" hidden="1">Main.SAPF4Help()</definedName>
    <definedName name="SAPFuncF4Help" localSheetId="0" hidden="1">Main.SAPF4Help()</definedName>
    <definedName name="SAPFuncF4Help" localSheetId="27" hidden="1">Main.SAPF4Help()</definedName>
    <definedName name="SAPFuncF4Help" localSheetId="41" hidden="1">Main.SAPF4Help()</definedName>
    <definedName name="SAPFuncF4Help" localSheetId="49" hidden="1">Main.SAPF4Help()</definedName>
    <definedName name="SAPFuncF4Help" localSheetId="50" hidden="1">Main.SAPF4Help()</definedName>
    <definedName name="SAPFuncF4Help" localSheetId="12" hidden="1">Main.SAPF4Help()</definedName>
    <definedName name="SAPFuncF4Help" localSheetId="15" hidden="1">Main.SAPF4Help()</definedName>
    <definedName name="SAPFuncF4Help" localSheetId="16" hidden="1">Main.SAPF4Help()</definedName>
    <definedName name="SAPFuncF4Help" localSheetId="14" hidden="1">Main.SAPF4Help()</definedName>
    <definedName name="SAPFuncF4Help" localSheetId="13" hidden="1">Main.SAPF4Help()</definedName>
    <definedName name="SAPFuncF4Help" hidden="1">Main.SAPF4Help()</definedName>
  </definedNames>
  <calcPr calcId="152511"/>
</workbook>
</file>

<file path=xl/calcChain.xml><?xml version="1.0" encoding="utf-8"?>
<calcChain xmlns="http://schemas.openxmlformats.org/spreadsheetml/2006/main">
  <c r="B1" i="5" l="1"/>
  <c r="C8" i="5"/>
  <c r="E8" i="5"/>
  <c r="C9" i="5"/>
  <c r="C23" i="5" s="1"/>
  <c r="E9" i="5"/>
  <c r="C11" i="5"/>
  <c r="E11" i="5"/>
  <c r="C12" i="5"/>
  <c r="E12" i="5"/>
  <c r="C13" i="5"/>
  <c r="E13" i="5"/>
  <c r="C14" i="5"/>
  <c r="E14" i="5"/>
  <c r="C15" i="5"/>
  <c r="E15" i="5"/>
  <c r="C16" i="5"/>
  <c r="E16" i="5"/>
  <c r="K16" i="5"/>
  <c r="C17" i="5"/>
  <c r="E17" i="5"/>
  <c r="K17" i="5"/>
  <c r="C18" i="5"/>
  <c r="E18" i="5"/>
  <c r="K18" i="5"/>
  <c r="C19" i="5"/>
  <c r="E19" i="5"/>
  <c r="K19" i="5"/>
  <c r="C20" i="5"/>
  <c r="E20" i="5"/>
  <c r="K20" i="5"/>
  <c r="C21" i="5"/>
  <c r="E21" i="5"/>
  <c r="J21" i="5"/>
  <c r="C22" i="5"/>
  <c r="E22" i="5"/>
  <c r="K22" i="5"/>
  <c r="J23" i="5"/>
  <c r="K23" i="5"/>
  <c r="K24" i="5"/>
  <c r="E25" i="5"/>
  <c r="G25" i="5"/>
  <c r="K25" i="5"/>
  <c r="O25" i="5"/>
  <c r="J26" i="5"/>
  <c r="K26" i="5"/>
  <c r="E27" i="5"/>
  <c r="K27" i="5"/>
  <c r="O27" i="5"/>
  <c r="B1" i="63"/>
  <c r="C8" i="63"/>
  <c r="E8" i="63"/>
  <c r="C9" i="63"/>
  <c r="E9" i="63"/>
  <c r="C11" i="63"/>
  <c r="C23" i="63" s="1"/>
  <c r="E11" i="63"/>
  <c r="I11" i="63"/>
  <c r="C12" i="63"/>
  <c r="E12" i="63"/>
  <c r="C13" i="63"/>
  <c r="E13" i="63"/>
  <c r="C14" i="63"/>
  <c r="E14" i="63"/>
  <c r="G14" i="63" s="1"/>
  <c r="O14" i="63" s="1"/>
  <c r="C15" i="63"/>
  <c r="E15" i="63"/>
  <c r="C16" i="63"/>
  <c r="E16" i="63"/>
  <c r="K16" i="63"/>
  <c r="C17" i="63"/>
  <c r="E17" i="63"/>
  <c r="G17" i="63" s="1"/>
  <c r="O17" i="63" s="1"/>
  <c r="K17" i="63"/>
  <c r="K28" i="63" s="1"/>
  <c r="K8" i="63" s="1"/>
  <c r="C18" i="63"/>
  <c r="E18" i="63"/>
  <c r="K18" i="63"/>
  <c r="C19" i="63"/>
  <c r="E19" i="63"/>
  <c r="G19" i="63" s="1"/>
  <c r="O19" i="63" s="1"/>
  <c r="K19" i="63"/>
  <c r="C20" i="63"/>
  <c r="E20" i="63"/>
  <c r="K20" i="63"/>
  <c r="C21" i="63"/>
  <c r="E21" i="63"/>
  <c r="J21" i="63"/>
  <c r="K21" i="63" s="1"/>
  <c r="G10" i="63" s="1"/>
  <c r="C22" i="63"/>
  <c r="E22" i="63"/>
  <c r="K22" i="63"/>
  <c r="K23" i="63"/>
  <c r="K24" i="63"/>
  <c r="E25" i="63"/>
  <c r="G25" i="63"/>
  <c r="K25" i="63"/>
  <c r="O25" i="63"/>
  <c r="K26" i="63"/>
  <c r="E27" i="63"/>
  <c r="E29" i="63" s="1"/>
  <c r="G27" i="63"/>
  <c r="G29" i="63" s="1"/>
  <c r="G21" i="63" s="1"/>
  <c r="O21" i="63" s="1"/>
  <c r="K27" i="63"/>
  <c r="O27" i="63"/>
  <c r="B1" i="64"/>
  <c r="C8" i="64"/>
  <c r="E8" i="64"/>
  <c r="C9" i="64"/>
  <c r="E9" i="64"/>
  <c r="C11" i="64"/>
  <c r="E11" i="64"/>
  <c r="C12" i="64"/>
  <c r="E12" i="64"/>
  <c r="C13" i="64"/>
  <c r="E13" i="64"/>
  <c r="G13" i="64"/>
  <c r="O13" i="64" s="1"/>
  <c r="C14" i="64"/>
  <c r="E14" i="64"/>
  <c r="C15" i="64"/>
  <c r="E15" i="64"/>
  <c r="C16" i="64"/>
  <c r="E16" i="64"/>
  <c r="K16" i="64"/>
  <c r="C17" i="64"/>
  <c r="E17" i="64"/>
  <c r="K17" i="64"/>
  <c r="C18" i="64"/>
  <c r="C23" i="64" s="1"/>
  <c r="E18" i="64"/>
  <c r="K18" i="64"/>
  <c r="K28" i="64" s="1"/>
  <c r="C19" i="64"/>
  <c r="E19" i="64"/>
  <c r="K19" i="64"/>
  <c r="C20" i="64"/>
  <c r="E20" i="64"/>
  <c r="G20" i="64"/>
  <c r="O20" i="64" s="1"/>
  <c r="K20" i="64"/>
  <c r="C21" i="64"/>
  <c r="E21" i="64"/>
  <c r="G21" i="64" s="1"/>
  <c r="O21" i="64" s="1"/>
  <c r="K21" i="64"/>
  <c r="C22" i="64"/>
  <c r="E22" i="64"/>
  <c r="K22" i="64"/>
  <c r="G10" i="64" s="1"/>
  <c r="K23" i="64"/>
  <c r="K24" i="64"/>
  <c r="E25" i="64"/>
  <c r="G25" i="64"/>
  <c r="G29" i="64" s="1"/>
  <c r="G15" i="64" s="1"/>
  <c r="O15" i="64" s="1"/>
  <c r="K25" i="64"/>
  <c r="O25" i="64"/>
  <c r="K26" i="64"/>
  <c r="E27" i="64"/>
  <c r="E29" i="64" s="1"/>
  <c r="G27" i="64"/>
  <c r="K27" i="64"/>
  <c r="O27" i="64"/>
  <c r="J28" i="64"/>
  <c r="J11" i="64" s="1"/>
  <c r="J34" i="64" s="1"/>
  <c r="B1" i="62"/>
  <c r="C8" i="62"/>
  <c r="E8" i="62"/>
  <c r="E23" i="62" s="1"/>
  <c r="C9" i="62"/>
  <c r="E9" i="62"/>
  <c r="C11" i="62"/>
  <c r="E11" i="62"/>
  <c r="J11" i="62"/>
  <c r="J34" i="62" s="1"/>
  <c r="C12" i="62"/>
  <c r="E12" i="62"/>
  <c r="C13" i="62"/>
  <c r="E13" i="62"/>
  <c r="G13" i="62"/>
  <c r="O13" i="62" s="1"/>
  <c r="C14" i="62"/>
  <c r="E14" i="62"/>
  <c r="C15" i="62"/>
  <c r="E15" i="62"/>
  <c r="G15" i="62" s="1"/>
  <c r="O15" i="62"/>
  <c r="C16" i="62"/>
  <c r="E16" i="62"/>
  <c r="K16" i="62"/>
  <c r="C17" i="62"/>
  <c r="E17" i="62"/>
  <c r="G17" i="62"/>
  <c r="O17" i="62" s="1"/>
  <c r="K17" i="62"/>
  <c r="C18" i="62"/>
  <c r="E18" i="62"/>
  <c r="K18" i="62"/>
  <c r="C19" i="62"/>
  <c r="E19" i="62"/>
  <c r="G19" i="62" s="1"/>
  <c r="O19" i="62" s="1"/>
  <c r="K19" i="62"/>
  <c r="C20" i="62"/>
  <c r="E20" i="62"/>
  <c r="K20" i="62"/>
  <c r="C21" i="62"/>
  <c r="E21" i="62"/>
  <c r="K21" i="62"/>
  <c r="G10" i="62" s="1"/>
  <c r="O10" i="62" s="1"/>
  <c r="C22" i="62"/>
  <c r="E22" i="62"/>
  <c r="G22" i="62" s="1"/>
  <c r="O22" i="62" s="1"/>
  <c r="K22" i="62"/>
  <c r="K23" i="62"/>
  <c r="K24" i="62"/>
  <c r="E25" i="62"/>
  <c r="G25" i="62"/>
  <c r="K25" i="62"/>
  <c r="O25" i="62"/>
  <c r="K26" i="62"/>
  <c r="E27" i="62"/>
  <c r="G27" i="62"/>
  <c r="G29" i="62" s="1"/>
  <c r="K27" i="62"/>
  <c r="O27" i="62"/>
  <c r="J28" i="62"/>
  <c r="E29" i="62"/>
  <c r="G16" i="62" s="1"/>
  <c r="O16" i="62" s="1"/>
  <c r="H34" i="62"/>
  <c r="B1" i="14"/>
  <c r="B2" i="14"/>
  <c r="C8" i="14"/>
  <c r="E8" i="14" s="1"/>
  <c r="E9" i="14"/>
  <c r="E23" i="14" s="1"/>
  <c r="F9" i="14"/>
  <c r="E10" i="14"/>
  <c r="F10" i="14"/>
  <c r="C11" i="14"/>
  <c r="E11" i="14" s="1"/>
  <c r="C12" i="14"/>
  <c r="E12" i="14" s="1"/>
  <c r="C13" i="14"/>
  <c r="E13" i="14"/>
  <c r="C14" i="14"/>
  <c r="E14" i="14" s="1"/>
  <c r="C15" i="14"/>
  <c r="E15" i="14"/>
  <c r="C16" i="14"/>
  <c r="E16" i="14" s="1"/>
  <c r="M16" i="14"/>
  <c r="C17" i="14"/>
  <c r="E17" i="14"/>
  <c r="M17" i="14"/>
  <c r="C18" i="14"/>
  <c r="E18" i="14"/>
  <c r="L18" i="14"/>
  <c r="L22" i="14" s="1"/>
  <c r="M18" i="14"/>
  <c r="C19" i="14"/>
  <c r="E19" i="14"/>
  <c r="M19" i="14"/>
  <c r="C20" i="14"/>
  <c r="E20" i="14"/>
  <c r="M20" i="14"/>
  <c r="C21" i="14"/>
  <c r="E21" i="14"/>
  <c r="M21" i="14"/>
  <c r="C22" i="14"/>
  <c r="E22" i="14"/>
  <c r="M25" i="14"/>
  <c r="O25" i="14"/>
  <c r="M26" i="14"/>
  <c r="M27" i="14"/>
  <c r="O27" i="14"/>
  <c r="L28" i="14"/>
  <c r="M28" i="14"/>
  <c r="E29" i="14"/>
  <c r="C31" i="14"/>
  <c r="E31" i="14" s="1"/>
  <c r="M31" i="14"/>
  <c r="C32" i="14"/>
  <c r="E32" i="14" s="1"/>
  <c r="M32" i="14"/>
  <c r="C33" i="14"/>
  <c r="E33" i="14" s="1"/>
  <c r="L33" i="14"/>
  <c r="C34" i="14"/>
  <c r="E34" i="14"/>
  <c r="M34" i="14"/>
  <c r="C35" i="14"/>
  <c r="E35" i="14" s="1"/>
  <c r="M35" i="14"/>
  <c r="C36" i="14"/>
  <c r="E36" i="14" s="1"/>
  <c r="M36" i="14"/>
  <c r="C37" i="14"/>
  <c r="E37" i="14" s="1"/>
  <c r="C38" i="14"/>
  <c r="E38" i="14"/>
  <c r="M40" i="14"/>
  <c r="L41" i="14"/>
  <c r="M42" i="14"/>
  <c r="M46" i="14"/>
  <c r="M47" i="14" s="1"/>
  <c r="L47" i="14"/>
  <c r="M49" i="14"/>
  <c r="M51" i="14" s="1"/>
  <c r="M50" i="14"/>
  <c r="L51" i="14"/>
  <c r="B1" i="61"/>
  <c r="C8" i="61"/>
  <c r="E8" i="61"/>
  <c r="C9" i="61"/>
  <c r="E9" i="61"/>
  <c r="C11" i="61"/>
  <c r="E11" i="61"/>
  <c r="J11" i="61"/>
  <c r="J34" i="61" s="1"/>
  <c r="C12" i="61"/>
  <c r="E12" i="61"/>
  <c r="C13" i="61"/>
  <c r="E13" i="61"/>
  <c r="C14" i="61"/>
  <c r="E14" i="61"/>
  <c r="G14" i="61" s="1"/>
  <c r="O14" i="61" s="1"/>
  <c r="C15" i="61"/>
  <c r="E15" i="61"/>
  <c r="C16" i="61"/>
  <c r="E16" i="61"/>
  <c r="K16" i="61"/>
  <c r="K28" i="61" s="1"/>
  <c r="C17" i="61"/>
  <c r="E17" i="61"/>
  <c r="K17" i="61"/>
  <c r="C18" i="61"/>
  <c r="E18" i="61"/>
  <c r="G18" i="61"/>
  <c r="O18" i="61" s="1"/>
  <c r="K18" i="61"/>
  <c r="C19" i="61"/>
  <c r="E19" i="61"/>
  <c r="K19" i="61"/>
  <c r="C20" i="61"/>
  <c r="E20" i="61"/>
  <c r="K20" i="61"/>
  <c r="C21" i="61"/>
  <c r="E21" i="61"/>
  <c r="K21" i="61"/>
  <c r="G10" i="61" s="1"/>
  <c r="O10" i="61" s="1"/>
  <c r="C22" i="61"/>
  <c r="E22" i="61"/>
  <c r="K22" i="61"/>
  <c r="K23" i="61"/>
  <c r="K24" i="61"/>
  <c r="E25" i="61"/>
  <c r="G25" i="61"/>
  <c r="K25" i="61"/>
  <c r="O25" i="61"/>
  <c r="K26" i="61"/>
  <c r="E27" i="61"/>
  <c r="E29" i="61" s="1"/>
  <c r="G27" i="61"/>
  <c r="G29" i="61" s="1"/>
  <c r="O9" i="61" s="1"/>
  <c r="K27" i="61"/>
  <c r="O27" i="61"/>
  <c r="J28" i="61"/>
  <c r="B1" i="8"/>
  <c r="C8" i="8"/>
  <c r="C23" i="8" s="1"/>
  <c r="C46" i="8" s="1"/>
  <c r="E9" i="8"/>
  <c r="E10" i="8"/>
  <c r="C11" i="8"/>
  <c r="C12" i="8"/>
  <c r="E12" i="8" s="1"/>
  <c r="F12" i="8"/>
  <c r="V12" i="8" s="1"/>
  <c r="C13" i="8"/>
  <c r="E13" i="8"/>
  <c r="F13" i="8" s="1"/>
  <c r="E14" i="8"/>
  <c r="C15" i="8"/>
  <c r="E15" i="8" s="1"/>
  <c r="C16" i="8"/>
  <c r="E16" i="8"/>
  <c r="F16" i="8"/>
  <c r="C17" i="8"/>
  <c r="E17" i="8"/>
  <c r="F17" i="8" s="1"/>
  <c r="K17" i="8"/>
  <c r="M17" i="8"/>
  <c r="P17" i="8"/>
  <c r="R17" i="8"/>
  <c r="C18" i="8"/>
  <c r="E18" i="8"/>
  <c r="F18" i="8" s="1"/>
  <c r="V18" i="8" s="1"/>
  <c r="K18" i="8"/>
  <c r="M18" i="8"/>
  <c r="P18" i="8"/>
  <c r="R18" i="8"/>
  <c r="C19" i="8"/>
  <c r="E19" i="8"/>
  <c r="F19" i="8" s="1"/>
  <c r="M19" i="8"/>
  <c r="R19" i="8"/>
  <c r="C20" i="8"/>
  <c r="E20" i="8"/>
  <c r="F20" i="8" s="1"/>
  <c r="M20" i="8"/>
  <c r="R20" i="8"/>
  <c r="C21" i="8"/>
  <c r="E21" i="8" s="1"/>
  <c r="F21" i="8"/>
  <c r="V21" i="8" s="1"/>
  <c r="M21" i="8"/>
  <c r="R21" i="8"/>
  <c r="C22" i="8"/>
  <c r="E22" i="8"/>
  <c r="F22" i="8"/>
  <c r="M22" i="8"/>
  <c r="R22" i="8"/>
  <c r="M23" i="8"/>
  <c r="R23" i="8"/>
  <c r="M24" i="8"/>
  <c r="R24" i="8"/>
  <c r="M25" i="8"/>
  <c r="R25" i="8"/>
  <c r="V25" i="8"/>
  <c r="M26" i="8"/>
  <c r="R26" i="8"/>
  <c r="M27" i="8"/>
  <c r="R27" i="8"/>
  <c r="V27" i="8"/>
  <c r="L28" i="8"/>
  <c r="Q28" i="8"/>
  <c r="F25" i="8" s="1"/>
  <c r="F29" i="8" s="1"/>
  <c r="V10" i="8" s="1"/>
  <c r="E29" i="8"/>
  <c r="L37" i="8" s="1"/>
  <c r="C31" i="8"/>
  <c r="E31" i="8" s="1"/>
  <c r="C32" i="8"/>
  <c r="E32" i="8" s="1"/>
  <c r="C33" i="8"/>
  <c r="E33" i="8"/>
  <c r="C34" i="8"/>
  <c r="E34" i="8" s="1"/>
  <c r="C35" i="8"/>
  <c r="E35" i="8" s="1"/>
  <c r="C36" i="8"/>
  <c r="E36" i="8"/>
  <c r="C37" i="8"/>
  <c r="E37" i="8"/>
  <c r="C38" i="8"/>
  <c r="E38" i="8"/>
  <c r="B1" i="10"/>
  <c r="B2" i="10"/>
  <c r="C8" i="10"/>
  <c r="E9" i="10"/>
  <c r="F9" i="10"/>
  <c r="E10" i="10"/>
  <c r="F10" i="10"/>
  <c r="C11" i="10"/>
  <c r="E11" i="10" s="1"/>
  <c r="C12" i="10"/>
  <c r="E12" i="10"/>
  <c r="C13" i="10"/>
  <c r="E13" i="10"/>
  <c r="C14" i="10"/>
  <c r="E14" i="10"/>
  <c r="C15" i="10"/>
  <c r="E15" i="10" s="1"/>
  <c r="C16" i="10"/>
  <c r="E16" i="10" s="1"/>
  <c r="C17" i="10"/>
  <c r="E17" i="10"/>
  <c r="J17" i="10"/>
  <c r="K17" i="10"/>
  <c r="C18" i="10"/>
  <c r="E18" i="10"/>
  <c r="L18" i="10"/>
  <c r="C19" i="10"/>
  <c r="E19" i="10" s="1"/>
  <c r="L19" i="10"/>
  <c r="C20" i="10"/>
  <c r="E20" i="10" s="1"/>
  <c r="L20" i="10"/>
  <c r="C21" i="10"/>
  <c r="E21" i="10" s="1"/>
  <c r="L21" i="10"/>
  <c r="C22" i="10"/>
  <c r="E22" i="10" s="1"/>
  <c r="L22" i="10"/>
  <c r="L23" i="10"/>
  <c r="L24" i="10"/>
  <c r="L25" i="10"/>
  <c r="O25" i="10"/>
  <c r="L26" i="10"/>
  <c r="L27" i="10"/>
  <c r="O27" i="10"/>
  <c r="K28" i="10"/>
  <c r="L28" i="10" s="1"/>
  <c r="E29" i="10"/>
  <c r="C31" i="10"/>
  <c r="E31" i="10"/>
  <c r="C32" i="10"/>
  <c r="E32" i="10" s="1"/>
  <c r="C33" i="10"/>
  <c r="E33" i="10" s="1"/>
  <c r="C34" i="10"/>
  <c r="E34" i="10" s="1"/>
  <c r="C35" i="10"/>
  <c r="E35" i="10" s="1"/>
  <c r="C36" i="10"/>
  <c r="E36" i="10"/>
  <c r="C37" i="10"/>
  <c r="E37" i="10"/>
  <c r="C38" i="10"/>
  <c r="E38" i="10" s="1"/>
  <c r="I40" i="10"/>
  <c r="B1" i="12"/>
  <c r="E9" i="12"/>
  <c r="E10" i="12"/>
  <c r="G10" i="12"/>
  <c r="E11" i="12"/>
  <c r="E12" i="12"/>
  <c r="K12" i="12"/>
  <c r="K40" i="12" s="1"/>
  <c r="E13" i="12"/>
  <c r="E14" i="12"/>
  <c r="E15" i="12"/>
  <c r="G15" i="12"/>
  <c r="O15" i="12" s="1"/>
  <c r="C16" i="12"/>
  <c r="C17" i="12"/>
  <c r="E17" i="12"/>
  <c r="L17" i="12"/>
  <c r="E18" i="12"/>
  <c r="G18" i="12"/>
  <c r="O18" i="12" s="1"/>
  <c r="L18" i="12"/>
  <c r="L29" i="12" s="1"/>
  <c r="E19" i="12"/>
  <c r="L19" i="12"/>
  <c r="E20" i="12"/>
  <c r="L20" i="12"/>
  <c r="C21" i="12"/>
  <c r="E21" i="12" s="1"/>
  <c r="L21" i="12"/>
  <c r="E22" i="12"/>
  <c r="G22" i="12" s="1"/>
  <c r="O22" i="12" s="1"/>
  <c r="L22" i="12"/>
  <c r="E23" i="12"/>
  <c r="L23" i="12"/>
  <c r="L24" i="12"/>
  <c r="L25" i="12"/>
  <c r="G26" i="12"/>
  <c r="L26" i="12"/>
  <c r="L27" i="12"/>
  <c r="G28" i="12"/>
  <c r="L28" i="12"/>
  <c r="K29" i="12"/>
  <c r="K9" i="12" s="1"/>
  <c r="E30" i="12"/>
  <c r="G30" i="12"/>
  <c r="O30" i="12"/>
  <c r="C32" i="12"/>
  <c r="E32" i="12" s="1"/>
  <c r="C33" i="12"/>
  <c r="E33" i="12"/>
  <c r="C34" i="12"/>
  <c r="E34" i="12"/>
  <c r="C35" i="12"/>
  <c r="E35" i="12"/>
  <c r="C36" i="12"/>
  <c r="E36" i="12" s="1"/>
  <c r="C37" i="12"/>
  <c r="E37" i="12"/>
  <c r="C38" i="12"/>
  <c r="E38" i="12"/>
  <c r="C39" i="12"/>
  <c r="E39" i="12"/>
  <c r="I40" i="12"/>
  <c r="B1" i="38"/>
  <c r="C8" i="38"/>
  <c r="C9" i="38"/>
  <c r="E9" i="38"/>
  <c r="N9" i="38"/>
  <c r="C10" i="38"/>
  <c r="E10" i="38"/>
  <c r="C11" i="38"/>
  <c r="E11" i="38" s="1"/>
  <c r="C12" i="38"/>
  <c r="E12" i="38" s="1"/>
  <c r="C13" i="38"/>
  <c r="E13" i="38" s="1"/>
  <c r="F13" i="38"/>
  <c r="C14" i="38"/>
  <c r="E14" i="38"/>
  <c r="C15" i="38"/>
  <c r="E15" i="38" s="1"/>
  <c r="C16" i="38"/>
  <c r="E16" i="38" s="1"/>
  <c r="L16" i="38"/>
  <c r="M16" i="38"/>
  <c r="C17" i="38"/>
  <c r="E17" i="38"/>
  <c r="L17" i="38"/>
  <c r="M17" i="38"/>
  <c r="C18" i="38"/>
  <c r="E18" i="38"/>
  <c r="F18" i="38" s="1"/>
  <c r="L18" i="38"/>
  <c r="F25" i="38" s="1"/>
  <c r="F29" i="38" s="1"/>
  <c r="M18" i="38"/>
  <c r="C19" i="38"/>
  <c r="E19" i="38" s="1"/>
  <c r="F19" i="38" s="1"/>
  <c r="N19" i="38" s="1"/>
  <c r="L19" i="38"/>
  <c r="M19" i="38"/>
  <c r="C20" i="38"/>
  <c r="E20" i="38" s="1"/>
  <c r="M20" i="38"/>
  <c r="C21" i="38"/>
  <c r="E21" i="38"/>
  <c r="F21" i="38"/>
  <c r="N21" i="38" s="1"/>
  <c r="M21" i="38"/>
  <c r="C22" i="38"/>
  <c r="E22" i="38" s="1"/>
  <c r="M22" i="38"/>
  <c r="F10" i="38" s="1"/>
  <c r="L23" i="38"/>
  <c r="M23" i="38"/>
  <c r="L24" i="38"/>
  <c r="M24" i="38" s="1"/>
  <c r="E25" i="38"/>
  <c r="E29" i="38" s="1"/>
  <c r="L25" i="38"/>
  <c r="M25" i="38"/>
  <c r="L26" i="38"/>
  <c r="M26" i="38"/>
  <c r="E27" i="38"/>
  <c r="F27" i="38"/>
  <c r="L27" i="38"/>
  <c r="M27" i="38"/>
  <c r="N27" i="38"/>
  <c r="L28" i="38"/>
  <c r="L11" i="38" s="1"/>
  <c r="L34" i="38" s="1"/>
  <c r="N29" i="38"/>
  <c r="J34" i="38"/>
  <c r="B1" i="39"/>
  <c r="C8" i="39"/>
  <c r="E8" i="39" s="1"/>
  <c r="C9" i="39"/>
  <c r="C23" i="39" s="1"/>
  <c r="E9" i="39"/>
  <c r="C10" i="39"/>
  <c r="E10" i="39" s="1"/>
  <c r="C11" i="39"/>
  <c r="E11" i="39" s="1"/>
  <c r="C12" i="39"/>
  <c r="E12" i="39"/>
  <c r="C13" i="39"/>
  <c r="E13" i="39"/>
  <c r="C14" i="39"/>
  <c r="E14" i="39" s="1"/>
  <c r="C15" i="39"/>
  <c r="E15" i="39"/>
  <c r="C16" i="39"/>
  <c r="E16" i="39"/>
  <c r="L16" i="39"/>
  <c r="M16" i="39"/>
  <c r="C17" i="39"/>
  <c r="E17" i="39" s="1"/>
  <c r="L17" i="39"/>
  <c r="M17" i="39" s="1"/>
  <c r="C18" i="39"/>
  <c r="E18" i="39"/>
  <c r="L18" i="39"/>
  <c r="M18" i="39"/>
  <c r="C19" i="39"/>
  <c r="E19" i="39"/>
  <c r="L19" i="39"/>
  <c r="M19" i="39"/>
  <c r="C20" i="39"/>
  <c r="E20" i="39" s="1"/>
  <c r="L20" i="39"/>
  <c r="M20" i="39"/>
  <c r="C21" i="39"/>
  <c r="E21" i="39"/>
  <c r="L21" i="39"/>
  <c r="F27" i="39" s="1"/>
  <c r="M21" i="39"/>
  <c r="F10" i="39" s="1"/>
  <c r="C22" i="39"/>
  <c r="E22" i="39" s="1"/>
  <c r="L22" i="39"/>
  <c r="M22" i="39"/>
  <c r="L23" i="39"/>
  <c r="M23" i="39" s="1"/>
  <c r="M24" i="39"/>
  <c r="E25" i="39"/>
  <c r="E29" i="39" s="1"/>
  <c r="L25" i="39"/>
  <c r="M25" i="39"/>
  <c r="L26" i="39"/>
  <c r="M26" i="39" s="1"/>
  <c r="E27" i="39"/>
  <c r="L27" i="39"/>
  <c r="M27" i="39" s="1"/>
  <c r="N27" i="39"/>
  <c r="N29" i="39"/>
  <c r="B1" i="27"/>
  <c r="C8" i="27"/>
  <c r="C23" i="27" s="1"/>
  <c r="E8" i="27"/>
  <c r="C9" i="27"/>
  <c r="E9" i="27" s="1"/>
  <c r="C10" i="27"/>
  <c r="E10" i="27"/>
  <c r="C11" i="27"/>
  <c r="E11" i="27"/>
  <c r="C12" i="27"/>
  <c r="E12" i="27"/>
  <c r="C13" i="27"/>
  <c r="E13" i="27"/>
  <c r="C14" i="27"/>
  <c r="E14" i="27"/>
  <c r="C15" i="27"/>
  <c r="E15" i="27"/>
  <c r="C16" i="27"/>
  <c r="E16" i="27"/>
  <c r="M16" i="27"/>
  <c r="C17" i="27"/>
  <c r="E17" i="27" s="1"/>
  <c r="M17" i="27"/>
  <c r="C18" i="27"/>
  <c r="E18" i="27"/>
  <c r="L18" i="27"/>
  <c r="M18" i="27"/>
  <c r="C19" i="27"/>
  <c r="E19" i="27"/>
  <c r="M19" i="27"/>
  <c r="C20" i="27"/>
  <c r="E20" i="27" s="1"/>
  <c r="L20" i="27"/>
  <c r="M20" i="27" s="1"/>
  <c r="C21" i="27"/>
  <c r="E21" i="27"/>
  <c r="L21" i="27"/>
  <c r="M21" i="27"/>
  <c r="C22" i="27"/>
  <c r="E22" i="27" s="1"/>
  <c r="L22" i="27"/>
  <c r="M22" i="27"/>
  <c r="L23" i="27"/>
  <c r="L24" i="27"/>
  <c r="M24" i="27"/>
  <c r="E25" i="27"/>
  <c r="L25" i="27"/>
  <c r="M25" i="27"/>
  <c r="O25" i="27"/>
  <c r="L26" i="27"/>
  <c r="M26" i="27" s="1"/>
  <c r="E27" i="27"/>
  <c r="E29" i="27" s="1"/>
  <c r="F27" i="27"/>
  <c r="M27" i="27"/>
  <c r="O27" i="27"/>
  <c r="J34" i="27"/>
  <c r="B1" i="54"/>
  <c r="C8" i="54"/>
  <c r="E8" i="54" s="1"/>
  <c r="C9" i="54"/>
  <c r="E9" i="54" s="1"/>
  <c r="C10" i="54"/>
  <c r="E10" i="54" s="1"/>
  <c r="C11" i="54"/>
  <c r="E11" i="54"/>
  <c r="C12" i="54"/>
  <c r="E12" i="54"/>
  <c r="C13" i="54"/>
  <c r="E13" i="54"/>
  <c r="C14" i="54"/>
  <c r="E14" i="54" s="1"/>
  <c r="C15" i="54"/>
  <c r="E15" i="54"/>
  <c r="C16" i="54"/>
  <c r="E16" i="54"/>
  <c r="M16" i="54"/>
  <c r="C17" i="54"/>
  <c r="E17" i="54" s="1"/>
  <c r="M17" i="54"/>
  <c r="C18" i="54"/>
  <c r="E18" i="54"/>
  <c r="M18" i="54"/>
  <c r="C19" i="54"/>
  <c r="E19" i="54" s="1"/>
  <c r="M19" i="54"/>
  <c r="C20" i="54"/>
  <c r="E20" i="54"/>
  <c r="M20" i="54"/>
  <c r="C21" i="54"/>
  <c r="E21" i="54"/>
  <c r="L21" i="54"/>
  <c r="C22" i="54"/>
  <c r="E22" i="54" s="1"/>
  <c r="L22" i="54"/>
  <c r="M22" i="54"/>
  <c r="M23" i="54"/>
  <c r="M24" i="54"/>
  <c r="E25" i="54"/>
  <c r="F25" i="54"/>
  <c r="M25" i="54"/>
  <c r="O25" i="54"/>
  <c r="M26" i="54"/>
  <c r="E27" i="54"/>
  <c r="M27" i="54"/>
  <c r="O27" i="54"/>
  <c r="E29" i="54"/>
  <c r="B1" i="55"/>
  <c r="C8" i="55"/>
  <c r="E8" i="55"/>
  <c r="M8" i="55"/>
  <c r="C9" i="55"/>
  <c r="E9" i="55" s="1"/>
  <c r="C10" i="55"/>
  <c r="E10" i="55"/>
  <c r="C11" i="55"/>
  <c r="E11" i="55" s="1"/>
  <c r="L11" i="55"/>
  <c r="L34" i="55" s="1"/>
  <c r="C12" i="55"/>
  <c r="E12" i="55"/>
  <c r="C13" i="55"/>
  <c r="E13" i="55" s="1"/>
  <c r="F13" i="55"/>
  <c r="O13" i="55" s="1"/>
  <c r="C14" i="55"/>
  <c r="E14" i="55"/>
  <c r="C15" i="55"/>
  <c r="E15" i="55" s="1"/>
  <c r="C16" i="55"/>
  <c r="E16" i="55" s="1"/>
  <c r="M16" i="55"/>
  <c r="C17" i="55"/>
  <c r="E17" i="55"/>
  <c r="M17" i="55"/>
  <c r="M28" i="55" s="1"/>
  <c r="F11" i="55" s="1"/>
  <c r="O11" i="55" s="1"/>
  <c r="C18" i="55"/>
  <c r="E18" i="55"/>
  <c r="M18" i="55"/>
  <c r="C19" i="55"/>
  <c r="E19" i="55" s="1"/>
  <c r="F19" i="55" s="1"/>
  <c r="M19" i="55"/>
  <c r="C20" i="55"/>
  <c r="E20" i="55" s="1"/>
  <c r="M20" i="55"/>
  <c r="C21" i="55"/>
  <c r="E21" i="55" s="1"/>
  <c r="M21" i="55"/>
  <c r="F10" i="55" s="1"/>
  <c r="C22" i="55"/>
  <c r="E22" i="55"/>
  <c r="F22" i="55" s="1"/>
  <c r="M22" i="55"/>
  <c r="E23" i="55"/>
  <c r="M23" i="55"/>
  <c r="M24" i="55"/>
  <c r="E25" i="55"/>
  <c r="F25" i="55"/>
  <c r="M25" i="55"/>
  <c r="O25" i="55"/>
  <c r="M26" i="55"/>
  <c r="E27" i="55"/>
  <c r="E29" i="55" s="1"/>
  <c r="F27" i="55"/>
  <c r="F29" i="55" s="1"/>
  <c r="O9" i="55" s="1"/>
  <c r="M27" i="55"/>
  <c r="O27" i="55"/>
  <c r="L28" i="55"/>
  <c r="J34" i="55"/>
  <c r="B1" i="53"/>
  <c r="C8" i="53"/>
  <c r="C9" i="53"/>
  <c r="E9" i="53"/>
  <c r="C10" i="53"/>
  <c r="E10" i="53" s="1"/>
  <c r="C11" i="53"/>
  <c r="E11" i="53"/>
  <c r="C12" i="53"/>
  <c r="E12" i="53"/>
  <c r="C13" i="53"/>
  <c r="E13" i="53" s="1"/>
  <c r="C14" i="53"/>
  <c r="E14" i="53"/>
  <c r="C15" i="53"/>
  <c r="E15" i="53"/>
  <c r="C16" i="53"/>
  <c r="E16" i="53"/>
  <c r="M16" i="53"/>
  <c r="C17" i="53"/>
  <c r="E17" i="53"/>
  <c r="M17" i="53"/>
  <c r="C18" i="53"/>
  <c r="E18" i="53" s="1"/>
  <c r="M18" i="53"/>
  <c r="C19" i="53"/>
  <c r="E19" i="53"/>
  <c r="M19" i="53"/>
  <c r="C20" i="53"/>
  <c r="E20" i="53" s="1"/>
  <c r="M20" i="53"/>
  <c r="C21" i="53"/>
  <c r="E21" i="53"/>
  <c r="M21" i="53"/>
  <c r="C22" i="53"/>
  <c r="E22" i="53" s="1"/>
  <c r="M22" i="53"/>
  <c r="F10" i="53" s="1"/>
  <c r="M23" i="53"/>
  <c r="M24" i="53"/>
  <c r="E25" i="53"/>
  <c r="M25" i="53"/>
  <c r="O25" i="53"/>
  <c r="M26" i="53"/>
  <c r="E27" i="53"/>
  <c r="F27" i="53"/>
  <c r="L27" i="53"/>
  <c r="M27" i="53"/>
  <c r="O27" i="53"/>
  <c r="B1" i="51"/>
  <c r="C8" i="51"/>
  <c r="E8" i="51"/>
  <c r="C9" i="51"/>
  <c r="E9" i="51"/>
  <c r="C10" i="51"/>
  <c r="F10" i="51"/>
  <c r="C11" i="51"/>
  <c r="E11" i="51" s="1"/>
  <c r="C12" i="51"/>
  <c r="E12" i="51" s="1"/>
  <c r="C13" i="51"/>
  <c r="E13" i="51" s="1"/>
  <c r="C14" i="51"/>
  <c r="E14" i="51"/>
  <c r="C15" i="51"/>
  <c r="E15" i="51" s="1"/>
  <c r="C16" i="51"/>
  <c r="E16" i="51" s="1"/>
  <c r="M16" i="51"/>
  <c r="C17" i="51"/>
  <c r="E17" i="51"/>
  <c r="M17" i="51"/>
  <c r="C18" i="51"/>
  <c r="E18" i="51"/>
  <c r="L18" i="51"/>
  <c r="C19" i="51"/>
  <c r="E19" i="51" s="1"/>
  <c r="M19" i="51"/>
  <c r="C20" i="51"/>
  <c r="E20" i="51"/>
  <c r="L20" i="51"/>
  <c r="M20" i="51" s="1"/>
  <c r="C21" i="51"/>
  <c r="E21" i="51" s="1"/>
  <c r="M21" i="51"/>
  <c r="C22" i="51"/>
  <c r="E22" i="51"/>
  <c r="M22" i="51"/>
  <c r="L23" i="51"/>
  <c r="M23" i="51" s="1"/>
  <c r="L24" i="51"/>
  <c r="M24" i="51" s="1"/>
  <c r="E25" i="51"/>
  <c r="E29" i="51" s="1"/>
  <c r="L25" i="51"/>
  <c r="M25" i="51"/>
  <c r="O25" i="51"/>
  <c r="L26" i="51"/>
  <c r="M26" i="51"/>
  <c r="E27" i="51"/>
  <c r="F27" i="51"/>
  <c r="L27" i="51"/>
  <c r="M27" i="51"/>
  <c r="O27" i="51"/>
  <c r="J34" i="51"/>
  <c r="B1" i="19"/>
  <c r="C8" i="19"/>
  <c r="E9" i="19"/>
  <c r="G9" i="19"/>
  <c r="E10" i="19"/>
  <c r="G10" i="19"/>
  <c r="O10" i="19" s="1"/>
  <c r="C11" i="19"/>
  <c r="E11" i="19"/>
  <c r="C12" i="19"/>
  <c r="E12" i="19" s="1"/>
  <c r="G12" i="19"/>
  <c r="M12" i="19"/>
  <c r="C13" i="19"/>
  <c r="E13" i="19"/>
  <c r="G13" i="19"/>
  <c r="O13" i="19" s="1"/>
  <c r="E14" i="19"/>
  <c r="C15" i="19"/>
  <c r="E15" i="19"/>
  <c r="G15" i="19"/>
  <c r="O15" i="19"/>
  <c r="C16" i="19"/>
  <c r="E16" i="19" s="1"/>
  <c r="C17" i="19"/>
  <c r="E17" i="19" s="1"/>
  <c r="N17" i="19"/>
  <c r="C18" i="19"/>
  <c r="E18" i="19"/>
  <c r="N18" i="19"/>
  <c r="C19" i="19"/>
  <c r="E19" i="19" s="1"/>
  <c r="N19" i="19"/>
  <c r="C20" i="19"/>
  <c r="E20" i="19"/>
  <c r="N20" i="19"/>
  <c r="C21" i="19"/>
  <c r="E21" i="19"/>
  <c r="G21" i="19"/>
  <c r="N21" i="19"/>
  <c r="C22" i="19"/>
  <c r="E22" i="19" s="1"/>
  <c r="N22" i="19"/>
  <c r="N23" i="19"/>
  <c r="N24" i="19"/>
  <c r="G25" i="19"/>
  <c r="G29" i="19" s="1"/>
  <c r="N25" i="19"/>
  <c r="O25" i="19"/>
  <c r="N26" i="19"/>
  <c r="G27" i="19"/>
  <c r="N27" i="19"/>
  <c r="O27" i="19"/>
  <c r="M28" i="19"/>
  <c r="M9" i="19" s="1"/>
  <c r="E29" i="19"/>
  <c r="C31" i="19"/>
  <c r="E31" i="19" s="1"/>
  <c r="C32" i="19"/>
  <c r="E32" i="19"/>
  <c r="C33" i="19"/>
  <c r="E33" i="19" s="1"/>
  <c r="C34" i="19"/>
  <c r="E34" i="19"/>
  <c r="C35" i="19"/>
  <c r="E35" i="19" s="1"/>
  <c r="C36" i="19"/>
  <c r="E36" i="19"/>
  <c r="C37" i="19"/>
  <c r="E37" i="19" s="1"/>
  <c r="C38" i="19"/>
  <c r="E38" i="19"/>
  <c r="B1" i="28"/>
  <c r="C8" i="28"/>
  <c r="E8" i="28"/>
  <c r="E9" i="28"/>
  <c r="E10" i="28"/>
  <c r="C11" i="28"/>
  <c r="E11" i="28"/>
  <c r="C12" i="28"/>
  <c r="C23" i="28" s="1"/>
  <c r="C44" i="28" s="1"/>
  <c r="E12" i="28"/>
  <c r="C13" i="28"/>
  <c r="E13" i="28"/>
  <c r="E14" i="28"/>
  <c r="C15" i="28"/>
  <c r="E15" i="28"/>
  <c r="C16" i="28"/>
  <c r="E16" i="28"/>
  <c r="C17" i="28"/>
  <c r="E17" i="28" s="1"/>
  <c r="K17" i="28"/>
  <c r="C18" i="28"/>
  <c r="E18" i="28"/>
  <c r="K18" i="28"/>
  <c r="L18" i="28"/>
  <c r="C19" i="28"/>
  <c r="K19" i="28"/>
  <c r="L19" i="28"/>
  <c r="C20" i="28"/>
  <c r="E20" i="28"/>
  <c r="K20" i="28"/>
  <c r="L20" i="28"/>
  <c r="C21" i="28"/>
  <c r="E21" i="28"/>
  <c r="K21" i="28"/>
  <c r="L21" i="28"/>
  <c r="H10" i="28" s="1"/>
  <c r="C22" i="28"/>
  <c r="E22" i="28"/>
  <c r="K22" i="28"/>
  <c r="L22" i="28"/>
  <c r="K23" i="28"/>
  <c r="L23" i="28" s="1"/>
  <c r="K24" i="28"/>
  <c r="L24" i="28"/>
  <c r="K25" i="28"/>
  <c r="L25" i="28"/>
  <c r="Q25" i="28"/>
  <c r="K26" i="28"/>
  <c r="L26" i="28"/>
  <c r="H27" i="28"/>
  <c r="K27" i="28"/>
  <c r="H25" i="28" s="1"/>
  <c r="H29" i="28" s="1"/>
  <c r="Q9" i="28" s="1"/>
  <c r="Q27" i="28"/>
  <c r="L28" i="28"/>
  <c r="E29" i="28"/>
  <c r="C31" i="28"/>
  <c r="E31" i="28" s="1"/>
  <c r="C32" i="28"/>
  <c r="E32" i="28"/>
  <c r="C33" i="28"/>
  <c r="E33" i="28" s="1"/>
  <c r="C34" i="28"/>
  <c r="E34" i="28" s="1"/>
  <c r="C35" i="28"/>
  <c r="E35" i="28" s="1"/>
  <c r="C36" i="28"/>
  <c r="E36" i="28"/>
  <c r="C37" i="28"/>
  <c r="E37" i="28" s="1"/>
  <c r="C38" i="28"/>
  <c r="E38" i="28"/>
  <c r="B1" i="7"/>
  <c r="C8" i="7"/>
  <c r="E9" i="7"/>
  <c r="L9" i="7"/>
  <c r="E10" i="7"/>
  <c r="C11" i="7"/>
  <c r="C12" i="7"/>
  <c r="Q12" i="7"/>
  <c r="C13" i="7"/>
  <c r="E13" i="7"/>
  <c r="F13" i="7" s="1"/>
  <c r="E14" i="7"/>
  <c r="C15" i="7"/>
  <c r="E15" i="7"/>
  <c r="F15" i="7" s="1"/>
  <c r="V15" i="7" s="1"/>
  <c r="C16" i="7"/>
  <c r="E16" i="7"/>
  <c r="F16" i="7"/>
  <c r="C17" i="7"/>
  <c r="E17" i="7"/>
  <c r="F17" i="7" s="1"/>
  <c r="K17" i="7"/>
  <c r="M17" i="7" s="1"/>
  <c r="P17" i="7"/>
  <c r="R17" i="7"/>
  <c r="C18" i="7"/>
  <c r="E18" i="7"/>
  <c r="F18" i="7"/>
  <c r="K18" i="7"/>
  <c r="M18" i="7" s="1"/>
  <c r="P18" i="7"/>
  <c r="R18" i="7"/>
  <c r="C19" i="7"/>
  <c r="E19" i="7"/>
  <c r="F19" i="7"/>
  <c r="M19" i="7"/>
  <c r="R19" i="7"/>
  <c r="C20" i="7"/>
  <c r="E20" i="7" s="1"/>
  <c r="F20" i="7" s="1"/>
  <c r="M20" i="7"/>
  <c r="F10" i="7" s="1"/>
  <c r="R20" i="7"/>
  <c r="C21" i="7"/>
  <c r="E21" i="7"/>
  <c r="F21" i="7"/>
  <c r="M21" i="7"/>
  <c r="R21" i="7"/>
  <c r="C22" i="7"/>
  <c r="E22" i="7" s="1"/>
  <c r="F22" i="7" s="1"/>
  <c r="M22" i="7"/>
  <c r="R22" i="7"/>
  <c r="M23" i="7"/>
  <c r="R23" i="7"/>
  <c r="M24" i="7"/>
  <c r="R24" i="7"/>
  <c r="F25" i="7"/>
  <c r="M25" i="7"/>
  <c r="R25" i="7"/>
  <c r="V25" i="7"/>
  <c r="M26" i="7"/>
  <c r="R26" i="7"/>
  <c r="M27" i="7"/>
  <c r="R27" i="7"/>
  <c r="V27" i="7"/>
  <c r="L28" i="7"/>
  <c r="L12" i="7" s="1"/>
  <c r="Q28" i="7"/>
  <c r="Q9" i="7" s="1"/>
  <c r="E29" i="7"/>
  <c r="F29" i="7"/>
  <c r="C31" i="7"/>
  <c r="E31" i="7"/>
  <c r="C32" i="7"/>
  <c r="E32" i="7"/>
  <c r="C33" i="7"/>
  <c r="E33" i="7"/>
  <c r="C34" i="7"/>
  <c r="E34" i="7"/>
  <c r="C35" i="7"/>
  <c r="E35" i="7"/>
  <c r="C36" i="7"/>
  <c r="E36" i="7" s="1"/>
  <c r="C37" i="7"/>
  <c r="E37" i="7"/>
  <c r="L37" i="7"/>
  <c r="C38" i="7"/>
  <c r="E38" i="7" s="1"/>
  <c r="B1" i="41"/>
  <c r="C8" i="41"/>
  <c r="E8" i="41"/>
  <c r="C9" i="41"/>
  <c r="H9" i="41"/>
  <c r="C10" i="41"/>
  <c r="E10" i="41"/>
  <c r="C11" i="41"/>
  <c r="C23" i="41" s="1"/>
  <c r="E11" i="41"/>
  <c r="C12" i="41"/>
  <c r="E12" i="41"/>
  <c r="C13" i="41"/>
  <c r="E13" i="41" s="1"/>
  <c r="C14" i="41"/>
  <c r="E14" i="41"/>
  <c r="C15" i="41"/>
  <c r="E15" i="41"/>
  <c r="C16" i="41"/>
  <c r="E16" i="41"/>
  <c r="L16" i="41"/>
  <c r="C17" i="41"/>
  <c r="E17" i="41"/>
  <c r="E23" i="41" s="1"/>
  <c r="L17" i="41"/>
  <c r="C18" i="41"/>
  <c r="E18" i="41" s="1"/>
  <c r="L18" i="41"/>
  <c r="C19" i="41"/>
  <c r="E19" i="41" s="1"/>
  <c r="L19" i="41"/>
  <c r="C20" i="41"/>
  <c r="E20" i="41"/>
  <c r="L20" i="41"/>
  <c r="C21" i="41"/>
  <c r="E21" i="41"/>
  <c r="L21" i="41"/>
  <c r="C22" i="41"/>
  <c r="E22" i="41" s="1"/>
  <c r="L22" i="41"/>
  <c r="L23" i="41"/>
  <c r="L24" i="41"/>
  <c r="E25" i="41"/>
  <c r="L25" i="41"/>
  <c r="Q25" i="41"/>
  <c r="L26" i="41"/>
  <c r="E27" i="41"/>
  <c r="L27" i="41"/>
  <c r="Q27" i="41"/>
  <c r="K28" i="41"/>
  <c r="K11" i="41" s="1"/>
  <c r="E29" i="41"/>
  <c r="I34" i="41" s="1"/>
  <c r="K34" i="41"/>
  <c r="B1" i="29"/>
  <c r="C8" i="29"/>
  <c r="E8" i="29"/>
  <c r="C9" i="29"/>
  <c r="H9" i="29"/>
  <c r="C10" i="29"/>
  <c r="E10" i="29"/>
  <c r="C11" i="29"/>
  <c r="E11" i="29" s="1"/>
  <c r="C12" i="29"/>
  <c r="E12" i="29" s="1"/>
  <c r="C13" i="29"/>
  <c r="E13" i="29"/>
  <c r="C14" i="29"/>
  <c r="E14" i="29"/>
  <c r="C15" i="29"/>
  <c r="E15" i="29" s="1"/>
  <c r="C16" i="29"/>
  <c r="E16" i="29"/>
  <c r="L16" i="29"/>
  <c r="C17" i="29"/>
  <c r="E17" i="29"/>
  <c r="L17" i="29"/>
  <c r="L28" i="29" s="1"/>
  <c r="L30" i="29" s="1"/>
  <c r="L8" i="29" s="1"/>
  <c r="C18" i="29"/>
  <c r="E18" i="29"/>
  <c r="L18" i="29"/>
  <c r="C19" i="29"/>
  <c r="E19" i="29" s="1"/>
  <c r="L19" i="29"/>
  <c r="C20" i="29"/>
  <c r="E20" i="29" s="1"/>
  <c r="L20" i="29"/>
  <c r="C21" i="29"/>
  <c r="E21" i="29"/>
  <c r="L21" i="29"/>
  <c r="C22" i="29"/>
  <c r="E22" i="29"/>
  <c r="L22" i="29"/>
  <c r="L23" i="29"/>
  <c r="L24" i="29"/>
  <c r="E25" i="29"/>
  <c r="E29" i="29" s="1"/>
  <c r="L25" i="29"/>
  <c r="Q25" i="29"/>
  <c r="L26" i="29"/>
  <c r="E27" i="29"/>
  <c r="L27" i="29"/>
  <c r="Q27" i="29"/>
  <c r="K28" i="29"/>
  <c r="K11" i="29" s="1"/>
  <c r="I34" i="29"/>
  <c r="K34" i="29"/>
  <c r="B1" i="34"/>
  <c r="C8" i="34"/>
  <c r="C9" i="34"/>
  <c r="Q9" i="34"/>
  <c r="C10" i="34"/>
  <c r="E10" i="34"/>
  <c r="C11" i="34"/>
  <c r="E11" i="34" s="1"/>
  <c r="K11" i="34"/>
  <c r="K34" i="34" s="1"/>
  <c r="C12" i="34"/>
  <c r="E12" i="34" s="1"/>
  <c r="C13" i="34"/>
  <c r="E13" i="34"/>
  <c r="C14" i="34"/>
  <c r="E14" i="34" s="1"/>
  <c r="C15" i="34"/>
  <c r="E15" i="34"/>
  <c r="C16" i="34"/>
  <c r="E16" i="34"/>
  <c r="L16" i="34"/>
  <c r="C17" i="34"/>
  <c r="E17" i="34" s="1"/>
  <c r="L17" i="34"/>
  <c r="C18" i="34"/>
  <c r="E18" i="34"/>
  <c r="L18" i="34"/>
  <c r="C19" i="34"/>
  <c r="E19" i="34" s="1"/>
  <c r="L19" i="34"/>
  <c r="C20" i="34"/>
  <c r="E20" i="34" s="1"/>
  <c r="L20" i="34"/>
  <c r="C21" i="34"/>
  <c r="E21" i="34"/>
  <c r="L21" i="34"/>
  <c r="C22" i="34"/>
  <c r="E22" i="34"/>
  <c r="L22" i="34"/>
  <c r="H10" i="34" s="1"/>
  <c r="L23" i="34"/>
  <c r="L24" i="34"/>
  <c r="E25" i="34"/>
  <c r="H25" i="34"/>
  <c r="L25" i="34"/>
  <c r="L26" i="34"/>
  <c r="E27" i="34"/>
  <c r="H27" i="34"/>
  <c r="H27" i="29" s="1"/>
  <c r="L27" i="34"/>
  <c r="Q27" i="34"/>
  <c r="K28" i="34"/>
  <c r="H29" i="34"/>
  <c r="Q29" i="34"/>
  <c r="B1" i="35"/>
  <c r="C8" i="35"/>
  <c r="E8" i="35"/>
  <c r="C9" i="35"/>
  <c r="C10" i="35"/>
  <c r="E10" i="35"/>
  <c r="H10" i="35"/>
  <c r="C11" i="35"/>
  <c r="E11" i="35"/>
  <c r="K11" i="35"/>
  <c r="K34" i="35" s="1"/>
  <c r="C12" i="35"/>
  <c r="E12" i="35"/>
  <c r="C13" i="35"/>
  <c r="E13" i="35"/>
  <c r="C14" i="35"/>
  <c r="E14" i="35"/>
  <c r="C15" i="35"/>
  <c r="E15" i="35"/>
  <c r="C16" i="35"/>
  <c r="E16" i="35" s="1"/>
  <c r="K16" i="35"/>
  <c r="K28" i="35" s="1"/>
  <c r="C17" i="35"/>
  <c r="E17" i="35"/>
  <c r="L17" i="35"/>
  <c r="C18" i="35"/>
  <c r="E18" i="35"/>
  <c r="G18" i="35" s="1"/>
  <c r="L18" i="35"/>
  <c r="C19" i="35"/>
  <c r="E19" i="35" s="1"/>
  <c r="L19" i="35"/>
  <c r="C20" i="35"/>
  <c r="E20" i="35" s="1"/>
  <c r="L20" i="35"/>
  <c r="C21" i="35"/>
  <c r="E21" i="35"/>
  <c r="K21" i="35"/>
  <c r="L21" i="35"/>
  <c r="C22" i="35"/>
  <c r="E22" i="35"/>
  <c r="L22" i="35"/>
  <c r="E23" i="35"/>
  <c r="G23" i="35" s="1"/>
  <c r="L23" i="35"/>
  <c r="L24" i="35"/>
  <c r="E25" i="35"/>
  <c r="H25" i="35"/>
  <c r="L25" i="35"/>
  <c r="L26" i="35"/>
  <c r="E27" i="35"/>
  <c r="H27" i="35"/>
  <c r="L27" i="35"/>
  <c r="Q27" i="35"/>
  <c r="H29" i="35"/>
  <c r="Q29" i="35"/>
  <c r="B1" i="13"/>
  <c r="C8" i="13"/>
  <c r="E8" i="13"/>
  <c r="E9" i="13"/>
  <c r="E10" i="13"/>
  <c r="C11" i="13"/>
  <c r="E11" i="13" s="1"/>
  <c r="C12" i="13"/>
  <c r="E12" i="13"/>
  <c r="C13" i="13"/>
  <c r="E13" i="13" s="1"/>
  <c r="E14" i="13"/>
  <c r="C15" i="13"/>
  <c r="E15" i="13"/>
  <c r="C16" i="13"/>
  <c r="E16" i="13" s="1"/>
  <c r="C17" i="13"/>
  <c r="E17" i="13" s="1"/>
  <c r="K17" i="13"/>
  <c r="L17" i="13" s="1"/>
  <c r="C18" i="13"/>
  <c r="E18" i="13"/>
  <c r="J18" i="13"/>
  <c r="L18" i="13" s="1"/>
  <c r="C19" i="13"/>
  <c r="E19" i="13" s="1"/>
  <c r="K19" i="13"/>
  <c r="L19" i="13"/>
  <c r="C20" i="13"/>
  <c r="E20" i="13" s="1"/>
  <c r="J20" i="13"/>
  <c r="L20" i="13"/>
  <c r="C21" i="13"/>
  <c r="E21" i="13"/>
  <c r="J21" i="13"/>
  <c r="L21" i="13" s="1"/>
  <c r="G10" i="13" s="1"/>
  <c r="C22" i="13"/>
  <c r="E22" i="13"/>
  <c r="J22" i="13"/>
  <c r="L22" i="13"/>
  <c r="C23" i="13"/>
  <c r="C44" i="13" s="1"/>
  <c r="J23" i="13"/>
  <c r="L23" i="13"/>
  <c r="J24" i="13"/>
  <c r="L24" i="13"/>
  <c r="J25" i="13"/>
  <c r="L25" i="13"/>
  <c r="O25" i="13"/>
  <c r="J26" i="13"/>
  <c r="L26" i="13" s="1"/>
  <c r="K26" i="13"/>
  <c r="G27" i="13"/>
  <c r="J27" i="13"/>
  <c r="L27" i="13" s="1"/>
  <c r="O27" i="13"/>
  <c r="J28" i="13"/>
  <c r="E29" i="13"/>
  <c r="C31" i="13"/>
  <c r="E31" i="13"/>
  <c r="C32" i="13"/>
  <c r="E32" i="13" s="1"/>
  <c r="C33" i="13"/>
  <c r="E33" i="13"/>
  <c r="C34" i="13"/>
  <c r="E34" i="13"/>
  <c r="C35" i="13"/>
  <c r="E35" i="13"/>
  <c r="C36" i="13"/>
  <c r="E36" i="13"/>
  <c r="C37" i="13"/>
  <c r="E37" i="13" s="1"/>
  <c r="C38" i="13"/>
  <c r="E38" i="13"/>
  <c r="I40" i="13"/>
  <c r="K40" i="13"/>
  <c r="B1" i="43"/>
  <c r="C8" i="43"/>
  <c r="E8" i="43"/>
  <c r="E9" i="43"/>
  <c r="E10" i="43"/>
  <c r="G10" i="43"/>
  <c r="O10" i="43" s="1"/>
  <c r="C11" i="43"/>
  <c r="C12" i="43"/>
  <c r="E12" i="43"/>
  <c r="K12" i="43"/>
  <c r="C13" i="43"/>
  <c r="E13" i="43" s="1"/>
  <c r="E14" i="43"/>
  <c r="C15" i="43"/>
  <c r="E15" i="43" s="1"/>
  <c r="C16" i="43"/>
  <c r="E16" i="43"/>
  <c r="G16" i="43"/>
  <c r="O16" i="43" s="1"/>
  <c r="C17" i="43"/>
  <c r="E17" i="43" s="1"/>
  <c r="L17" i="43"/>
  <c r="M17" i="43"/>
  <c r="C18" i="43"/>
  <c r="E18" i="43" s="1"/>
  <c r="M18" i="43"/>
  <c r="O18" i="43"/>
  <c r="C19" i="43"/>
  <c r="E19" i="43"/>
  <c r="M19" i="43"/>
  <c r="C20" i="43"/>
  <c r="E20" i="43" s="1"/>
  <c r="G20" i="43"/>
  <c r="O20" i="43" s="1"/>
  <c r="M20" i="43"/>
  <c r="C21" i="43"/>
  <c r="E21" i="43"/>
  <c r="M21" i="43"/>
  <c r="C22" i="43"/>
  <c r="E22" i="43"/>
  <c r="M22" i="43"/>
  <c r="L23" i="43"/>
  <c r="M23" i="43"/>
  <c r="M24" i="43"/>
  <c r="M25" i="43"/>
  <c r="O25" i="43"/>
  <c r="M26" i="43"/>
  <c r="M27" i="43"/>
  <c r="O27" i="43"/>
  <c r="L28" i="43"/>
  <c r="M28" i="43"/>
  <c r="E29" i="43"/>
  <c r="G29" i="43"/>
  <c r="C31" i="43"/>
  <c r="C32" i="43"/>
  <c r="E32" i="43" s="1"/>
  <c r="C33" i="43"/>
  <c r="E33" i="43"/>
  <c r="M33" i="43"/>
  <c r="C34" i="43"/>
  <c r="E34" i="43" s="1"/>
  <c r="C35" i="43"/>
  <c r="C36" i="43"/>
  <c r="C37" i="43"/>
  <c r="C38" i="43"/>
  <c r="E38" i="43" s="1"/>
  <c r="B1" i="17"/>
  <c r="C8" i="17"/>
  <c r="E9" i="17"/>
  <c r="G9" i="17"/>
  <c r="E10" i="17"/>
  <c r="G10" i="17"/>
  <c r="O10" i="17"/>
  <c r="C11" i="17"/>
  <c r="E11" i="17" s="1"/>
  <c r="C12" i="17"/>
  <c r="E12" i="17" s="1"/>
  <c r="K12" i="17"/>
  <c r="C13" i="17"/>
  <c r="E13" i="17"/>
  <c r="E14" i="17"/>
  <c r="C15" i="17"/>
  <c r="E15" i="17"/>
  <c r="C16" i="17"/>
  <c r="E16" i="17" s="1"/>
  <c r="O16" i="17"/>
  <c r="C17" i="17"/>
  <c r="E17" i="17" s="1"/>
  <c r="M17" i="17"/>
  <c r="C18" i="17"/>
  <c r="E18" i="17"/>
  <c r="M18" i="17"/>
  <c r="O18" i="17"/>
  <c r="C19" i="17"/>
  <c r="E19" i="17" s="1"/>
  <c r="M19" i="17"/>
  <c r="C20" i="17"/>
  <c r="E20" i="17" s="1"/>
  <c r="M20" i="17"/>
  <c r="C21" i="17"/>
  <c r="E21" i="17"/>
  <c r="G21" i="17"/>
  <c r="G21" i="42" s="1"/>
  <c r="M21" i="17"/>
  <c r="O21" i="17"/>
  <c r="C22" i="17"/>
  <c r="E22" i="17"/>
  <c r="M22" i="17"/>
  <c r="M23" i="17"/>
  <c r="M24" i="17"/>
  <c r="M25" i="17"/>
  <c r="O25" i="17"/>
  <c r="M26" i="17"/>
  <c r="M27" i="17"/>
  <c r="O27" i="17"/>
  <c r="M28" i="17"/>
  <c r="E29" i="17"/>
  <c r="G29" i="17"/>
  <c r="L29" i="17"/>
  <c r="L35" i="17" s="1"/>
  <c r="C31" i="17"/>
  <c r="C32" i="17"/>
  <c r="E32" i="17" s="1"/>
  <c r="C33" i="17"/>
  <c r="E33" i="17"/>
  <c r="M33" i="17"/>
  <c r="C34" i="17"/>
  <c r="E34" i="17" s="1"/>
  <c r="C35" i="17"/>
  <c r="C36" i="17"/>
  <c r="C37" i="17"/>
  <c r="C38" i="17"/>
  <c r="E38" i="17"/>
  <c r="B1" i="42"/>
  <c r="C8" i="42"/>
  <c r="E9" i="42"/>
  <c r="G9" i="42" s="1"/>
  <c r="E10" i="42"/>
  <c r="G10" i="42"/>
  <c r="C11" i="42"/>
  <c r="E11" i="42"/>
  <c r="C12" i="42"/>
  <c r="E12" i="42" s="1"/>
  <c r="K12" i="42"/>
  <c r="C13" i="42"/>
  <c r="E13" i="42"/>
  <c r="E14" i="42"/>
  <c r="G14" i="42"/>
  <c r="G14" i="43" s="1"/>
  <c r="O14" i="43" s="1"/>
  <c r="C15" i="42"/>
  <c r="E15" i="42"/>
  <c r="C16" i="42"/>
  <c r="E16" i="42"/>
  <c r="G16" i="42"/>
  <c r="C17" i="42"/>
  <c r="E17" i="42"/>
  <c r="G17" i="42"/>
  <c r="G17" i="43" s="1"/>
  <c r="O17" i="43" s="1"/>
  <c r="L17" i="42"/>
  <c r="M17" i="42"/>
  <c r="C18" i="42"/>
  <c r="E18" i="42" s="1"/>
  <c r="G18" i="42"/>
  <c r="G18" i="43" s="1"/>
  <c r="M18" i="42"/>
  <c r="C19" i="42"/>
  <c r="E19" i="42" s="1"/>
  <c r="M19" i="42"/>
  <c r="C20" i="42"/>
  <c r="E20" i="42"/>
  <c r="G20" i="42"/>
  <c r="L20" i="42"/>
  <c r="M20" i="42"/>
  <c r="G8" i="42" s="1"/>
  <c r="C21" i="42"/>
  <c r="E21" i="42" s="1"/>
  <c r="M21" i="42"/>
  <c r="C22" i="42"/>
  <c r="E22" i="42"/>
  <c r="G22" i="42"/>
  <c r="M22" i="42"/>
  <c r="M23" i="42"/>
  <c r="M24" i="42"/>
  <c r="M25" i="42"/>
  <c r="O25" i="42"/>
  <c r="M26" i="42"/>
  <c r="M27" i="42"/>
  <c r="O27" i="42"/>
  <c r="L28" i="42"/>
  <c r="M28" i="42"/>
  <c r="E29" i="42"/>
  <c r="C31" i="42"/>
  <c r="C32" i="42"/>
  <c r="E32" i="42"/>
  <c r="C33" i="42"/>
  <c r="E33" i="42" s="1"/>
  <c r="M33" i="42"/>
  <c r="C34" i="42"/>
  <c r="E34" i="42"/>
  <c r="C35" i="42"/>
  <c r="C36" i="42"/>
  <c r="C37" i="42"/>
  <c r="C38" i="42"/>
  <c r="E38" i="42"/>
  <c r="B1" i="18"/>
  <c r="B2" i="18"/>
  <c r="C8" i="18"/>
  <c r="E8" i="18"/>
  <c r="E9" i="18"/>
  <c r="G9" i="18"/>
  <c r="O9" i="18"/>
  <c r="E10" i="18"/>
  <c r="G10" i="18"/>
  <c r="O10" i="18" s="1"/>
  <c r="C11" i="18"/>
  <c r="E11" i="18"/>
  <c r="C12" i="18"/>
  <c r="E12" i="18"/>
  <c r="G12" i="18"/>
  <c r="O12" i="18" s="1"/>
  <c r="K12" i="18"/>
  <c r="L12" i="18"/>
  <c r="M12" i="18"/>
  <c r="C13" i="18"/>
  <c r="E13" i="18"/>
  <c r="G13" i="18"/>
  <c r="O13" i="18"/>
  <c r="E14" i="18"/>
  <c r="C15" i="18"/>
  <c r="E15" i="18"/>
  <c r="G15" i="18"/>
  <c r="O15" i="18"/>
  <c r="C16" i="18"/>
  <c r="E16" i="18" s="1"/>
  <c r="C17" i="18"/>
  <c r="E17" i="18" s="1"/>
  <c r="M17" i="18"/>
  <c r="O17" i="18"/>
  <c r="C18" i="18"/>
  <c r="E18" i="18"/>
  <c r="M18" i="18"/>
  <c r="C19" i="18"/>
  <c r="E19" i="18" s="1"/>
  <c r="G19" i="18"/>
  <c r="O19" i="18" s="1"/>
  <c r="M19" i="18"/>
  <c r="C20" i="18"/>
  <c r="E20" i="18" s="1"/>
  <c r="M20" i="18"/>
  <c r="C21" i="18"/>
  <c r="E21" i="18"/>
  <c r="G21" i="18"/>
  <c r="O21" i="18" s="1"/>
  <c r="M21" i="18"/>
  <c r="C22" i="18"/>
  <c r="E22" i="18"/>
  <c r="M22" i="18"/>
  <c r="C23" i="18"/>
  <c r="E23" i="18"/>
  <c r="M23" i="18"/>
  <c r="M24" i="18"/>
  <c r="G25" i="18"/>
  <c r="M25" i="18"/>
  <c r="O25" i="18"/>
  <c r="M26" i="18"/>
  <c r="M27" i="18"/>
  <c r="O27" i="18"/>
  <c r="M28" i="18"/>
  <c r="E29" i="18"/>
  <c r="G29" i="18"/>
  <c r="O16" i="18" s="1"/>
  <c r="L29" i="18"/>
  <c r="L9" i="18" s="1"/>
  <c r="C31" i="18"/>
  <c r="C32" i="18"/>
  <c r="E32" i="18" s="1"/>
  <c r="C33" i="18"/>
  <c r="E33" i="18"/>
  <c r="C34" i="18"/>
  <c r="C35" i="18"/>
  <c r="M35" i="18"/>
  <c r="C36" i="18"/>
  <c r="C37" i="18"/>
  <c r="C38" i="18"/>
  <c r="E38" i="18"/>
  <c r="B1" i="16"/>
  <c r="B2" i="16"/>
  <c r="C8" i="16"/>
  <c r="E8" i="16" s="1"/>
  <c r="E9" i="16"/>
  <c r="H9" i="16"/>
  <c r="M9" i="16"/>
  <c r="E10" i="16"/>
  <c r="H10" i="16"/>
  <c r="C11" i="16"/>
  <c r="E11" i="16"/>
  <c r="C12" i="16"/>
  <c r="C23" i="16" s="1"/>
  <c r="C44" i="16" s="1"/>
  <c r="E12" i="16"/>
  <c r="H12" i="16"/>
  <c r="K12" i="16"/>
  <c r="C13" i="16"/>
  <c r="E13" i="16" s="1"/>
  <c r="H13" i="16"/>
  <c r="E14" i="16"/>
  <c r="C15" i="16"/>
  <c r="E15" i="16"/>
  <c r="H15" i="16"/>
  <c r="C16" i="16"/>
  <c r="E16" i="16" s="1"/>
  <c r="C17" i="16"/>
  <c r="E17" i="16" s="1"/>
  <c r="M17" i="16"/>
  <c r="C18" i="16"/>
  <c r="E18" i="16" s="1"/>
  <c r="M18" i="16"/>
  <c r="C19" i="16"/>
  <c r="E19" i="16" s="1"/>
  <c r="H19" i="16"/>
  <c r="M19" i="16"/>
  <c r="C20" i="16"/>
  <c r="E20" i="16" s="1"/>
  <c r="M20" i="16"/>
  <c r="C21" i="16"/>
  <c r="E21" i="16"/>
  <c r="H21" i="16"/>
  <c r="M21" i="16"/>
  <c r="C22" i="16"/>
  <c r="E22" i="16"/>
  <c r="H22" i="16"/>
  <c r="M22" i="16"/>
  <c r="M23" i="16"/>
  <c r="M24" i="16"/>
  <c r="M25" i="16"/>
  <c r="Q25" i="16"/>
  <c r="M26" i="16"/>
  <c r="M27" i="16"/>
  <c r="Q27" i="16"/>
  <c r="M28" i="16"/>
  <c r="E29" i="16"/>
  <c r="L29" i="16"/>
  <c r="M29" i="16"/>
  <c r="M35" i="16" s="1"/>
  <c r="C31" i="16"/>
  <c r="C32" i="16"/>
  <c r="E32" i="16" s="1"/>
  <c r="C33" i="16"/>
  <c r="E33" i="16"/>
  <c r="M33" i="16"/>
  <c r="C34" i="16"/>
  <c r="E34" i="16"/>
  <c r="C35" i="16"/>
  <c r="C36" i="16"/>
  <c r="C37" i="16"/>
  <c r="C38" i="16"/>
  <c r="E38" i="16"/>
  <c r="J40" i="16"/>
  <c r="B1" i="20"/>
  <c r="C8" i="20"/>
  <c r="E8" i="20"/>
  <c r="E9" i="20"/>
  <c r="L9" i="20"/>
  <c r="O9" i="20"/>
  <c r="E10" i="20"/>
  <c r="C11" i="20"/>
  <c r="E11" i="20" s="1"/>
  <c r="C12" i="20"/>
  <c r="E12" i="20" s="1"/>
  <c r="L12" i="20"/>
  <c r="C13" i="20"/>
  <c r="E13" i="20" s="1"/>
  <c r="F13" i="20" s="1"/>
  <c r="O13" i="20" s="1"/>
  <c r="C15" i="20"/>
  <c r="E15" i="20"/>
  <c r="F15" i="20" s="1"/>
  <c r="O15" i="20" s="1"/>
  <c r="C16" i="20"/>
  <c r="E16" i="20"/>
  <c r="C17" i="20"/>
  <c r="E17" i="20"/>
  <c r="M17" i="20"/>
  <c r="C18" i="20"/>
  <c r="E18" i="20"/>
  <c r="F18" i="20" s="1"/>
  <c r="O18" i="20" s="1"/>
  <c r="M18" i="20"/>
  <c r="C19" i="20"/>
  <c r="E19" i="20"/>
  <c r="M19" i="20"/>
  <c r="C20" i="20"/>
  <c r="E20" i="20"/>
  <c r="F20" i="20"/>
  <c r="O20" i="20" s="1"/>
  <c r="M20" i="20"/>
  <c r="C21" i="20"/>
  <c r="E21" i="20"/>
  <c r="M21" i="20"/>
  <c r="C22" i="20"/>
  <c r="E22" i="20" s="1"/>
  <c r="F22" i="20" s="1"/>
  <c r="O22" i="20" s="1"/>
  <c r="M22" i="20"/>
  <c r="M23" i="20"/>
  <c r="M24" i="20"/>
  <c r="M25" i="20"/>
  <c r="O25" i="20"/>
  <c r="M26" i="20"/>
  <c r="M27" i="20"/>
  <c r="F8" i="20" s="1"/>
  <c r="O27" i="20"/>
  <c r="M28" i="20"/>
  <c r="E29" i="20"/>
  <c r="L29" i="20"/>
  <c r="F25" i="20" s="1"/>
  <c r="F29" i="20" s="1"/>
  <c r="C31" i="20"/>
  <c r="E31" i="20"/>
  <c r="C32" i="20"/>
  <c r="E32" i="20" s="1"/>
  <c r="C33" i="20"/>
  <c r="E33" i="20" s="1"/>
  <c r="C34" i="20"/>
  <c r="E34" i="20" s="1"/>
  <c r="C35" i="20"/>
  <c r="E35" i="20" s="1"/>
  <c r="C36" i="20"/>
  <c r="E36" i="20"/>
  <c r="C37" i="20"/>
  <c r="E37" i="20"/>
  <c r="C38" i="20"/>
  <c r="E38" i="20" s="1"/>
  <c r="J40" i="20"/>
  <c r="L40" i="20"/>
  <c r="B1" i="3"/>
  <c r="C8" i="3"/>
  <c r="E8" i="3"/>
  <c r="E9" i="3"/>
  <c r="E10" i="3"/>
  <c r="C11" i="3"/>
  <c r="E11" i="3"/>
  <c r="C12" i="3"/>
  <c r="E12" i="3"/>
  <c r="F12" i="3"/>
  <c r="O12" i="3" s="1"/>
  <c r="C13" i="3"/>
  <c r="E13" i="3" s="1"/>
  <c r="F13" i="3" s="1"/>
  <c r="O13" i="3" s="1"/>
  <c r="N13" i="3"/>
  <c r="C14" i="3"/>
  <c r="E14" i="3" s="1"/>
  <c r="F14" i="3" s="1"/>
  <c r="O14" i="3" s="1"/>
  <c r="C15" i="3"/>
  <c r="E15" i="3" s="1"/>
  <c r="F15" i="3"/>
  <c r="O15" i="3" s="1"/>
  <c r="C16" i="3"/>
  <c r="E16" i="3"/>
  <c r="M16" i="3"/>
  <c r="C17" i="3"/>
  <c r="E17" i="3"/>
  <c r="F17" i="3"/>
  <c r="O17" i="3" s="1"/>
  <c r="M17" i="3"/>
  <c r="C18" i="3"/>
  <c r="E18" i="3"/>
  <c r="M18" i="3"/>
  <c r="O18" i="3"/>
  <c r="C19" i="3"/>
  <c r="E19" i="3" s="1"/>
  <c r="F19" i="3" s="1"/>
  <c r="O19" i="3" s="1"/>
  <c r="M19" i="3"/>
  <c r="C20" i="3"/>
  <c r="E20" i="3" s="1"/>
  <c r="F20" i="3" s="1"/>
  <c r="M20" i="3"/>
  <c r="O20" i="3"/>
  <c r="C21" i="3"/>
  <c r="E21" i="3" s="1"/>
  <c r="F21" i="3" s="1"/>
  <c r="O21" i="3" s="1"/>
  <c r="M21" i="3"/>
  <c r="M28" i="3" s="1"/>
  <c r="M8" i="3" s="1"/>
  <c r="C22" i="3"/>
  <c r="E22" i="3"/>
  <c r="M22" i="3"/>
  <c r="M23" i="3"/>
  <c r="M24" i="3"/>
  <c r="M25" i="3"/>
  <c r="O25" i="3"/>
  <c r="M26" i="3"/>
  <c r="M27" i="3"/>
  <c r="O27" i="3"/>
  <c r="L28" i="3"/>
  <c r="L11" i="3" s="1"/>
  <c r="F18" i="3" s="1"/>
  <c r="E29" i="3"/>
  <c r="J34" i="3" s="1"/>
  <c r="F29" i="3"/>
  <c r="C31" i="3"/>
  <c r="E31" i="3"/>
  <c r="C32" i="3"/>
  <c r="E32" i="3" s="1"/>
  <c r="C33" i="3"/>
  <c r="E33" i="3" s="1"/>
  <c r="C34" i="3"/>
  <c r="E34" i="3"/>
  <c r="C35" i="3"/>
  <c r="E35" i="3" s="1"/>
  <c r="C36" i="3"/>
  <c r="E36" i="3"/>
  <c r="C37" i="3"/>
  <c r="E37" i="3"/>
  <c r="C38" i="3"/>
  <c r="E38" i="3" s="1"/>
  <c r="E39" i="3"/>
  <c r="B1" i="11"/>
  <c r="C8" i="11"/>
  <c r="E8" i="11" s="1"/>
  <c r="E9" i="11"/>
  <c r="F9" i="11"/>
  <c r="E10" i="11"/>
  <c r="F10" i="11"/>
  <c r="C11" i="11"/>
  <c r="E11" i="11"/>
  <c r="C12" i="11"/>
  <c r="E12" i="11" s="1"/>
  <c r="C13" i="11"/>
  <c r="C14" i="11"/>
  <c r="E14" i="11" s="1"/>
  <c r="C16" i="11"/>
  <c r="E16" i="11" s="1"/>
  <c r="C17" i="11"/>
  <c r="E17" i="11"/>
  <c r="C18" i="11"/>
  <c r="E18" i="11" s="1"/>
  <c r="J18" i="11"/>
  <c r="C19" i="11"/>
  <c r="E19" i="11" s="1"/>
  <c r="L19" i="11"/>
  <c r="C20" i="11"/>
  <c r="E20" i="11"/>
  <c r="L20" i="11"/>
  <c r="C21" i="11"/>
  <c r="E21" i="11"/>
  <c r="L21" i="11"/>
  <c r="C22" i="11"/>
  <c r="E22" i="11"/>
  <c r="L22" i="11"/>
  <c r="C23" i="11"/>
  <c r="E23" i="11" s="1"/>
  <c r="L23" i="11"/>
  <c r="L24" i="11"/>
  <c r="L25" i="11"/>
  <c r="L26" i="11"/>
  <c r="O26" i="11"/>
  <c r="L27" i="11"/>
  <c r="L28" i="11"/>
  <c r="O28" i="11"/>
  <c r="L29" i="11"/>
  <c r="E30" i="11"/>
  <c r="C32" i="11"/>
  <c r="E32" i="11"/>
  <c r="C33" i="11"/>
  <c r="E33" i="11" s="1"/>
  <c r="C34" i="11"/>
  <c r="E34" i="11"/>
  <c r="C35" i="11"/>
  <c r="E35" i="11" s="1"/>
  <c r="C36" i="11"/>
  <c r="E36" i="11" s="1"/>
  <c r="C37" i="11"/>
  <c r="E37" i="11"/>
  <c r="C38" i="11"/>
  <c r="E38" i="11"/>
  <c r="C39" i="11"/>
  <c r="E39" i="11" s="1"/>
  <c r="B1" i="26"/>
  <c r="C8" i="26"/>
  <c r="E8" i="26"/>
  <c r="C9" i="26"/>
  <c r="C10" i="26"/>
  <c r="E10" i="26"/>
  <c r="H10" i="26"/>
  <c r="C11" i="26"/>
  <c r="E11" i="26"/>
  <c r="C12" i="26"/>
  <c r="E12" i="26" s="1"/>
  <c r="C13" i="26"/>
  <c r="E13" i="26" s="1"/>
  <c r="C14" i="26"/>
  <c r="E14" i="26"/>
  <c r="C15" i="26"/>
  <c r="E15" i="26" s="1"/>
  <c r="C16" i="26"/>
  <c r="E16" i="26"/>
  <c r="K16" i="26"/>
  <c r="C17" i="26"/>
  <c r="E17" i="26" s="1"/>
  <c r="K17" i="26"/>
  <c r="L17" i="26" s="1"/>
  <c r="C18" i="26"/>
  <c r="E18" i="26" s="1"/>
  <c r="L18" i="26"/>
  <c r="C19" i="26"/>
  <c r="E19" i="26"/>
  <c r="K19" i="26"/>
  <c r="L19" i="26"/>
  <c r="C20" i="26"/>
  <c r="E20" i="26" s="1"/>
  <c r="K20" i="26"/>
  <c r="L20" i="26"/>
  <c r="C21" i="26"/>
  <c r="E21" i="26"/>
  <c r="K21" i="26"/>
  <c r="H27" i="26" s="1"/>
  <c r="L21" i="26"/>
  <c r="C22" i="26"/>
  <c r="E22" i="26"/>
  <c r="K22" i="26"/>
  <c r="L22" i="26" s="1"/>
  <c r="K23" i="26"/>
  <c r="L23" i="26"/>
  <c r="K24" i="26"/>
  <c r="L24" i="26" s="1"/>
  <c r="E25" i="26"/>
  <c r="H25" i="26"/>
  <c r="H29" i="26" s="1"/>
  <c r="L25" i="26"/>
  <c r="K26" i="26"/>
  <c r="L26" i="26" s="1"/>
  <c r="E27" i="26"/>
  <c r="K27" i="26"/>
  <c r="L27" i="26"/>
  <c r="E29" i="26"/>
  <c r="B1" i="49"/>
  <c r="C8" i="49"/>
  <c r="E8" i="49"/>
  <c r="C9" i="49"/>
  <c r="C10" i="49"/>
  <c r="E10" i="49"/>
  <c r="C11" i="49"/>
  <c r="E11" i="49"/>
  <c r="C12" i="49"/>
  <c r="C13" i="49"/>
  <c r="E13" i="49" s="1"/>
  <c r="C14" i="49"/>
  <c r="E14" i="49"/>
  <c r="C15" i="49"/>
  <c r="E15" i="49" s="1"/>
  <c r="C16" i="49"/>
  <c r="E16" i="49"/>
  <c r="K16" i="49"/>
  <c r="C17" i="49"/>
  <c r="E17" i="49" s="1"/>
  <c r="L17" i="49"/>
  <c r="C18" i="49"/>
  <c r="E18" i="49"/>
  <c r="L18" i="49"/>
  <c r="C19" i="49"/>
  <c r="E19" i="49"/>
  <c r="L19" i="49"/>
  <c r="C20" i="49"/>
  <c r="E20" i="49"/>
  <c r="L20" i="49"/>
  <c r="C21" i="49"/>
  <c r="E21" i="49"/>
  <c r="K21" i="49"/>
  <c r="L21" i="49"/>
  <c r="H10" i="49" s="1"/>
  <c r="C22" i="49"/>
  <c r="E22" i="49"/>
  <c r="K22" i="49"/>
  <c r="L22" i="49" s="1"/>
  <c r="L23" i="49"/>
  <c r="L24" i="49"/>
  <c r="E25" i="49"/>
  <c r="L25" i="49"/>
  <c r="L26" i="49"/>
  <c r="E27" i="49"/>
  <c r="H27" i="49"/>
  <c r="L27" i="49"/>
  <c r="K28" i="49"/>
  <c r="K11" i="49" s="1"/>
  <c r="K34" i="49"/>
  <c r="B1" i="50"/>
  <c r="C8" i="50"/>
  <c r="E8" i="50"/>
  <c r="C9" i="50"/>
  <c r="C10" i="50"/>
  <c r="E10" i="50"/>
  <c r="C11" i="50"/>
  <c r="E11" i="50"/>
  <c r="C12" i="50"/>
  <c r="E12" i="50" s="1"/>
  <c r="C13" i="50"/>
  <c r="E13" i="50" s="1"/>
  <c r="C14" i="50"/>
  <c r="E14" i="50"/>
  <c r="C15" i="50"/>
  <c r="E15" i="50" s="1"/>
  <c r="C16" i="50"/>
  <c r="E16" i="50"/>
  <c r="K16" i="50"/>
  <c r="L16" i="50" s="1"/>
  <c r="C17" i="50"/>
  <c r="E17" i="50"/>
  <c r="K17" i="50"/>
  <c r="L17" i="50"/>
  <c r="C18" i="50"/>
  <c r="E18" i="50" s="1"/>
  <c r="L18" i="50"/>
  <c r="C19" i="50"/>
  <c r="E19" i="50"/>
  <c r="L19" i="50"/>
  <c r="C20" i="50"/>
  <c r="E20" i="50"/>
  <c r="L20" i="50"/>
  <c r="C21" i="50"/>
  <c r="E21" i="50" s="1"/>
  <c r="L21" i="50"/>
  <c r="H10" i="50" s="1"/>
  <c r="C22" i="50"/>
  <c r="E22" i="50"/>
  <c r="L22" i="50"/>
  <c r="L23" i="50"/>
  <c r="L24" i="50"/>
  <c r="E25" i="50"/>
  <c r="H25" i="50"/>
  <c r="H29" i="50" s="1"/>
  <c r="L25" i="50"/>
  <c r="L26" i="50"/>
  <c r="E27" i="50"/>
  <c r="H27" i="50"/>
  <c r="L27" i="50"/>
  <c r="L28" i="50"/>
  <c r="E29" i="50"/>
  <c r="B1" i="48"/>
  <c r="C8" i="48"/>
  <c r="E8" i="48"/>
  <c r="C9" i="48"/>
  <c r="C10" i="48"/>
  <c r="E10" i="48"/>
  <c r="C11" i="48"/>
  <c r="E11" i="48"/>
  <c r="J11" i="48"/>
  <c r="C12" i="48"/>
  <c r="E12" i="48" s="1"/>
  <c r="C13" i="48"/>
  <c r="E13" i="48"/>
  <c r="C14" i="48"/>
  <c r="E14" i="48"/>
  <c r="C15" i="48"/>
  <c r="E15" i="48" s="1"/>
  <c r="C16" i="48"/>
  <c r="E16" i="48"/>
  <c r="K16" i="48"/>
  <c r="C17" i="48"/>
  <c r="E17" i="48"/>
  <c r="L17" i="48"/>
  <c r="C18" i="48"/>
  <c r="E18" i="48"/>
  <c r="L18" i="48"/>
  <c r="C19" i="48"/>
  <c r="E19" i="48"/>
  <c r="L19" i="48"/>
  <c r="C20" i="48"/>
  <c r="E20" i="48"/>
  <c r="L20" i="48"/>
  <c r="C21" i="48"/>
  <c r="E21" i="48"/>
  <c r="L21" i="48"/>
  <c r="H10" i="48" s="1"/>
  <c r="C22" i="48"/>
  <c r="E22" i="48" s="1"/>
  <c r="L22" i="48"/>
  <c r="C23" i="48"/>
  <c r="L23" i="48"/>
  <c r="L24" i="48"/>
  <c r="E25" i="48"/>
  <c r="E29" i="48" s="1"/>
  <c r="L25" i="48"/>
  <c r="L26" i="48"/>
  <c r="E27" i="48"/>
  <c r="H27" i="48"/>
  <c r="L27" i="48"/>
  <c r="K28" i="48"/>
  <c r="K11" i="48" s="1"/>
  <c r="K34" i="48" s="1"/>
  <c r="B1" i="47"/>
  <c r="C8" i="47"/>
  <c r="C9" i="47"/>
  <c r="C10" i="47"/>
  <c r="E10" i="47"/>
  <c r="C11" i="47"/>
  <c r="E11" i="47" s="1"/>
  <c r="J11" i="47"/>
  <c r="C12" i="47"/>
  <c r="E12" i="47"/>
  <c r="C13" i="47"/>
  <c r="E13" i="47" s="1"/>
  <c r="C14" i="47"/>
  <c r="E14" i="47" s="1"/>
  <c r="H34" i="47" s="1"/>
  <c r="J34" i="47" s="1"/>
  <c r="C15" i="47"/>
  <c r="E15" i="47"/>
  <c r="C16" i="47"/>
  <c r="E16" i="47" s="1"/>
  <c r="K16" i="47"/>
  <c r="L16" i="47"/>
  <c r="C17" i="47"/>
  <c r="E17" i="47"/>
  <c r="L17" i="47"/>
  <c r="C18" i="47"/>
  <c r="E18" i="47" s="1"/>
  <c r="L18" i="47"/>
  <c r="C19" i="47"/>
  <c r="E19" i="47" s="1"/>
  <c r="K19" i="47"/>
  <c r="L19" i="47"/>
  <c r="C20" i="47"/>
  <c r="E20" i="47"/>
  <c r="K20" i="47"/>
  <c r="L20" i="47"/>
  <c r="C21" i="47"/>
  <c r="E21" i="47" s="1"/>
  <c r="L21" i="47"/>
  <c r="C22" i="47"/>
  <c r="E22" i="47"/>
  <c r="L22" i="47"/>
  <c r="K23" i="47"/>
  <c r="L23" i="47" s="1"/>
  <c r="K24" i="47"/>
  <c r="L24" i="47"/>
  <c r="E25" i="47"/>
  <c r="L25" i="47"/>
  <c r="K26" i="47"/>
  <c r="L26" i="47"/>
  <c r="E27" i="47"/>
  <c r="E29" i="47" s="1"/>
  <c r="H27" i="47"/>
  <c r="K27" i="47"/>
  <c r="L27" i="47" s="1"/>
  <c r="I34" i="47"/>
  <c r="B1" i="21"/>
  <c r="B2" i="21"/>
  <c r="C8" i="21"/>
  <c r="E8" i="21"/>
  <c r="F8" i="21"/>
  <c r="E9" i="21"/>
  <c r="L9" i="21"/>
  <c r="O9" i="21"/>
  <c r="E10" i="21"/>
  <c r="O10" i="21"/>
  <c r="C11" i="21"/>
  <c r="E11" i="21" s="1"/>
  <c r="C12" i="21"/>
  <c r="E12" i="21"/>
  <c r="F12" i="21" s="1"/>
  <c r="O12" i="21" s="1"/>
  <c r="L12" i="21"/>
  <c r="L28" i="21" s="1"/>
  <c r="C13" i="21"/>
  <c r="E13" i="21" s="1"/>
  <c r="F13" i="21"/>
  <c r="O13" i="21" s="1"/>
  <c r="E14" i="21"/>
  <c r="F14" i="21"/>
  <c r="O14" i="21" s="1"/>
  <c r="C15" i="21"/>
  <c r="E15" i="21" s="1"/>
  <c r="F15" i="21"/>
  <c r="O15" i="21"/>
  <c r="C16" i="21"/>
  <c r="E16" i="21"/>
  <c r="F16" i="21" s="1"/>
  <c r="O16" i="21" s="1"/>
  <c r="C17" i="21"/>
  <c r="E17" i="21" s="1"/>
  <c r="F17" i="21"/>
  <c r="O17" i="21"/>
  <c r="C18" i="21"/>
  <c r="E18" i="21"/>
  <c r="F18" i="21" s="1"/>
  <c r="O18" i="21" s="1"/>
  <c r="M18" i="21"/>
  <c r="C19" i="21"/>
  <c r="E19" i="21"/>
  <c r="F19" i="21" s="1"/>
  <c r="O19" i="21" s="1"/>
  <c r="M19" i="21"/>
  <c r="M21" i="21" s="1"/>
  <c r="M9" i="21" s="1"/>
  <c r="C20" i="21"/>
  <c r="E20" i="21"/>
  <c r="M20" i="21"/>
  <c r="C21" i="21"/>
  <c r="E21" i="21" s="1"/>
  <c r="F21" i="21" s="1"/>
  <c r="O21" i="21" s="1"/>
  <c r="L21" i="21"/>
  <c r="C22" i="21"/>
  <c r="E22" i="21"/>
  <c r="F22" i="21"/>
  <c r="O22" i="21"/>
  <c r="O25" i="21"/>
  <c r="O27" i="21"/>
  <c r="J28" i="21"/>
  <c r="E29" i="21"/>
  <c r="F20" i="21" s="1"/>
  <c r="O20" i="21" s="1"/>
  <c r="F29" i="21"/>
  <c r="C31" i="21"/>
  <c r="E31" i="21" s="1"/>
  <c r="C32" i="21"/>
  <c r="E32" i="21"/>
  <c r="C33" i="21"/>
  <c r="E33" i="21"/>
  <c r="C34" i="21"/>
  <c r="E34" i="21" s="1"/>
  <c r="C35" i="21"/>
  <c r="E35" i="21"/>
  <c r="C36" i="21"/>
  <c r="E36" i="21"/>
  <c r="C37" i="21"/>
  <c r="E37" i="21"/>
  <c r="C38" i="21"/>
  <c r="E38" i="21" s="1"/>
  <c r="B1" i="9"/>
  <c r="C8" i="9"/>
  <c r="E9" i="9"/>
  <c r="O9" i="9"/>
  <c r="E10" i="9"/>
  <c r="O10" i="9"/>
  <c r="C11" i="9"/>
  <c r="E11" i="9" s="1"/>
  <c r="C12" i="9"/>
  <c r="E12" i="9"/>
  <c r="C13" i="9"/>
  <c r="E13" i="9" s="1"/>
  <c r="E14" i="9"/>
  <c r="C15" i="9"/>
  <c r="E15" i="9"/>
  <c r="C16" i="9"/>
  <c r="E16" i="9" s="1"/>
  <c r="G16" i="9" s="1"/>
  <c r="O16" i="9" s="1"/>
  <c r="L16" i="9"/>
  <c r="C17" i="9"/>
  <c r="E17" i="9"/>
  <c r="L17" i="9"/>
  <c r="C18" i="9"/>
  <c r="E18" i="9"/>
  <c r="L18" i="9"/>
  <c r="L28" i="9" s="1"/>
  <c r="C19" i="9"/>
  <c r="E19" i="9"/>
  <c r="L19" i="9"/>
  <c r="C20" i="9"/>
  <c r="E20" i="9"/>
  <c r="L20" i="9"/>
  <c r="C21" i="9"/>
  <c r="E21" i="9"/>
  <c r="L21" i="9"/>
  <c r="C22" i="9"/>
  <c r="E22" i="9" s="1"/>
  <c r="G22" i="9" s="1"/>
  <c r="O22" i="9" s="1"/>
  <c r="L22" i="9"/>
  <c r="J23" i="9"/>
  <c r="L23" i="9" s="1"/>
  <c r="J24" i="9"/>
  <c r="L24" i="9"/>
  <c r="G25" i="9"/>
  <c r="J25" i="9"/>
  <c r="L25" i="9"/>
  <c r="O25" i="9"/>
  <c r="J26" i="9"/>
  <c r="L26" i="9"/>
  <c r="J27" i="9"/>
  <c r="L27" i="9"/>
  <c r="O27" i="9"/>
  <c r="K28" i="9"/>
  <c r="K11" i="9" s="1"/>
  <c r="E29" i="9"/>
  <c r="G29" i="9"/>
  <c r="C31" i="9"/>
  <c r="E31" i="9" s="1"/>
  <c r="C32" i="9"/>
  <c r="E32" i="9"/>
  <c r="C33" i="9"/>
  <c r="E33" i="9"/>
  <c r="C34" i="9"/>
  <c r="E34" i="9"/>
  <c r="C35" i="9"/>
  <c r="E35" i="9"/>
  <c r="C36" i="9"/>
  <c r="E36" i="9" s="1"/>
  <c r="C37" i="9"/>
  <c r="E37" i="9"/>
  <c r="C38" i="9"/>
  <c r="E38" i="9" s="1"/>
  <c r="B1" i="31"/>
  <c r="B2" i="31"/>
  <c r="C8" i="31"/>
  <c r="E8" i="31"/>
  <c r="E9" i="31"/>
  <c r="F9" i="31"/>
  <c r="E10" i="31"/>
  <c r="F10" i="31"/>
  <c r="C11" i="31"/>
  <c r="E11" i="31" s="1"/>
  <c r="C12" i="31"/>
  <c r="E12" i="31"/>
  <c r="G40" i="31" s="1"/>
  <c r="J40" i="31" s="1"/>
  <c r="C13" i="31"/>
  <c r="E13" i="31" s="1"/>
  <c r="C14" i="31"/>
  <c r="E14" i="31"/>
  <c r="C15" i="31"/>
  <c r="C23" i="31" s="1"/>
  <c r="E15" i="31"/>
  <c r="C16" i="31"/>
  <c r="E16" i="31"/>
  <c r="C17" i="31"/>
  <c r="E17" i="31"/>
  <c r="J17" i="31"/>
  <c r="C18" i="31"/>
  <c r="E18" i="31"/>
  <c r="L18" i="31"/>
  <c r="C19" i="31"/>
  <c r="E19" i="31"/>
  <c r="L19" i="31"/>
  <c r="C20" i="31"/>
  <c r="E20" i="31"/>
  <c r="L20" i="31"/>
  <c r="C21" i="31"/>
  <c r="E21" i="31" s="1"/>
  <c r="L21" i="31"/>
  <c r="C22" i="31"/>
  <c r="E22" i="31" s="1"/>
  <c r="L22" i="31"/>
  <c r="L23" i="31"/>
  <c r="L24" i="31"/>
  <c r="L25" i="31"/>
  <c r="O25" i="31"/>
  <c r="L26" i="31"/>
  <c r="L27" i="31"/>
  <c r="O27" i="31"/>
  <c r="K28" i="31"/>
  <c r="L28" i="31"/>
  <c r="E29" i="31"/>
  <c r="I40" i="31" s="1"/>
  <c r="C31" i="31"/>
  <c r="E31" i="31"/>
  <c r="C32" i="31"/>
  <c r="E32" i="31"/>
  <c r="C33" i="31"/>
  <c r="E33" i="31" s="1"/>
  <c r="C34" i="31"/>
  <c r="E34" i="31" s="1"/>
  <c r="C35" i="31"/>
  <c r="E35" i="31" s="1"/>
  <c r="C36" i="31"/>
  <c r="E36" i="31"/>
  <c r="C37" i="31"/>
  <c r="E37" i="31"/>
  <c r="C38" i="31"/>
  <c r="E38" i="31" s="1"/>
  <c r="B1" i="15"/>
  <c r="C8" i="15"/>
  <c r="E8" i="15"/>
  <c r="E9" i="15"/>
  <c r="G9" i="15" s="1"/>
  <c r="O9" i="15" s="1"/>
  <c r="L9" i="15"/>
  <c r="E10" i="15"/>
  <c r="G10" i="15" s="1"/>
  <c r="O10" i="15" s="1"/>
  <c r="C11" i="15"/>
  <c r="E11" i="15" s="1"/>
  <c r="C12" i="15"/>
  <c r="E12" i="15" s="1"/>
  <c r="K12" i="15"/>
  <c r="M12" i="15"/>
  <c r="G12" i="15" s="1"/>
  <c r="O12" i="15" s="1"/>
  <c r="C13" i="15"/>
  <c r="E13" i="15"/>
  <c r="G13" i="15"/>
  <c r="O13" i="15"/>
  <c r="C14" i="15"/>
  <c r="E14" i="15"/>
  <c r="G14" i="15"/>
  <c r="O14" i="15"/>
  <c r="C15" i="15"/>
  <c r="E15" i="15"/>
  <c r="G15" i="15"/>
  <c r="O15" i="15" s="1"/>
  <c r="C16" i="15"/>
  <c r="E16" i="15"/>
  <c r="C17" i="15"/>
  <c r="E17" i="15"/>
  <c r="M17" i="15"/>
  <c r="O17" i="15"/>
  <c r="C18" i="15"/>
  <c r="E18" i="15"/>
  <c r="M18" i="15"/>
  <c r="C19" i="15"/>
  <c r="E19" i="15" s="1"/>
  <c r="G19" i="15"/>
  <c r="O19" i="15" s="1"/>
  <c r="M19" i="15"/>
  <c r="C20" i="15"/>
  <c r="E20" i="15"/>
  <c r="M20" i="15"/>
  <c r="O20" i="15"/>
  <c r="C21" i="15"/>
  <c r="E21" i="15" s="1"/>
  <c r="G21" i="15"/>
  <c r="O21" i="15" s="1"/>
  <c r="M21" i="15"/>
  <c r="C22" i="15"/>
  <c r="E22" i="15" s="1"/>
  <c r="M22" i="15"/>
  <c r="M29" i="15" s="1"/>
  <c r="M35" i="15" s="1"/>
  <c r="M9" i="15" s="1"/>
  <c r="M14" i="15" s="1"/>
  <c r="O22" i="15"/>
  <c r="C23" i="15"/>
  <c r="M23" i="15"/>
  <c r="M24" i="15"/>
  <c r="M25" i="15"/>
  <c r="O25" i="15"/>
  <c r="M26" i="15"/>
  <c r="M27" i="15"/>
  <c r="O27" i="15"/>
  <c r="M28" i="15"/>
  <c r="E29" i="15"/>
  <c r="G29" i="15"/>
  <c r="O16" i="15" s="1"/>
  <c r="L29" i="15"/>
  <c r="C31" i="15"/>
  <c r="E31" i="15" s="1"/>
  <c r="C32" i="15"/>
  <c r="E32" i="15"/>
  <c r="C33" i="15"/>
  <c r="E33" i="15" s="1"/>
  <c r="M33" i="15"/>
  <c r="C34" i="15"/>
  <c r="C35" i="15"/>
  <c r="L35" i="15"/>
  <c r="C36" i="15"/>
  <c r="C37" i="15"/>
  <c r="C38" i="15"/>
  <c r="C40" i="15"/>
  <c r="B1" i="40"/>
  <c r="C8" i="40"/>
  <c r="E8" i="40"/>
  <c r="C9" i="40"/>
  <c r="E9" i="40"/>
  <c r="G9" i="40"/>
  <c r="C10" i="40"/>
  <c r="E10" i="40" s="1"/>
  <c r="C11" i="40"/>
  <c r="E11" i="40" s="1"/>
  <c r="C12" i="40"/>
  <c r="E12" i="40" s="1"/>
  <c r="C13" i="40"/>
  <c r="E13" i="40" s="1"/>
  <c r="C14" i="40"/>
  <c r="E14" i="40" s="1"/>
  <c r="C15" i="40"/>
  <c r="E15" i="40" s="1"/>
  <c r="C16" i="40"/>
  <c r="E16" i="40"/>
  <c r="N16" i="40"/>
  <c r="C17" i="40"/>
  <c r="E17" i="40" s="1"/>
  <c r="N17" i="40"/>
  <c r="C18" i="40"/>
  <c r="E18" i="40"/>
  <c r="N18" i="40"/>
  <c r="C19" i="40"/>
  <c r="E19" i="40" s="1"/>
  <c r="N19" i="40"/>
  <c r="C20" i="40"/>
  <c r="E20" i="40"/>
  <c r="M20" i="40"/>
  <c r="N20" i="40"/>
  <c r="C21" i="40"/>
  <c r="E21" i="40"/>
  <c r="N21" i="40"/>
  <c r="C22" i="40"/>
  <c r="E22" i="40"/>
  <c r="N22" i="40"/>
  <c r="N23" i="40"/>
  <c r="M24" i="40"/>
  <c r="N24" i="40" s="1"/>
  <c r="E25" i="40"/>
  <c r="E29" i="40" s="1"/>
  <c r="N25" i="40"/>
  <c r="N26" i="40"/>
  <c r="E27" i="40"/>
  <c r="N27" i="40"/>
  <c r="O27" i="40"/>
  <c r="O29" i="40" s="1"/>
  <c r="M28" i="40"/>
  <c r="M11" i="40" s="1"/>
  <c r="K34" i="40"/>
  <c r="H8" i="44"/>
  <c r="J8" i="44"/>
  <c r="L8" i="44"/>
  <c r="N8" i="44"/>
  <c r="N24" i="44" s="1"/>
  <c r="N83" i="44" s="1"/>
  <c r="R8" i="44"/>
  <c r="L10" i="44"/>
  <c r="L24" i="44" s="1"/>
  <c r="N10" i="44"/>
  <c r="R10" i="44"/>
  <c r="L12" i="44"/>
  <c r="N12" i="44"/>
  <c r="R12" i="44"/>
  <c r="R14" i="44"/>
  <c r="R16" i="44"/>
  <c r="N18" i="44"/>
  <c r="R22" i="44"/>
  <c r="G24" i="44"/>
  <c r="H24" i="44"/>
  <c r="J24" i="44"/>
  <c r="P24" i="44"/>
  <c r="R24" i="44"/>
  <c r="T24" i="44"/>
  <c r="R26" i="44"/>
  <c r="N28" i="44"/>
  <c r="P28" i="44"/>
  <c r="R28" i="44" s="1"/>
  <c r="T28" i="44"/>
  <c r="R30" i="44"/>
  <c r="R32" i="44"/>
  <c r="R34" i="44"/>
  <c r="R36" i="44"/>
  <c r="P41" i="44"/>
  <c r="R41" i="44"/>
  <c r="T41" i="44"/>
  <c r="T49" i="44" s="1"/>
  <c r="P44" i="44"/>
  <c r="R44" i="44"/>
  <c r="P45" i="44"/>
  <c r="R45" i="44"/>
  <c r="P48" i="44"/>
  <c r="R48" i="44"/>
  <c r="H49" i="44"/>
  <c r="H80" i="44" s="1"/>
  <c r="H83" i="44" s="1"/>
  <c r="L49" i="44"/>
  <c r="L80" i="44" s="1"/>
  <c r="V49" i="44"/>
  <c r="R51" i="44"/>
  <c r="R53" i="44"/>
  <c r="R54" i="44"/>
  <c r="R55" i="44"/>
  <c r="R56" i="44"/>
  <c r="R59" i="44"/>
  <c r="R61" i="44"/>
  <c r="H64" i="44"/>
  <c r="R64" i="44"/>
  <c r="R65" i="44"/>
  <c r="R66" i="44"/>
  <c r="R67" i="44"/>
  <c r="H69" i="44"/>
  <c r="N73" i="44"/>
  <c r="P73" i="44"/>
  <c r="R73" i="44"/>
  <c r="T73" i="44"/>
  <c r="P76" i="44"/>
  <c r="P80" i="44" s="1"/>
  <c r="P83" i="44" s="1"/>
  <c r="R76" i="44"/>
  <c r="J80" i="44"/>
  <c r="N80" i="44"/>
  <c r="T80" i="44"/>
  <c r="G83" i="44"/>
  <c r="J83" i="44"/>
  <c r="H9" i="46"/>
  <c r="H33" i="46" s="1"/>
  <c r="J9" i="46"/>
  <c r="L9" i="46"/>
  <c r="N9" i="46"/>
  <c r="R9" i="46"/>
  <c r="R11" i="46"/>
  <c r="L13" i="46"/>
  <c r="N13" i="46"/>
  <c r="R13" i="46"/>
  <c r="R15" i="46"/>
  <c r="L17" i="46"/>
  <c r="N17" i="46"/>
  <c r="R17" i="46"/>
  <c r="R19" i="46"/>
  <c r="R21" i="46"/>
  <c r="R23" i="46"/>
  <c r="R25" i="46"/>
  <c r="N26" i="46"/>
  <c r="R31" i="46"/>
  <c r="G33" i="46"/>
  <c r="J33" i="46"/>
  <c r="J96" i="46" s="1"/>
  <c r="N33" i="46"/>
  <c r="P33" i="46"/>
  <c r="T33" i="46"/>
  <c r="P35" i="46"/>
  <c r="R35" i="46"/>
  <c r="T35" i="46"/>
  <c r="P37" i="46"/>
  <c r="R37" i="46"/>
  <c r="T37" i="46"/>
  <c r="R39" i="46"/>
  <c r="N41" i="46"/>
  <c r="N93" i="46" s="1"/>
  <c r="P41" i="46"/>
  <c r="R41" i="46"/>
  <c r="T41" i="46"/>
  <c r="R43" i="46"/>
  <c r="R45" i="46"/>
  <c r="R47" i="46"/>
  <c r="R49" i="46"/>
  <c r="T54" i="46"/>
  <c r="H62" i="46"/>
  <c r="L62" i="46"/>
  <c r="V62" i="46"/>
  <c r="R64" i="46"/>
  <c r="R66" i="46"/>
  <c r="R67" i="46"/>
  <c r="R68" i="46"/>
  <c r="R69" i="46"/>
  <c r="R72" i="46"/>
  <c r="R74" i="46"/>
  <c r="H77" i="46"/>
  <c r="R77" i="46"/>
  <c r="R78" i="46"/>
  <c r="R79" i="46"/>
  <c r="R80" i="46"/>
  <c r="H82" i="46"/>
  <c r="N86" i="46"/>
  <c r="P86" i="46"/>
  <c r="T86" i="46"/>
  <c r="P89" i="46"/>
  <c r="R89" i="46" s="1"/>
  <c r="H93" i="46"/>
  <c r="H96" i="46" s="1"/>
  <c r="J93" i="46"/>
  <c r="L93" i="46"/>
  <c r="G96" i="46"/>
  <c r="N96" i="46"/>
  <c r="B1" i="6"/>
  <c r="B2" i="6"/>
  <c r="C8" i="6"/>
  <c r="C23" i="6" s="1"/>
  <c r="C41" i="6" s="1"/>
  <c r="E9" i="6"/>
  <c r="E10" i="6"/>
  <c r="Q10" i="6"/>
  <c r="C11" i="6"/>
  <c r="E11" i="6"/>
  <c r="C12" i="6"/>
  <c r="E12" i="6"/>
  <c r="F12" i="6"/>
  <c r="C13" i="6"/>
  <c r="E13" i="6"/>
  <c r="C14" i="6"/>
  <c r="E14" i="6" s="1"/>
  <c r="F14" i="6" s="1"/>
  <c r="C15" i="6"/>
  <c r="E15" i="6" s="1"/>
  <c r="F15" i="6"/>
  <c r="C16" i="6"/>
  <c r="E16" i="6"/>
  <c r="F16" i="6" s="1"/>
  <c r="Q16" i="6" s="1"/>
  <c r="L16" i="6"/>
  <c r="C17" i="6"/>
  <c r="E17" i="6"/>
  <c r="F17" i="6"/>
  <c r="L17" i="6"/>
  <c r="C18" i="6"/>
  <c r="E18" i="6"/>
  <c r="F18" i="6"/>
  <c r="Q18" i="6" s="1"/>
  <c r="L18" i="6"/>
  <c r="C19" i="6"/>
  <c r="E19" i="6" s="1"/>
  <c r="F19" i="6" s="1"/>
  <c r="Q19" i="6" s="1"/>
  <c r="L19" i="6"/>
  <c r="C20" i="6"/>
  <c r="E20" i="6" s="1"/>
  <c r="F20" i="6"/>
  <c r="L20" i="6"/>
  <c r="C21" i="6"/>
  <c r="E21" i="6" s="1"/>
  <c r="F21" i="6" s="1"/>
  <c r="Q21" i="6" s="1"/>
  <c r="L21" i="6"/>
  <c r="C22" i="6"/>
  <c r="E22" i="6"/>
  <c r="F22" i="6"/>
  <c r="L22" i="6"/>
  <c r="K23" i="6"/>
  <c r="L23" i="6" s="1"/>
  <c r="F8" i="6" s="1"/>
  <c r="K24" i="6"/>
  <c r="L24" i="6" s="1"/>
  <c r="L25" i="6"/>
  <c r="L26" i="6"/>
  <c r="E29" i="6"/>
  <c r="J40" i="6" s="1"/>
  <c r="F29" i="6"/>
  <c r="Q29" i="6"/>
  <c r="Q15" i="6" s="1"/>
  <c r="C31" i="6"/>
  <c r="E31" i="6" s="1"/>
  <c r="C32" i="6"/>
  <c r="E32" i="6" s="1"/>
  <c r="C33" i="6"/>
  <c r="E33" i="6" s="1"/>
  <c r="C34" i="6"/>
  <c r="E34" i="6"/>
  <c r="C35" i="6"/>
  <c r="E35" i="6"/>
  <c r="C36" i="6"/>
  <c r="E36" i="6" s="1"/>
  <c r="C37" i="6"/>
  <c r="E37" i="6"/>
  <c r="C38" i="6"/>
  <c r="E38" i="6"/>
  <c r="L40" i="6"/>
  <c r="B1" i="30"/>
  <c r="C8" i="30"/>
  <c r="E8" i="30"/>
  <c r="C9" i="30"/>
  <c r="C10" i="30"/>
  <c r="E10" i="30"/>
  <c r="C11" i="30"/>
  <c r="E11" i="30" s="1"/>
  <c r="C12" i="30"/>
  <c r="E12" i="30"/>
  <c r="C13" i="30"/>
  <c r="E13" i="30"/>
  <c r="C14" i="30"/>
  <c r="E14" i="30" s="1"/>
  <c r="C15" i="30"/>
  <c r="E15" i="30" s="1"/>
  <c r="C16" i="30"/>
  <c r="E16" i="30" s="1"/>
  <c r="K16" i="30"/>
  <c r="L16" i="30"/>
  <c r="C17" i="30"/>
  <c r="E17" i="30"/>
  <c r="K17" i="30"/>
  <c r="L17" i="30" s="1"/>
  <c r="C18" i="30"/>
  <c r="E18" i="30" s="1"/>
  <c r="K18" i="30"/>
  <c r="L18" i="30"/>
  <c r="C19" i="30"/>
  <c r="E19" i="30"/>
  <c r="K19" i="30"/>
  <c r="L19" i="30"/>
  <c r="C20" i="30"/>
  <c r="E20" i="30"/>
  <c r="L20" i="30"/>
  <c r="C21" i="30"/>
  <c r="E21" i="30"/>
  <c r="K21" i="30"/>
  <c r="C22" i="30"/>
  <c r="E22" i="30"/>
  <c r="K22" i="30"/>
  <c r="L22" i="30"/>
  <c r="L23" i="30"/>
  <c r="K24" i="30"/>
  <c r="L24" i="30" s="1"/>
  <c r="E25" i="30"/>
  <c r="E29" i="30" s="1"/>
  <c r="H18" i="30" s="1"/>
  <c r="K25" i="30"/>
  <c r="L25" i="30" s="1"/>
  <c r="Q25" i="30"/>
  <c r="L26" i="30"/>
  <c r="E27" i="30"/>
  <c r="K27" i="30"/>
  <c r="L27" i="30"/>
  <c r="Q27" i="30"/>
  <c r="K28" i="30"/>
  <c r="K11" i="30" s="1"/>
  <c r="H12" i="30" s="1"/>
  <c r="B1" i="36"/>
  <c r="C8" i="36"/>
  <c r="E8" i="36"/>
  <c r="C9" i="36"/>
  <c r="E9" i="36" s="1"/>
  <c r="C10" i="36"/>
  <c r="E10" i="36"/>
  <c r="C11" i="36"/>
  <c r="E11" i="36"/>
  <c r="C12" i="36"/>
  <c r="E12" i="36"/>
  <c r="C13" i="36"/>
  <c r="E13" i="36" s="1"/>
  <c r="C14" i="36"/>
  <c r="E14" i="36"/>
  <c r="C15" i="36"/>
  <c r="E15" i="36"/>
  <c r="C16" i="36"/>
  <c r="E16" i="36"/>
  <c r="N16" i="36"/>
  <c r="C17" i="36"/>
  <c r="E17" i="36"/>
  <c r="N17" i="36"/>
  <c r="C18" i="36"/>
  <c r="E18" i="36"/>
  <c r="N18" i="36"/>
  <c r="C19" i="36"/>
  <c r="E19" i="36" s="1"/>
  <c r="N19" i="36"/>
  <c r="C20" i="36"/>
  <c r="E20" i="36"/>
  <c r="N20" i="36"/>
  <c r="C21" i="36"/>
  <c r="E21" i="36"/>
  <c r="N21" i="36"/>
  <c r="G10" i="36" s="1"/>
  <c r="C22" i="36"/>
  <c r="E22" i="36"/>
  <c r="N22" i="36"/>
  <c r="N23" i="36"/>
  <c r="N24" i="36"/>
  <c r="E25" i="36"/>
  <c r="G25" i="36"/>
  <c r="G29" i="36" s="1"/>
  <c r="N25" i="36"/>
  <c r="N26" i="36"/>
  <c r="E27" i="36"/>
  <c r="G27" i="36"/>
  <c r="H27" i="41" s="1"/>
  <c r="N27" i="36"/>
  <c r="O27" i="36"/>
  <c r="O29" i="36" s="1"/>
  <c r="M28" i="36"/>
  <c r="M11" i="36" s="1"/>
  <c r="B1" i="37"/>
  <c r="C8" i="37"/>
  <c r="E8" i="37"/>
  <c r="C9" i="37"/>
  <c r="E9" i="37"/>
  <c r="C10" i="37"/>
  <c r="E10" i="37"/>
  <c r="C11" i="37"/>
  <c r="E11" i="37"/>
  <c r="C12" i="37"/>
  <c r="E12" i="37"/>
  <c r="C13" i="37"/>
  <c r="E13" i="37"/>
  <c r="C14" i="37"/>
  <c r="E14" i="37"/>
  <c r="C15" i="37"/>
  <c r="E15" i="37"/>
  <c r="C16" i="37"/>
  <c r="E16" i="37"/>
  <c r="N16" i="37"/>
  <c r="C17" i="37"/>
  <c r="E17" i="37" s="1"/>
  <c r="N17" i="37"/>
  <c r="C18" i="37"/>
  <c r="E18" i="37" s="1"/>
  <c r="N18" i="37"/>
  <c r="C19" i="37"/>
  <c r="E19" i="37"/>
  <c r="N19" i="37"/>
  <c r="C20" i="37"/>
  <c r="E20" i="37" s="1"/>
  <c r="M20" i="37"/>
  <c r="C21" i="37"/>
  <c r="E21" i="37"/>
  <c r="N21" i="37"/>
  <c r="C22" i="37"/>
  <c r="E22" i="37"/>
  <c r="N22" i="37"/>
  <c r="G10" i="37" s="1"/>
  <c r="N23" i="37"/>
  <c r="M24" i="37"/>
  <c r="N24" i="37" s="1"/>
  <c r="E25" i="37"/>
  <c r="N25" i="37"/>
  <c r="N26" i="37"/>
  <c r="E27" i="37"/>
  <c r="E29" i="37" s="1"/>
  <c r="G27" i="37"/>
  <c r="G27" i="40" s="1"/>
  <c r="N27" i="37"/>
  <c r="O27" i="37"/>
  <c r="O29" i="37"/>
  <c r="B1" i="25"/>
  <c r="C8" i="25"/>
  <c r="E8" i="25" s="1"/>
  <c r="C9" i="25"/>
  <c r="E9" i="25" s="1"/>
  <c r="C10" i="25"/>
  <c r="E10" i="25"/>
  <c r="C11" i="25"/>
  <c r="E11" i="25"/>
  <c r="C12" i="25"/>
  <c r="E12" i="25"/>
  <c r="G12" i="25" s="1"/>
  <c r="C13" i="25"/>
  <c r="E13" i="25"/>
  <c r="C14" i="25"/>
  <c r="E14" i="25"/>
  <c r="C15" i="25"/>
  <c r="E15" i="25"/>
  <c r="G15" i="25" s="1"/>
  <c r="C16" i="25"/>
  <c r="E16" i="25"/>
  <c r="M16" i="25"/>
  <c r="N16" i="25"/>
  <c r="C17" i="25"/>
  <c r="E17" i="25" s="1"/>
  <c r="M17" i="25"/>
  <c r="N17" i="25"/>
  <c r="C18" i="25"/>
  <c r="E18" i="25"/>
  <c r="L11" i="25" s="1"/>
  <c r="N11" i="25" s="1"/>
  <c r="N18" i="25"/>
  <c r="C19" i="25"/>
  <c r="E19" i="25" s="1"/>
  <c r="G19" i="25" s="1"/>
  <c r="M19" i="25"/>
  <c r="N19" i="25"/>
  <c r="C20" i="25"/>
  <c r="E20" i="25"/>
  <c r="G20" i="25" s="1"/>
  <c r="M20" i="25"/>
  <c r="N20" i="25" s="1"/>
  <c r="C21" i="25"/>
  <c r="E21" i="25" s="1"/>
  <c r="M21" i="25"/>
  <c r="N21" i="25"/>
  <c r="C22" i="25"/>
  <c r="E22" i="25"/>
  <c r="M22" i="25"/>
  <c r="N22" i="25"/>
  <c r="M23" i="25"/>
  <c r="N23" i="25" s="1"/>
  <c r="M24" i="25"/>
  <c r="N24" i="25" s="1"/>
  <c r="E25" i="25"/>
  <c r="G25" i="25"/>
  <c r="N25" i="25"/>
  <c r="O25" i="25"/>
  <c r="M26" i="25"/>
  <c r="N26" i="25" s="1"/>
  <c r="E27" i="25"/>
  <c r="M27" i="25"/>
  <c r="N27" i="25"/>
  <c r="O27" i="25"/>
  <c r="M28" i="25"/>
  <c r="M11" i="25" s="1"/>
  <c r="M34" i="25" s="1"/>
  <c r="E29" i="25"/>
  <c r="K34" i="25" s="1"/>
  <c r="B1" i="59"/>
  <c r="C8" i="59"/>
  <c r="C23" i="59" s="1"/>
  <c r="E8" i="59"/>
  <c r="C9" i="59"/>
  <c r="E9" i="59" s="1"/>
  <c r="C10" i="59"/>
  <c r="E10" i="59"/>
  <c r="C11" i="59"/>
  <c r="E11" i="59" s="1"/>
  <c r="C12" i="59"/>
  <c r="E12" i="59"/>
  <c r="C13" i="59"/>
  <c r="E13" i="59" s="1"/>
  <c r="C14" i="59"/>
  <c r="E14" i="59"/>
  <c r="C15" i="59"/>
  <c r="E15" i="59" s="1"/>
  <c r="C16" i="59"/>
  <c r="E16" i="59" s="1"/>
  <c r="N16" i="59"/>
  <c r="C17" i="59"/>
  <c r="E17" i="59"/>
  <c r="N17" i="59"/>
  <c r="C18" i="59"/>
  <c r="E18" i="59" s="1"/>
  <c r="N18" i="59"/>
  <c r="C19" i="59"/>
  <c r="E19" i="59" s="1"/>
  <c r="N19" i="59"/>
  <c r="C20" i="59"/>
  <c r="E20" i="59" s="1"/>
  <c r="N20" i="59"/>
  <c r="C21" i="59"/>
  <c r="E21" i="59"/>
  <c r="M21" i="59"/>
  <c r="G27" i="59" s="1"/>
  <c r="C22" i="59"/>
  <c r="E22" i="59" s="1"/>
  <c r="M22" i="59"/>
  <c r="N22" i="59"/>
  <c r="N23" i="59"/>
  <c r="N24" i="59"/>
  <c r="E25" i="59"/>
  <c r="G25" i="59"/>
  <c r="N25" i="59"/>
  <c r="O25" i="59"/>
  <c r="N26" i="59"/>
  <c r="E27" i="59"/>
  <c r="N27" i="59"/>
  <c r="O27" i="59"/>
  <c r="G29" i="59"/>
  <c r="O9" i="59" s="1"/>
  <c r="B1" i="60"/>
  <c r="C8" i="60"/>
  <c r="E8" i="60"/>
  <c r="C9" i="60"/>
  <c r="E9" i="60" s="1"/>
  <c r="C10" i="60"/>
  <c r="E10" i="60" s="1"/>
  <c r="G10" i="60"/>
  <c r="C11" i="60"/>
  <c r="E11" i="60" s="1"/>
  <c r="C12" i="60"/>
  <c r="E12" i="60" s="1"/>
  <c r="C13" i="60"/>
  <c r="E13" i="60" s="1"/>
  <c r="C14" i="60"/>
  <c r="E14" i="60" s="1"/>
  <c r="C15" i="60"/>
  <c r="E15" i="60" s="1"/>
  <c r="C16" i="60"/>
  <c r="E16" i="60"/>
  <c r="N16" i="60"/>
  <c r="C17" i="60"/>
  <c r="E17" i="60" s="1"/>
  <c r="M17" i="60"/>
  <c r="N17" i="60" s="1"/>
  <c r="C18" i="60"/>
  <c r="E18" i="60" s="1"/>
  <c r="N18" i="60"/>
  <c r="C19" i="60"/>
  <c r="E19" i="60" s="1"/>
  <c r="N19" i="60"/>
  <c r="C20" i="60"/>
  <c r="E20" i="60"/>
  <c r="N20" i="60"/>
  <c r="C21" i="60"/>
  <c r="E21" i="60"/>
  <c r="N21" i="60"/>
  <c r="C22" i="60"/>
  <c r="E22" i="60"/>
  <c r="N22" i="60"/>
  <c r="N23" i="60"/>
  <c r="N24" i="60"/>
  <c r="E25" i="60"/>
  <c r="N25" i="60"/>
  <c r="O25" i="60"/>
  <c r="N26" i="60"/>
  <c r="E27" i="60"/>
  <c r="G27" i="60"/>
  <c r="N27" i="60"/>
  <c r="O27" i="60"/>
  <c r="E29" i="60"/>
  <c r="B1" i="58"/>
  <c r="C8" i="58"/>
  <c r="E8" i="58" s="1"/>
  <c r="C9" i="58"/>
  <c r="E9" i="58" s="1"/>
  <c r="C10" i="58"/>
  <c r="E10" i="58"/>
  <c r="C11" i="58"/>
  <c r="E11" i="58"/>
  <c r="C12" i="58"/>
  <c r="E12" i="58"/>
  <c r="C13" i="58"/>
  <c r="E13" i="58" s="1"/>
  <c r="C14" i="58"/>
  <c r="E14" i="58"/>
  <c r="C15" i="58"/>
  <c r="E15" i="58"/>
  <c r="C16" i="58"/>
  <c r="E16" i="58" s="1"/>
  <c r="M16" i="58"/>
  <c r="N16" i="58" s="1"/>
  <c r="C17" i="58"/>
  <c r="E17" i="58"/>
  <c r="N17" i="58"/>
  <c r="C18" i="58"/>
  <c r="E18" i="58" s="1"/>
  <c r="N18" i="58"/>
  <c r="C19" i="58"/>
  <c r="E19" i="58"/>
  <c r="N19" i="58"/>
  <c r="C20" i="58"/>
  <c r="E20" i="58"/>
  <c r="N20" i="58"/>
  <c r="C21" i="58"/>
  <c r="E21" i="58"/>
  <c r="N21" i="58"/>
  <c r="C22" i="58"/>
  <c r="E22" i="58" s="1"/>
  <c r="N22" i="58"/>
  <c r="G10" i="58" s="1"/>
  <c r="N23" i="58"/>
  <c r="N24" i="58"/>
  <c r="E25" i="58"/>
  <c r="N25" i="58"/>
  <c r="O25" i="58"/>
  <c r="N26" i="58"/>
  <c r="E27" i="58"/>
  <c r="G27" i="58"/>
  <c r="N27" i="58"/>
  <c r="O27" i="58"/>
  <c r="E29" i="58"/>
  <c r="B1" i="57"/>
  <c r="C8" i="57"/>
  <c r="E8" i="57" s="1"/>
  <c r="C9" i="57"/>
  <c r="E9" i="57"/>
  <c r="C10" i="57"/>
  <c r="E10" i="57" s="1"/>
  <c r="C11" i="57"/>
  <c r="E11" i="57"/>
  <c r="M11" i="57"/>
  <c r="M34" i="57" s="1"/>
  <c r="C12" i="57"/>
  <c r="E12" i="57"/>
  <c r="C13" i="57"/>
  <c r="E13" i="57"/>
  <c r="L11" i="57" s="1"/>
  <c r="N11" i="57" s="1"/>
  <c r="C14" i="57"/>
  <c r="E14" i="57"/>
  <c r="G14" i="57" s="1"/>
  <c r="C15" i="57"/>
  <c r="E15" i="57"/>
  <c r="C16" i="57"/>
  <c r="E16" i="57"/>
  <c r="N16" i="57"/>
  <c r="C17" i="57"/>
  <c r="E17" i="57"/>
  <c r="G17" i="57"/>
  <c r="N17" i="57"/>
  <c r="C18" i="57"/>
  <c r="E18" i="57" s="1"/>
  <c r="N18" i="57"/>
  <c r="C19" i="57"/>
  <c r="E19" i="57"/>
  <c r="M19" i="57"/>
  <c r="N19" i="57"/>
  <c r="C20" i="57"/>
  <c r="E20" i="57" s="1"/>
  <c r="G20" i="57"/>
  <c r="M20" i="57"/>
  <c r="N20" i="57"/>
  <c r="C21" i="57"/>
  <c r="E21" i="57"/>
  <c r="N21" i="57"/>
  <c r="G10" i="57" s="1"/>
  <c r="C22" i="57"/>
  <c r="E22" i="57"/>
  <c r="N22" i="57"/>
  <c r="N23" i="57"/>
  <c r="N24" i="57"/>
  <c r="E25" i="57"/>
  <c r="G25" i="57"/>
  <c r="N25" i="57"/>
  <c r="O25" i="57"/>
  <c r="N26" i="57"/>
  <c r="E27" i="57"/>
  <c r="G27" i="57"/>
  <c r="N27" i="57"/>
  <c r="O27" i="57"/>
  <c r="M28" i="57"/>
  <c r="E29" i="57"/>
  <c r="K34" i="57" s="1"/>
  <c r="G29" i="57"/>
  <c r="O9" i="57" s="1"/>
  <c r="G20" i="37" l="1"/>
  <c r="E23" i="25"/>
  <c r="G14" i="37"/>
  <c r="E23" i="37"/>
  <c r="L11" i="36"/>
  <c r="N11" i="36" s="1"/>
  <c r="G13" i="36"/>
  <c r="G13" i="58"/>
  <c r="E23" i="58"/>
  <c r="E23" i="59"/>
  <c r="G10" i="40"/>
  <c r="G8" i="9"/>
  <c r="L8" i="9"/>
  <c r="L13" i="9" s="1"/>
  <c r="P13" i="9" s="1"/>
  <c r="L32" i="9"/>
  <c r="G11" i="9" s="1"/>
  <c r="O11" i="9" s="1"/>
  <c r="O14" i="57"/>
  <c r="L11" i="58"/>
  <c r="N11" i="58" s="1"/>
  <c r="G13" i="60"/>
  <c r="O10" i="36"/>
  <c r="Q12" i="30"/>
  <c r="E23" i="15"/>
  <c r="G16" i="41"/>
  <c r="G20" i="41"/>
  <c r="G23" i="41"/>
  <c r="G10" i="41"/>
  <c r="G11" i="41"/>
  <c r="G9" i="41"/>
  <c r="G8" i="58"/>
  <c r="N28" i="58"/>
  <c r="N8" i="58" s="1"/>
  <c r="G16" i="30"/>
  <c r="H16" i="30"/>
  <c r="G9" i="43"/>
  <c r="O9" i="43" s="1"/>
  <c r="G15" i="60"/>
  <c r="N28" i="60"/>
  <c r="N8" i="60" s="1"/>
  <c r="G8" i="60"/>
  <c r="G21" i="37"/>
  <c r="O10" i="57"/>
  <c r="N28" i="25"/>
  <c r="N8" i="25" s="1"/>
  <c r="N13" i="25" s="1"/>
  <c r="N28" i="37"/>
  <c r="N8" i="37" s="1"/>
  <c r="M8" i="36"/>
  <c r="M34" i="36"/>
  <c r="F11" i="6"/>
  <c r="Q11" i="6" s="1"/>
  <c r="Q8" i="6"/>
  <c r="M13" i="3"/>
  <c r="G20" i="58"/>
  <c r="M28" i="59"/>
  <c r="M11" i="59" s="1"/>
  <c r="M34" i="59" s="1"/>
  <c r="G14" i="30"/>
  <c r="H14" i="30"/>
  <c r="Q14" i="30" s="1"/>
  <c r="G18" i="57"/>
  <c r="G8" i="36"/>
  <c r="Q17" i="6"/>
  <c r="G14" i="9"/>
  <c r="O14" i="9" s="1"/>
  <c r="G21" i="9"/>
  <c r="O21" i="9" s="1"/>
  <c r="G15" i="9"/>
  <c r="O15" i="9" s="1"/>
  <c r="G20" i="9"/>
  <c r="O20" i="9" s="1"/>
  <c r="I28" i="21"/>
  <c r="K28" i="21" s="1"/>
  <c r="M28" i="21" s="1"/>
  <c r="L28" i="47"/>
  <c r="G12" i="26"/>
  <c r="G8" i="18"/>
  <c r="H13" i="34"/>
  <c r="Q13" i="34" s="1"/>
  <c r="J11" i="34"/>
  <c r="L11" i="34" s="1"/>
  <c r="L11" i="60"/>
  <c r="J34" i="60"/>
  <c r="G29" i="40"/>
  <c r="O9" i="40" s="1"/>
  <c r="H17" i="30"/>
  <c r="Q17" i="30" s="1"/>
  <c r="F13" i="6"/>
  <c r="Q13" i="6" s="1"/>
  <c r="L10" i="6"/>
  <c r="P10" i="6" s="1"/>
  <c r="L33" i="46"/>
  <c r="L96" i="46" s="1"/>
  <c r="H13" i="55"/>
  <c r="H18" i="55"/>
  <c r="H19" i="55"/>
  <c r="H8" i="55"/>
  <c r="C23" i="57"/>
  <c r="G15" i="57"/>
  <c r="G21" i="25"/>
  <c r="K34" i="37"/>
  <c r="C23" i="9"/>
  <c r="C44" i="9" s="1"/>
  <c r="E8" i="9"/>
  <c r="E23" i="9" s="1"/>
  <c r="H14" i="48"/>
  <c r="I34" i="26"/>
  <c r="E13" i="11"/>
  <c r="C24" i="11"/>
  <c r="C41" i="11" s="1"/>
  <c r="J12" i="28"/>
  <c r="G29" i="58"/>
  <c r="H19" i="30"/>
  <c r="Q19" i="30" s="1"/>
  <c r="I34" i="30"/>
  <c r="L11" i="40"/>
  <c r="N11" i="40" s="1"/>
  <c r="N28" i="57"/>
  <c r="N8" i="57" s="1"/>
  <c r="N13" i="57" s="1"/>
  <c r="K34" i="60"/>
  <c r="G14" i="25"/>
  <c r="O20" i="57"/>
  <c r="K34" i="58"/>
  <c r="G22" i="25"/>
  <c r="G8" i="25"/>
  <c r="G29" i="37"/>
  <c r="G25" i="37"/>
  <c r="G25" i="40" s="1"/>
  <c r="E29" i="36"/>
  <c r="C23" i="36"/>
  <c r="H19" i="47"/>
  <c r="H25" i="47"/>
  <c r="H29" i="47" s="1"/>
  <c r="K28" i="47"/>
  <c r="K11" i="47" s="1"/>
  <c r="H13" i="47"/>
  <c r="G21" i="50"/>
  <c r="H21" i="50"/>
  <c r="C23" i="3"/>
  <c r="C44" i="3" s="1"/>
  <c r="O8" i="20"/>
  <c r="F11" i="20"/>
  <c r="O11" i="20" s="1"/>
  <c r="L28" i="34"/>
  <c r="G18" i="25"/>
  <c r="E23" i="60"/>
  <c r="E23" i="36"/>
  <c r="K17" i="31"/>
  <c r="K29" i="31" s="1"/>
  <c r="L17" i="31"/>
  <c r="L29" i="31" s="1"/>
  <c r="J11" i="50"/>
  <c r="L11" i="50" s="1"/>
  <c r="G16" i="25"/>
  <c r="H20" i="30"/>
  <c r="Q20" i="30" s="1"/>
  <c r="T62" i="46"/>
  <c r="H14" i="47"/>
  <c r="O17" i="57"/>
  <c r="G12" i="57"/>
  <c r="J34" i="58"/>
  <c r="L34" i="58" s="1"/>
  <c r="G21" i="58"/>
  <c r="G25" i="58"/>
  <c r="M28" i="58"/>
  <c r="M11" i="58" s="1"/>
  <c r="G19" i="58" s="1"/>
  <c r="C23" i="60"/>
  <c r="E29" i="59"/>
  <c r="G13" i="59" s="1"/>
  <c r="J34" i="25"/>
  <c r="L34" i="25" s="1"/>
  <c r="N34" i="25" s="1"/>
  <c r="K34" i="30"/>
  <c r="L21" i="30"/>
  <c r="H27" i="30"/>
  <c r="H13" i="30"/>
  <c r="Q13" i="30" s="1"/>
  <c r="E8" i="6"/>
  <c r="E23" i="6" s="1"/>
  <c r="R33" i="46"/>
  <c r="R83" i="44"/>
  <c r="G17" i="9"/>
  <c r="O17" i="9" s="1"/>
  <c r="K12" i="21"/>
  <c r="M12" i="21" s="1"/>
  <c r="H21" i="47"/>
  <c r="H19" i="48"/>
  <c r="L16" i="48"/>
  <c r="L28" i="48" s="1"/>
  <c r="H25" i="48"/>
  <c r="H29" i="48" s="1"/>
  <c r="I34" i="50"/>
  <c r="C23" i="26"/>
  <c r="E23" i="3"/>
  <c r="H25" i="16"/>
  <c r="H29" i="16" s="1"/>
  <c r="L35" i="16"/>
  <c r="G9" i="35"/>
  <c r="G11" i="35"/>
  <c r="G14" i="35"/>
  <c r="G10" i="35"/>
  <c r="G15" i="35"/>
  <c r="H34" i="34"/>
  <c r="H10" i="41"/>
  <c r="H10" i="29"/>
  <c r="Q10" i="34"/>
  <c r="F22" i="51"/>
  <c r="J34" i="36"/>
  <c r="M8" i="40"/>
  <c r="M34" i="40"/>
  <c r="E23" i="31"/>
  <c r="L11" i="47"/>
  <c r="M29" i="18"/>
  <c r="M33" i="18" s="1"/>
  <c r="M9" i="18" s="1"/>
  <c r="M14" i="18" s="1"/>
  <c r="C23" i="37"/>
  <c r="G12" i="30"/>
  <c r="J11" i="30"/>
  <c r="L11" i="30" s="1"/>
  <c r="H34" i="30"/>
  <c r="J34" i="30" s="1"/>
  <c r="L34" i="30" s="1"/>
  <c r="H14" i="49"/>
  <c r="I34" i="53"/>
  <c r="G21" i="57"/>
  <c r="J34" i="37"/>
  <c r="L34" i="37" s="1"/>
  <c r="H12" i="26"/>
  <c r="G22" i="57"/>
  <c r="G19" i="57"/>
  <c r="C23" i="58"/>
  <c r="G10" i="25"/>
  <c r="M28" i="37"/>
  <c r="M11" i="37" s="1"/>
  <c r="E23" i="30"/>
  <c r="G20" i="30" s="1"/>
  <c r="G13" i="30"/>
  <c r="Q14" i="6"/>
  <c r="T83" i="44"/>
  <c r="J12" i="31"/>
  <c r="G19" i="9"/>
  <c r="O19" i="9" s="1"/>
  <c r="E8" i="47"/>
  <c r="C23" i="47"/>
  <c r="I34" i="48"/>
  <c r="H22" i="48"/>
  <c r="H17" i="48"/>
  <c r="H21" i="48"/>
  <c r="H16" i="48"/>
  <c r="L30" i="50"/>
  <c r="H8" i="50"/>
  <c r="G15" i="50"/>
  <c r="E12" i="49"/>
  <c r="E23" i="49" s="1"/>
  <c r="C23" i="49"/>
  <c r="G18" i="26"/>
  <c r="L9" i="17"/>
  <c r="L12" i="17"/>
  <c r="M12" i="17" s="1"/>
  <c r="H40" i="13"/>
  <c r="J40" i="13" s="1"/>
  <c r="L40" i="13" s="1"/>
  <c r="H22" i="34"/>
  <c r="Q22" i="34" s="1"/>
  <c r="E23" i="57"/>
  <c r="H20" i="47"/>
  <c r="L11" i="48"/>
  <c r="G13" i="57"/>
  <c r="G19" i="37"/>
  <c r="H25" i="30"/>
  <c r="H29" i="30" s="1"/>
  <c r="Q9" i="30" s="1"/>
  <c r="C40" i="31"/>
  <c r="G13" i="26"/>
  <c r="H13" i="26"/>
  <c r="E23" i="26"/>
  <c r="H34" i="26"/>
  <c r="J34" i="26" s="1"/>
  <c r="G11" i="42"/>
  <c r="L11" i="37"/>
  <c r="N11" i="37" s="1"/>
  <c r="H20" i="49"/>
  <c r="G17" i="41"/>
  <c r="H34" i="41"/>
  <c r="J34" i="41" s="1"/>
  <c r="L34" i="41" s="1"/>
  <c r="G16" i="57"/>
  <c r="M28" i="60"/>
  <c r="M11" i="60" s="1"/>
  <c r="G16" i="60" s="1"/>
  <c r="G25" i="60"/>
  <c r="G29" i="60" s="1"/>
  <c r="G17" i="25"/>
  <c r="C23" i="25"/>
  <c r="G12" i="37"/>
  <c r="H21" i="30"/>
  <c r="Q21" i="30" s="1"/>
  <c r="J34" i="57"/>
  <c r="L34" i="57" s="1"/>
  <c r="N34" i="57" s="1"/>
  <c r="G8" i="57"/>
  <c r="G12" i="60"/>
  <c r="J34" i="59"/>
  <c r="N21" i="59"/>
  <c r="G8" i="59"/>
  <c r="G27" i="25"/>
  <c r="G29" i="25" s="1"/>
  <c r="O9" i="25" s="1"/>
  <c r="G13" i="25"/>
  <c r="N28" i="36"/>
  <c r="N8" i="36" s="1"/>
  <c r="O9" i="36"/>
  <c r="C23" i="30"/>
  <c r="G21" i="30"/>
  <c r="G17" i="30"/>
  <c r="H15" i="30"/>
  <c r="Q15" i="30" s="1"/>
  <c r="G10" i="30"/>
  <c r="Q9" i="6"/>
  <c r="Q20" i="6"/>
  <c r="J34" i="40"/>
  <c r="L34" i="40" s="1"/>
  <c r="N34" i="40" s="1"/>
  <c r="G13" i="9"/>
  <c r="O13" i="9" s="1"/>
  <c r="C23" i="21"/>
  <c r="C44" i="21" s="1"/>
  <c r="H12" i="47"/>
  <c r="H18" i="47"/>
  <c r="H34" i="48"/>
  <c r="J34" i="48" s="1"/>
  <c r="L34" i="48" s="1"/>
  <c r="H12" i="48"/>
  <c r="G20" i="26"/>
  <c r="G14" i="26"/>
  <c r="C44" i="18"/>
  <c r="G8" i="17"/>
  <c r="V14" i="7"/>
  <c r="V9" i="7"/>
  <c r="V21" i="7"/>
  <c r="F20" i="55"/>
  <c r="O20" i="55" s="1"/>
  <c r="H20" i="55"/>
  <c r="H12" i="55"/>
  <c r="F12" i="55"/>
  <c r="O12" i="55" s="1"/>
  <c r="I34" i="55"/>
  <c r="K34" i="55" s="1"/>
  <c r="M34" i="55" s="1"/>
  <c r="K11" i="55"/>
  <c r="M11" i="55" s="1"/>
  <c r="M13" i="55" s="1"/>
  <c r="H15" i="48"/>
  <c r="E23" i="50"/>
  <c r="G11" i="50" s="1"/>
  <c r="H13" i="49"/>
  <c r="H21" i="26"/>
  <c r="H19" i="26"/>
  <c r="L16" i="26"/>
  <c r="L28" i="26" s="1"/>
  <c r="K28" i="26"/>
  <c r="K11" i="26" s="1"/>
  <c r="K34" i="26" s="1"/>
  <c r="K18" i="11"/>
  <c r="K30" i="11" s="1"/>
  <c r="L18" i="11"/>
  <c r="L30" i="11" s="1"/>
  <c r="F12" i="20"/>
  <c r="O12" i="20" s="1"/>
  <c r="K12" i="20"/>
  <c r="M12" i="20" s="1"/>
  <c r="I40" i="20"/>
  <c r="K40" i="20" s="1"/>
  <c r="M40" i="20" s="1"/>
  <c r="E8" i="53"/>
  <c r="C23" i="53"/>
  <c r="N20" i="37"/>
  <c r="G8" i="37" s="1"/>
  <c r="L83" i="44"/>
  <c r="P42" i="44"/>
  <c r="R42" i="44" s="1"/>
  <c r="P46" i="44"/>
  <c r="R46" i="44" s="1"/>
  <c r="P39" i="44"/>
  <c r="R39" i="44" s="1"/>
  <c r="P43" i="44"/>
  <c r="R43" i="44" s="1"/>
  <c r="P47" i="44"/>
  <c r="R47" i="44" s="1"/>
  <c r="P40" i="44"/>
  <c r="R40" i="44" s="1"/>
  <c r="G18" i="9"/>
  <c r="O18" i="9" s="1"/>
  <c r="E23" i="48"/>
  <c r="G18" i="48" s="1"/>
  <c r="K28" i="50"/>
  <c r="K11" i="50" s="1"/>
  <c r="H34" i="50"/>
  <c r="J34" i="50" s="1"/>
  <c r="I41" i="11"/>
  <c r="H8" i="16"/>
  <c r="G22" i="43"/>
  <c r="O22" i="43" s="1"/>
  <c r="O22" i="17"/>
  <c r="O17" i="17"/>
  <c r="O14" i="17"/>
  <c r="O20" i="17"/>
  <c r="G21" i="43"/>
  <c r="O21" i="43" s="1"/>
  <c r="E11" i="43"/>
  <c r="E23" i="43" s="1"/>
  <c r="C23" i="43"/>
  <c r="C44" i="43" s="1"/>
  <c r="G22" i="35"/>
  <c r="G20" i="35"/>
  <c r="G12" i="41"/>
  <c r="Q22" i="6"/>
  <c r="Q12" i="6"/>
  <c r="R86" i="46"/>
  <c r="P93" i="46"/>
  <c r="P96" i="46" s="1"/>
  <c r="R96" i="46" s="1"/>
  <c r="O8" i="21"/>
  <c r="F11" i="21"/>
  <c r="O11" i="21" s="1"/>
  <c r="H20" i="48"/>
  <c r="H18" i="48"/>
  <c r="H13" i="48"/>
  <c r="C23" i="50"/>
  <c r="G17" i="49"/>
  <c r="H17" i="49"/>
  <c r="H20" i="26"/>
  <c r="G15" i="26"/>
  <c r="H15" i="26"/>
  <c r="J11" i="26"/>
  <c r="F8" i="3"/>
  <c r="E23" i="16"/>
  <c r="C23" i="17"/>
  <c r="C44" i="17" s="1"/>
  <c r="G19" i="41"/>
  <c r="F8" i="7"/>
  <c r="M28" i="7"/>
  <c r="F8" i="39"/>
  <c r="M28" i="39"/>
  <c r="H22" i="30"/>
  <c r="Q22" i="30" s="1"/>
  <c r="G19" i="30"/>
  <c r="I40" i="6"/>
  <c r="K40" i="6" s="1"/>
  <c r="C23" i="40"/>
  <c r="E23" i="40"/>
  <c r="G12" i="9"/>
  <c r="O12" i="9" s="1"/>
  <c r="J11" i="9"/>
  <c r="L11" i="9" s="1"/>
  <c r="M14" i="21"/>
  <c r="E23" i="21"/>
  <c r="H10" i="47"/>
  <c r="H15" i="47"/>
  <c r="L16" i="49"/>
  <c r="L28" i="49" s="1"/>
  <c r="H25" i="49"/>
  <c r="H29" i="49" s="1"/>
  <c r="G11" i="26"/>
  <c r="G19" i="35"/>
  <c r="H19" i="35"/>
  <c r="Q19" i="35" s="1"/>
  <c r="G8" i="35"/>
  <c r="H21" i="34"/>
  <c r="Q21" i="34" s="1"/>
  <c r="H15" i="34"/>
  <c r="Q15" i="34" s="1"/>
  <c r="V17" i="7"/>
  <c r="F17" i="51"/>
  <c r="O17" i="51" s="1"/>
  <c r="F18" i="54"/>
  <c r="O18" i="54" s="1"/>
  <c r="H21" i="27"/>
  <c r="L27" i="6"/>
  <c r="L31" i="6" s="1"/>
  <c r="P8" i="6" s="1"/>
  <c r="P12" i="6" s="1"/>
  <c r="N28" i="40"/>
  <c r="N8" i="40" s="1"/>
  <c r="N13" i="40" s="1"/>
  <c r="G8" i="15"/>
  <c r="H17" i="47"/>
  <c r="G21" i="26"/>
  <c r="G17" i="26"/>
  <c r="H17" i="26"/>
  <c r="F22" i="3"/>
  <c r="O22" i="3" s="1"/>
  <c r="H34" i="29"/>
  <c r="J34" i="29" s="1"/>
  <c r="L34" i="29" s="1"/>
  <c r="C23" i="29"/>
  <c r="G15" i="41"/>
  <c r="L12" i="19"/>
  <c r="N12" i="19" s="1"/>
  <c r="G19" i="19" s="1"/>
  <c r="O19" i="19" s="1"/>
  <c r="I34" i="51"/>
  <c r="K34" i="51" s="1"/>
  <c r="H15" i="27"/>
  <c r="O18" i="15"/>
  <c r="E24" i="11"/>
  <c r="I34" i="3"/>
  <c r="K34" i="3" s="1"/>
  <c r="M34" i="3" s="1"/>
  <c r="O10" i="20"/>
  <c r="O14" i="20"/>
  <c r="M29" i="20"/>
  <c r="M33" i="20" s="1"/>
  <c r="M9" i="20" s="1"/>
  <c r="M14" i="20" s="1"/>
  <c r="C23" i="42"/>
  <c r="C44" i="42" s="1"/>
  <c r="Q9" i="35"/>
  <c r="E29" i="35"/>
  <c r="H14" i="35" s="1"/>
  <c r="Q14" i="35" s="1"/>
  <c r="L28" i="41"/>
  <c r="L30" i="41" s="1"/>
  <c r="L8" i="41" s="1"/>
  <c r="G8" i="41"/>
  <c r="V22" i="7"/>
  <c r="V10" i="7"/>
  <c r="C23" i="7"/>
  <c r="C46" i="7" s="1"/>
  <c r="E12" i="7"/>
  <c r="L27" i="28"/>
  <c r="O22" i="55"/>
  <c r="H20" i="54"/>
  <c r="M23" i="27"/>
  <c r="F8" i="27" s="1"/>
  <c r="L28" i="27"/>
  <c r="L11" i="27" s="1"/>
  <c r="F17" i="38"/>
  <c r="N17" i="38" s="1"/>
  <c r="F16" i="20"/>
  <c r="O16" i="20" s="1"/>
  <c r="F21" i="20"/>
  <c r="O21" i="20" s="1"/>
  <c r="F17" i="20"/>
  <c r="O17" i="20" s="1"/>
  <c r="C23" i="20"/>
  <c r="C44" i="20" s="1"/>
  <c r="M29" i="42"/>
  <c r="M35" i="42" s="1"/>
  <c r="M9" i="42" s="1"/>
  <c r="K28" i="13"/>
  <c r="L28" i="13"/>
  <c r="L29" i="13" s="1"/>
  <c r="J12" i="13"/>
  <c r="L12" i="13" s="1"/>
  <c r="H13" i="35"/>
  <c r="Q13" i="35" s="1"/>
  <c r="G13" i="35"/>
  <c r="Q10" i="35"/>
  <c r="G11" i="29"/>
  <c r="G21" i="41"/>
  <c r="V20" i="7"/>
  <c r="Q10" i="28"/>
  <c r="N28" i="19"/>
  <c r="N32" i="19" s="1"/>
  <c r="N9" i="19" s="1"/>
  <c r="H16" i="55"/>
  <c r="F16" i="55"/>
  <c r="O16" i="55" s="1"/>
  <c r="G40" i="10"/>
  <c r="J40" i="10" s="1"/>
  <c r="G22" i="26"/>
  <c r="F16" i="3"/>
  <c r="O16" i="3" s="1"/>
  <c r="F19" i="20"/>
  <c r="O19" i="20" s="1"/>
  <c r="E23" i="20"/>
  <c r="L29" i="42"/>
  <c r="O9" i="17"/>
  <c r="E23" i="13"/>
  <c r="G17" i="35"/>
  <c r="V18" i="7"/>
  <c r="M18" i="51"/>
  <c r="L28" i="51"/>
  <c r="L11" i="51" s="1"/>
  <c r="F13" i="51" s="1"/>
  <c r="O13" i="51" s="1"/>
  <c r="F25" i="51"/>
  <c r="F29" i="51" s="1"/>
  <c r="O9" i="51" s="1"/>
  <c r="C23" i="51"/>
  <c r="E10" i="51"/>
  <c r="H15" i="55"/>
  <c r="F15" i="55"/>
  <c r="O15" i="55" s="1"/>
  <c r="H22" i="54"/>
  <c r="F22" i="54"/>
  <c r="O22" i="54" s="1"/>
  <c r="I34" i="54"/>
  <c r="H12" i="54"/>
  <c r="K11" i="54"/>
  <c r="M11" i="54" s="1"/>
  <c r="F12" i="54"/>
  <c r="O12" i="54" s="1"/>
  <c r="E23" i="54"/>
  <c r="H15" i="54" s="1"/>
  <c r="H8" i="54"/>
  <c r="E23" i="39"/>
  <c r="H21" i="39" s="1"/>
  <c r="E29" i="49"/>
  <c r="O9" i="3"/>
  <c r="O10" i="3"/>
  <c r="K11" i="3"/>
  <c r="M11" i="3" s="1"/>
  <c r="M29" i="17"/>
  <c r="M35" i="17" s="1"/>
  <c r="M9" i="17" s="1"/>
  <c r="L29" i="43"/>
  <c r="L35" i="43" s="1"/>
  <c r="H34" i="35"/>
  <c r="G12" i="35"/>
  <c r="J11" i="35"/>
  <c r="L11" i="35" s="1"/>
  <c r="G18" i="41"/>
  <c r="G13" i="41"/>
  <c r="C23" i="19"/>
  <c r="C44" i="19" s="1"/>
  <c r="E8" i="19"/>
  <c r="E23" i="19" s="1"/>
  <c r="F14" i="51"/>
  <c r="I34" i="27"/>
  <c r="K34" i="27" s="1"/>
  <c r="O22" i="18"/>
  <c r="E8" i="42"/>
  <c r="E23" i="42" s="1"/>
  <c r="E8" i="17"/>
  <c r="E23" i="17" s="1"/>
  <c r="C23" i="35"/>
  <c r="L16" i="35"/>
  <c r="L28" i="35" s="1"/>
  <c r="E29" i="34"/>
  <c r="O21" i="19"/>
  <c r="F18" i="51"/>
  <c r="O18" i="51" s="1"/>
  <c r="H17" i="55"/>
  <c r="F17" i="55"/>
  <c r="O17" i="55" s="1"/>
  <c r="H11" i="55"/>
  <c r="H17" i="54"/>
  <c r="F25" i="39"/>
  <c r="F29" i="39" s="1"/>
  <c r="N9" i="39" s="1"/>
  <c r="L28" i="39"/>
  <c r="L11" i="39" s="1"/>
  <c r="F15" i="39" s="1"/>
  <c r="N15" i="39" s="1"/>
  <c r="K12" i="8"/>
  <c r="O20" i="18"/>
  <c r="O14" i="18"/>
  <c r="M29" i="43"/>
  <c r="M35" i="43" s="1"/>
  <c r="M9" i="43" s="1"/>
  <c r="G21" i="35"/>
  <c r="H12" i="34"/>
  <c r="Q12" i="34" s="1"/>
  <c r="G22" i="29"/>
  <c r="J11" i="41"/>
  <c r="L11" i="41" s="1"/>
  <c r="V19" i="7"/>
  <c r="V16" i="7"/>
  <c r="V13" i="7"/>
  <c r="L17" i="28"/>
  <c r="L29" i="28" s="1"/>
  <c r="K29" i="28"/>
  <c r="O22" i="19"/>
  <c r="O16" i="19"/>
  <c r="O17" i="19"/>
  <c r="O18" i="19"/>
  <c r="G8" i="19"/>
  <c r="O9" i="19"/>
  <c r="F12" i="51"/>
  <c r="K11" i="51"/>
  <c r="M11" i="51" s="1"/>
  <c r="H22" i="55"/>
  <c r="H10" i="55"/>
  <c r="J34" i="54"/>
  <c r="F8" i="54"/>
  <c r="H14" i="54"/>
  <c r="F17" i="27"/>
  <c r="H17" i="27"/>
  <c r="F15" i="38"/>
  <c r="N15" i="38" s="1"/>
  <c r="I34" i="38"/>
  <c r="K34" i="38" s="1"/>
  <c r="M34" i="38" s="1"/>
  <c r="O18" i="18"/>
  <c r="E23" i="29"/>
  <c r="G16" i="29" s="1"/>
  <c r="G14" i="41"/>
  <c r="R28" i="7"/>
  <c r="R32" i="7" s="1"/>
  <c r="R9" i="7" s="1"/>
  <c r="M28" i="53"/>
  <c r="F8" i="53"/>
  <c r="O19" i="55"/>
  <c r="F16" i="54"/>
  <c r="O16" i="54" s="1"/>
  <c r="H10" i="54"/>
  <c r="H13" i="27"/>
  <c r="K11" i="27"/>
  <c r="M11" i="27" s="1"/>
  <c r="F13" i="27"/>
  <c r="E16" i="12"/>
  <c r="C24" i="12"/>
  <c r="C45" i="12" s="1"/>
  <c r="G16" i="35"/>
  <c r="E8" i="34"/>
  <c r="C23" i="34"/>
  <c r="G12" i="29"/>
  <c r="J11" i="29"/>
  <c r="L11" i="29" s="1"/>
  <c r="L13" i="29" s="1"/>
  <c r="P13" i="29" s="1"/>
  <c r="G22" i="41"/>
  <c r="O20" i="19"/>
  <c r="O14" i="19"/>
  <c r="O10" i="55"/>
  <c r="H9" i="55"/>
  <c r="F21" i="54"/>
  <c r="O21" i="54" s="1"/>
  <c r="H21" i="54"/>
  <c r="H9" i="54"/>
  <c r="O12" i="19"/>
  <c r="F16" i="51"/>
  <c r="O16" i="51" s="1"/>
  <c r="E23" i="27"/>
  <c r="O9" i="12"/>
  <c r="G14" i="12"/>
  <c r="O14" i="12" s="1"/>
  <c r="G19" i="12"/>
  <c r="O19" i="12" s="1"/>
  <c r="G17" i="12"/>
  <c r="O17" i="12" s="1"/>
  <c r="G20" i="12"/>
  <c r="O20" i="12" s="1"/>
  <c r="G12" i="61"/>
  <c r="O12" i="61" s="1"/>
  <c r="G20" i="61"/>
  <c r="O20" i="61" s="1"/>
  <c r="G15" i="61"/>
  <c r="O15" i="61" s="1"/>
  <c r="G19" i="61"/>
  <c r="O19" i="61" s="1"/>
  <c r="G21" i="61"/>
  <c r="O21" i="61" s="1"/>
  <c r="H34" i="61"/>
  <c r="K11" i="39"/>
  <c r="I34" i="39"/>
  <c r="N13" i="38"/>
  <c r="G8" i="12"/>
  <c r="L33" i="12"/>
  <c r="K29" i="10"/>
  <c r="M22" i="14"/>
  <c r="K11" i="63"/>
  <c r="K13" i="63" s="1"/>
  <c r="E29" i="53"/>
  <c r="H21" i="55"/>
  <c r="F21" i="55"/>
  <c r="O21" i="55" s="1"/>
  <c r="C23" i="55"/>
  <c r="M21" i="54"/>
  <c r="L28" i="54"/>
  <c r="L11" i="54" s="1"/>
  <c r="F14" i="54" s="1"/>
  <c r="O14" i="54" s="1"/>
  <c r="F27" i="54"/>
  <c r="F29" i="54" s="1"/>
  <c r="O9" i="54" s="1"/>
  <c r="H19" i="54"/>
  <c r="F19" i="54"/>
  <c r="O19" i="54" s="1"/>
  <c r="H11" i="54"/>
  <c r="M28" i="27"/>
  <c r="N18" i="38"/>
  <c r="L17" i="10"/>
  <c r="L29" i="10" s="1"/>
  <c r="G8" i="61"/>
  <c r="K8" i="61"/>
  <c r="K13" i="61" s="1"/>
  <c r="K28" i="62"/>
  <c r="F20" i="27"/>
  <c r="N10" i="39"/>
  <c r="F12" i="38"/>
  <c r="N12" i="38" s="1"/>
  <c r="K11" i="38"/>
  <c r="M11" i="38" s="1"/>
  <c r="E8" i="10"/>
  <c r="E23" i="10" s="1"/>
  <c r="C23" i="10"/>
  <c r="C41" i="10" s="1"/>
  <c r="F15" i="8"/>
  <c r="V15" i="8" s="1"/>
  <c r="J37" i="8"/>
  <c r="M37" i="8" s="1"/>
  <c r="O37" i="8" s="1"/>
  <c r="E23" i="28"/>
  <c r="F21" i="51"/>
  <c r="O21" i="51" s="1"/>
  <c r="L28" i="53"/>
  <c r="L11" i="53" s="1"/>
  <c r="L34" i="53" s="1"/>
  <c r="F25" i="53"/>
  <c r="F29" i="53" s="1"/>
  <c r="H14" i="55"/>
  <c r="F14" i="55"/>
  <c r="O14" i="55" s="1"/>
  <c r="F12" i="27"/>
  <c r="F18" i="27"/>
  <c r="O18" i="27" s="1"/>
  <c r="N10" i="38"/>
  <c r="G21" i="12"/>
  <c r="O21" i="12" s="1"/>
  <c r="J12" i="10"/>
  <c r="M41" i="14"/>
  <c r="M43" i="14" s="1"/>
  <c r="L43" i="14"/>
  <c r="C23" i="38"/>
  <c r="Q9" i="8"/>
  <c r="G17" i="61"/>
  <c r="O17" i="61" s="1"/>
  <c r="M33" i="14"/>
  <c r="F25" i="14"/>
  <c r="F29" i="14" s="1"/>
  <c r="C23" i="14"/>
  <c r="C41" i="14" s="1"/>
  <c r="G18" i="64"/>
  <c r="O18" i="64" s="1"/>
  <c r="G34" i="64"/>
  <c r="F14" i="38"/>
  <c r="N14" i="38" s="1"/>
  <c r="O10" i="12"/>
  <c r="V19" i="8"/>
  <c r="V16" i="8"/>
  <c r="G16" i="61"/>
  <c r="O16" i="61" s="1"/>
  <c r="I11" i="61"/>
  <c r="K11" i="61" s="1"/>
  <c r="M37" i="14"/>
  <c r="K11" i="14"/>
  <c r="A47" i="14"/>
  <c r="C23" i="54"/>
  <c r="H13" i="54"/>
  <c r="H16" i="27"/>
  <c r="F8" i="38"/>
  <c r="M28" i="38"/>
  <c r="V20" i="8"/>
  <c r="V17" i="8"/>
  <c r="V13" i="8"/>
  <c r="E23" i="61"/>
  <c r="O9" i="64"/>
  <c r="O11" i="64"/>
  <c r="G16" i="64"/>
  <c r="O16" i="64" s="1"/>
  <c r="F25" i="27"/>
  <c r="F29" i="27" s="1"/>
  <c r="O9" i="27" s="1"/>
  <c r="F14" i="27"/>
  <c r="O14" i="27" s="1"/>
  <c r="F20" i="38"/>
  <c r="N20" i="38" s="1"/>
  <c r="G23" i="12"/>
  <c r="O23" i="12" s="1"/>
  <c r="V9" i="8"/>
  <c r="V14" i="8"/>
  <c r="V22" i="8"/>
  <c r="F8" i="8"/>
  <c r="R28" i="8"/>
  <c r="R32" i="8" s="1"/>
  <c r="R9" i="8" s="1"/>
  <c r="C23" i="61"/>
  <c r="C23" i="62"/>
  <c r="O8" i="63"/>
  <c r="O9" i="63"/>
  <c r="G16" i="5"/>
  <c r="O16" i="5" s="1"/>
  <c r="G34" i="5"/>
  <c r="I11" i="5"/>
  <c r="F18" i="55"/>
  <c r="O18" i="55" s="1"/>
  <c r="F8" i="55"/>
  <c r="H16" i="54"/>
  <c r="F10" i="27"/>
  <c r="J34" i="39"/>
  <c r="F16" i="38"/>
  <c r="N16" i="38" s="1"/>
  <c r="F22" i="38"/>
  <c r="N22" i="38" s="1"/>
  <c r="E8" i="38"/>
  <c r="G13" i="12"/>
  <c r="O13" i="12" s="1"/>
  <c r="E24" i="12"/>
  <c r="L12" i="8"/>
  <c r="L9" i="8"/>
  <c r="Q12" i="8"/>
  <c r="L37" i="14"/>
  <c r="G18" i="62"/>
  <c r="O18" i="62" s="1"/>
  <c r="O9" i="62"/>
  <c r="G8" i="64"/>
  <c r="K8" i="64"/>
  <c r="G15" i="63"/>
  <c r="O15" i="63" s="1"/>
  <c r="G20" i="63"/>
  <c r="O20" i="63" s="1"/>
  <c r="H34" i="63"/>
  <c r="G18" i="63"/>
  <c r="O18" i="63" s="1"/>
  <c r="G20" i="62"/>
  <c r="O20" i="62" s="1"/>
  <c r="O10" i="64"/>
  <c r="E23" i="64"/>
  <c r="O10" i="63"/>
  <c r="G11" i="63"/>
  <c r="O11" i="63" s="1"/>
  <c r="H16" i="39"/>
  <c r="J43" i="8"/>
  <c r="M43" i="8" s="1"/>
  <c r="O43" i="8" s="1"/>
  <c r="G34" i="61"/>
  <c r="I34" i="61" s="1"/>
  <c r="K34" i="61" s="1"/>
  <c r="G21" i="62"/>
  <c r="O21" i="62" s="1"/>
  <c r="I11" i="64"/>
  <c r="K11" i="64" s="1"/>
  <c r="G13" i="63"/>
  <c r="O13" i="63" s="1"/>
  <c r="G12" i="12"/>
  <c r="O12" i="12" s="1"/>
  <c r="M28" i="8"/>
  <c r="G13" i="61"/>
  <c r="O13" i="61" s="1"/>
  <c r="G14" i="62"/>
  <c r="O14" i="62" s="1"/>
  <c r="I11" i="62"/>
  <c r="K11" i="62" s="1"/>
  <c r="G34" i="62"/>
  <c r="I34" i="62" s="1"/>
  <c r="K34" i="62" s="1"/>
  <c r="G12" i="62"/>
  <c r="O12" i="62" s="1"/>
  <c r="G22" i="64"/>
  <c r="O22" i="64" s="1"/>
  <c r="H34" i="64"/>
  <c r="G17" i="64"/>
  <c r="O17" i="64" s="1"/>
  <c r="G16" i="63"/>
  <c r="O16" i="63" s="1"/>
  <c r="G27" i="5"/>
  <c r="G29" i="5" s="1"/>
  <c r="G18" i="5" s="1"/>
  <c r="O18" i="5" s="1"/>
  <c r="K21" i="5"/>
  <c r="G10" i="5" s="1"/>
  <c r="J28" i="5"/>
  <c r="J11" i="5" s="1"/>
  <c r="J34" i="5" s="1"/>
  <c r="E23" i="5"/>
  <c r="B47" i="14"/>
  <c r="G19" i="64"/>
  <c r="O19" i="64" s="1"/>
  <c r="G14" i="64"/>
  <c r="O14" i="64" s="1"/>
  <c r="G12" i="64"/>
  <c r="O12" i="64" s="1"/>
  <c r="J28" i="63"/>
  <c r="J11" i="63" s="1"/>
  <c r="J34" i="63" s="1"/>
  <c r="G22" i="63"/>
  <c r="O22" i="63" s="1"/>
  <c r="G34" i="63"/>
  <c r="G12" i="63"/>
  <c r="O12" i="63" s="1"/>
  <c r="E23" i="63"/>
  <c r="E29" i="5"/>
  <c r="G22" i="61"/>
  <c r="O22" i="61" s="1"/>
  <c r="O8" i="27" l="1"/>
  <c r="O13" i="59"/>
  <c r="I34" i="5"/>
  <c r="K34" i="5" s="1"/>
  <c r="M34" i="27"/>
  <c r="F8" i="11"/>
  <c r="L34" i="11"/>
  <c r="L30" i="48"/>
  <c r="H8" i="48"/>
  <c r="O19" i="58"/>
  <c r="E8" i="8"/>
  <c r="M32" i="8"/>
  <c r="F17" i="39"/>
  <c r="N17" i="39" s="1"/>
  <c r="O20" i="27"/>
  <c r="F8" i="51"/>
  <c r="M28" i="51"/>
  <c r="G15" i="48"/>
  <c r="O9" i="37"/>
  <c r="O10" i="37"/>
  <c r="H8" i="47"/>
  <c r="L30" i="47"/>
  <c r="O18" i="57"/>
  <c r="F18" i="53"/>
  <c r="O18" i="53" s="1"/>
  <c r="F14" i="53"/>
  <c r="O14" i="53" s="1"/>
  <c r="F21" i="53"/>
  <c r="O21" i="53" s="1"/>
  <c r="J34" i="53"/>
  <c r="K34" i="53" s="1"/>
  <c r="M34" i="53" s="1"/>
  <c r="F19" i="53"/>
  <c r="O19" i="53" s="1"/>
  <c r="F17" i="53"/>
  <c r="O17" i="53" s="1"/>
  <c r="F12" i="53"/>
  <c r="O12" i="53" s="1"/>
  <c r="F13" i="53"/>
  <c r="O13" i="53" s="1"/>
  <c r="F20" i="53"/>
  <c r="O20" i="53" s="1"/>
  <c r="K11" i="53"/>
  <c r="M11" i="53" s="1"/>
  <c r="O17" i="27"/>
  <c r="L9" i="43"/>
  <c r="L12" i="43"/>
  <c r="M12" i="43" s="1"/>
  <c r="F23" i="3"/>
  <c r="I14" i="3" s="1"/>
  <c r="O8" i="3"/>
  <c r="F11" i="3"/>
  <c r="O11" i="3" s="1"/>
  <c r="O21" i="58"/>
  <c r="O15" i="60"/>
  <c r="I34" i="63"/>
  <c r="K34" i="63" s="1"/>
  <c r="H9" i="27"/>
  <c r="H12" i="27"/>
  <c r="H11" i="27"/>
  <c r="H8" i="27"/>
  <c r="H18" i="27"/>
  <c r="H22" i="27"/>
  <c r="H19" i="27"/>
  <c r="H10" i="27"/>
  <c r="H20" i="27"/>
  <c r="H14" i="27"/>
  <c r="G18" i="29"/>
  <c r="M8" i="39"/>
  <c r="F11" i="39"/>
  <c r="N11" i="39" s="1"/>
  <c r="G13" i="48"/>
  <c r="E23" i="53"/>
  <c r="H8" i="53"/>
  <c r="G11" i="17"/>
  <c r="O11" i="17" s="1"/>
  <c r="O8" i="17"/>
  <c r="Q16" i="16"/>
  <c r="Q18" i="16"/>
  <c r="Q14" i="16"/>
  <c r="Q20" i="16"/>
  <c r="Q9" i="16"/>
  <c r="Q22" i="16"/>
  <c r="Q15" i="16"/>
  <c r="Q19" i="16"/>
  <c r="Q13" i="16"/>
  <c r="Q17" i="16"/>
  <c r="Q21" i="16"/>
  <c r="Q10" i="16"/>
  <c r="H10" i="30"/>
  <c r="Q10" i="30" s="1"/>
  <c r="L28" i="30"/>
  <c r="G15" i="29"/>
  <c r="O8" i="64"/>
  <c r="O23" i="64" s="1"/>
  <c r="G23" i="64"/>
  <c r="F21" i="39"/>
  <c r="N21" i="39" s="1"/>
  <c r="F16" i="53"/>
  <c r="O16" i="53" s="1"/>
  <c r="O8" i="61"/>
  <c r="O23" i="61" s="1"/>
  <c r="G11" i="61"/>
  <c r="O11" i="61" s="1"/>
  <c r="G23" i="61"/>
  <c r="O8" i="54"/>
  <c r="Q12" i="16"/>
  <c r="N8" i="39"/>
  <c r="Q8" i="16"/>
  <c r="H11" i="16"/>
  <c r="Q11" i="16" s="1"/>
  <c r="H23" i="16"/>
  <c r="G8" i="43"/>
  <c r="F8" i="31"/>
  <c r="L33" i="31"/>
  <c r="F23" i="20"/>
  <c r="I15" i="20" s="1"/>
  <c r="N13" i="37"/>
  <c r="O14" i="37"/>
  <c r="G14" i="40"/>
  <c r="F12" i="7"/>
  <c r="V12" i="7" s="1"/>
  <c r="J43" i="7"/>
  <c r="M43" i="7" s="1"/>
  <c r="O43" i="7" s="1"/>
  <c r="J37" i="7"/>
  <c r="M37" i="7" s="1"/>
  <c r="O37" i="7" s="1"/>
  <c r="K12" i="7"/>
  <c r="G12" i="48"/>
  <c r="G9" i="49"/>
  <c r="G19" i="49"/>
  <c r="G21" i="49"/>
  <c r="G10" i="49"/>
  <c r="G14" i="49"/>
  <c r="G16" i="49"/>
  <c r="G23" i="49"/>
  <c r="G22" i="49"/>
  <c r="G20" i="49"/>
  <c r="G8" i="49"/>
  <c r="G11" i="49"/>
  <c r="G13" i="49"/>
  <c r="H15" i="39"/>
  <c r="H13" i="39"/>
  <c r="H18" i="39"/>
  <c r="H20" i="39"/>
  <c r="H9" i="39"/>
  <c r="H8" i="39"/>
  <c r="H17" i="39"/>
  <c r="H11" i="39"/>
  <c r="H14" i="39"/>
  <c r="H10" i="39"/>
  <c r="O13" i="25"/>
  <c r="L12" i="16"/>
  <c r="M12" i="16" s="1"/>
  <c r="M14" i="16" s="1"/>
  <c r="L9" i="16"/>
  <c r="G18" i="49"/>
  <c r="O10" i="27"/>
  <c r="L33" i="28"/>
  <c r="H8" i="28"/>
  <c r="H8" i="38"/>
  <c r="E23" i="38"/>
  <c r="O9" i="53"/>
  <c r="O10" i="53"/>
  <c r="F8" i="14"/>
  <c r="O8" i="53"/>
  <c r="G11" i="19"/>
  <c r="O11" i="19" s="1"/>
  <c r="G23" i="19"/>
  <c r="O8" i="19"/>
  <c r="O23" i="19" s="1"/>
  <c r="H10" i="51"/>
  <c r="E23" i="51"/>
  <c r="G8" i="13"/>
  <c r="L33" i="13"/>
  <c r="F22" i="53"/>
  <c r="O22" i="53" s="1"/>
  <c r="L13" i="41"/>
  <c r="P13" i="41" s="1"/>
  <c r="E8" i="7"/>
  <c r="M32" i="7"/>
  <c r="N28" i="59"/>
  <c r="N8" i="59" s="1"/>
  <c r="G10" i="59"/>
  <c r="O17" i="25"/>
  <c r="G19" i="17"/>
  <c r="G15" i="17"/>
  <c r="G13" i="17"/>
  <c r="G12" i="17"/>
  <c r="G23" i="17" s="1"/>
  <c r="O19" i="57"/>
  <c r="O9" i="58"/>
  <c r="O10" i="58"/>
  <c r="G15" i="49"/>
  <c r="O20" i="58"/>
  <c r="O8" i="12"/>
  <c r="L34" i="39"/>
  <c r="F12" i="39"/>
  <c r="N12" i="39" s="1"/>
  <c r="F19" i="39"/>
  <c r="N19" i="39" s="1"/>
  <c r="F18" i="39"/>
  <c r="N18" i="39" s="1"/>
  <c r="F16" i="39"/>
  <c r="N16" i="39" s="1"/>
  <c r="F13" i="39"/>
  <c r="N13" i="39" s="1"/>
  <c r="F22" i="39"/>
  <c r="N22" i="39" s="1"/>
  <c r="M40" i="6"/>
  <c r="N40" i="6"/>
  <c r="G10" i="48"/>
  <c r="G23" i="48"/>
  <c r="G8" i="48"/>
  <c r="G20" i="48"/>
  <c r="G22" i="48"/>
  <c r="G16" i="48"/>
  <c r="G9" i="48"/>
  <c r="G21" i="48"/>
  <c r="G14" i="48"/>
  <c r="G19" i="48"/>
  <c r="G17" i="48"/>
  <c r="G11" i="48"/>
  <c r="G11" i="37"/>
  <c r="G23" i="37"/>
  <c r="I21" i="37" s="1"/>
  <c r="I8" i="37"/>
  <c r="O8" i="37"/>
  <c r="O21" i="57"/>
  <c r="O18" i="25"/>
  <c r="F23" i="6"/>
  <c r="I14" i="6" s="1"/>
  <c r="O13" i="36"/>
  <c r="H8" i="35"/>
  <c r="L30" i="35"/>
  <c r="H12" i="39"/>
  <c r="E23" i="34"/>
  <c r="G8" i="34" s="1"/>
  <c r="H23" i="54"/>
  <c r="G14" i="5"/>
  <c r="O14" i="5" s="1"/>
  <c r="G13" i="5"/>
  <c r="O13" i="5" s="1"/>
  <c r="F14" i="39"/>
  <c r="N14" i="39" s="1"/>
  <c r="F10" i="54"/>
  <c r="O10" i="54" s="1"/>
  <c r="M28" i="54"/>
  <c r="I34" i="35"/>
  <c r="J34" i="35" s="1"/>
  <c r="L34" i="35" s="1"/>
  <c r="H16" i="35"/>
  <c r="Q16" i="35" s="1"/>
  <c r="H18" i="35"/>
  <c r="Q18" i="35" s="1"/>
  <c r="H20" i="35"/>
  <c r="Q20" i="35" s="1"/>
  <c r="H21" i="35"/>
  <c r="Q21" i="35" s="1"/>
  <c r="H15" i="35"/>
  <c r="Q15" i="35" s="1"/>
  <c r="H17" i="35"/>
  <c r="Q17" i="35" s="1"/>
  <c r="H12" i="35"/>
  <c r="Q12" i="35" s="1"/>
  <c r="H22" i="35"/>
  <c r="Q22" i="35" s="1"/>
  <c r="O8" i="15"/>
  <c r="G11" i="15"/>
  <c r="O11" i="15" s="1"/>
  <c r="H8" i="49"/>
  <c r="L30" i="49"/>
  <c r="F15" i="53"/>
  <c r="O15" i="53" s="1"/>
  <c r="O9" i="60"/>
  <c r="O10" i="60"/>
  <c r="K34" i="59"/>
  <c r="L34" i="59" s="1"/>
  <c r="N34" i="59" s="1"/>
  <c r="G14" i="59"/>
  <c r="G16" i="59"/>
  <c r="G21" i="59"/>
  <c r="G17" i="59"/>
  <c r="G20" i="59"/>
  <c r="L11" i="59"/>
  <c r="N11" i="59" s="1"/>
  <c r="G19" i="59"/>
  <c r="G15" i="59"/>
  <c r="G12" i="59"/>
  <c r="O14" i="25"/>
  <c r="O21" i="25"/>
  <c r="O13" i="60"/>
  <c r="G18" i="59"/>
  <c r="I20" i="37"/>
  <c r="G20" i="40"/>
  <c r="O20" i="37"/>
  <c r="O10" i="14"/>
  <c r="O14" i="14"/>
  <c r="O9" i="14"/>
  <c r="M8" i="27"/>
  <c r="M13" i="27" s="1"/>
  <c r="F11" i="27"/>
  <c r="O11" i="27" s="1"/>
  <c r="G25" i="42"/>
  <c r="G29" i="42" s="1"/>
  <c r="L35" i="42"/>
  <c r="G11" i="58"/>
  <c r="O8" i="58"/>
  <c r="N8" i="38"/>
  <c r="F23" i="38"/>
  <c r="K8" i="62"/>
  <c r="K13" i="62" s="1"/>
  <c r="G8" i="62"/>
  <c r="G23" i="29"/>
  <c r="G10" i="29"/>
  <c r="G14" i="29"/>
  <c r="G8" i="29"/>
  <c r="G13" i="29"/>
  <c r="G21" i="29"/>
  <c r="G9" i="29"/>
  <c r="G17" i="29"/>
  <c r="G19" i="29"/>
  <c r="G20" i="29"/>
  <c r="O23" i="63"/>
  <c r="O9" i="5"/>
  <c r="O11" i="5"/>
  <c r="G19" i="5"/>
  <c r="O19" i="5" s="1"/>
  <c r="R14" i="8"/>
  <c r="H19" i="39"/>
  <c r="H22" i="39"/>
  <c r="F20" i="39"/>
  <c r="N20" i="39" s="1"/>
  <c r="G11" i="12"/>
  <c r="O11" i="12" s="1"/>
  <c r="L9" i="12"/>
  <c r="L14" i="12" s="1"/>
  <c r="O13" i="27"/>
  <c r="P12" i="8"/>
  <c r="R12" i="8" s="1"/>
  <c r="M12" i="8"/>
  <c r="F23" i="21"/>
  <c r="K34" i="50"/>
  <c r="L34" i="50" s="1"/>
  <c r="H17" i="50"/>
  <c r="H12" i="50"/>
  <c r="H23" i="50" s="1"/>
  <c r="H19" i="50"/>
  <c r="H18" i="50"/>
  <c r="H15" i="50"/>
  <c r="H22" i="50"/>
  <c r="H13" i="50"/>
  <c r="H16" i="50"/>
  <c r="H20" i="50"/>
  <c r="G10" i="50"/>
  <c r="G8" i="50"/>
  <c r="G23" i="50"/>
  <c r="G14" i="50"/>
  <c r="G9" i="50"/>
  <c r="G12" i="50"/>
  <c r="G13" i="50"/>
  <c r="G22" i="50"/>
  <c r="G19" i="50"/>
  <c r="G20" i="50"/>
  <c r="G17" i="50"/>
  <c r="G16" i="50"/>
  <c r="G18" i="50"/>
  <c r="H14" i="50"/>
  <c r="O16" i="60"/>
  <c r="P56" i="46"/>
  <c r="R56" i="46" s="1"/>
  <c r="P60" i="46"/>
  <c r="R60" i="46" s="1"/>
  <c r="P53" i="46"/>
  <c r="R53" i="46" s="1"/>
  <c r="P57" i="46"/>
  <c r="R57" i="46" s="1"/>
  <c r="P58" i="46"/>
  <c r="R58" i="46" s="1"/>
  <c r="P52" i="46"/>
  <c r="R52" i="46" s="1"/>
  <c r="P59" i="46"/>
  <c r="R59" i="46" s="1"/>
  <c r="P61" i="46"/>
  <c r="R61" i="46" s="1"/>
  <c r="P55" i="46"/>
  <c r="R55" i="46" s="1"/>
  <c r="T93" i="46"/>
  <c r="T96" i="46" s="1"/>
  <c r="P54" i="46"/>
  <c r="R54" i="46" s="1"/>
  <c r="G12" i="36"/>
  <c r="G15" i="36"/>
  <c r="G14" i="36"/>
  <c r="K34" i="36"/>
  <c r="L34" i="36" s="1"/>
  <c r="N34" i="36" s="1"/>
  <c r="G16" i="36"/>
  <c r="G20" i="36"/>
  <c r="G17" i="36"/>
  <c r="G22" i="36"/>
  <c r="G18" i="36"/>
  <c r="G21" i="36"/>
  <c r="G19" i="36"/>
  <c r="O8" i="18"/>
  <c r="O23" i="18" s="1"/>
  <c r="G11" i="18"/>
  <c r="O11" i="18" s="1"/>
  <c r="G23" i="18"/>
  <c r="O21" i="37"/>
  <c r="G22" i="59"/>
  <c r="R49" i="44"/>
  <c r="R80" i="44" s="1"/>
  <c r="G12" i="40"/>
  <c r="O12" i="37"/>
  <c r="L34" i="26"/>
  <c r="G19" i="40"/>
  <c r="I19" i="37"/>
  <c r="O19" i="37"/>
  <c r="L8" i="50"/>
  <c r="L13" i="50" s="1"/>
  <c r="H11" i="50"/>
  <c r="M34" i="37"/>
  <c r="N34" i="37" s="1"/>
  <c r="M8" i="37"/>
  <c r="G18" i="37"/>
  <c r="O22" i="51"/>
  <c r="O12" i="57"/>
  <c r="O22" i="25"/>
  <c r="H22" i="26"/>
  <c r="L34" i="60"/>
  <c r="G16" i="58"/>
  <c r="G17" i="5"/>
  <c r="O17" i="5" s="1"/>
  <c r="H34" i="5"/>
  <c r="G21" i="5"/>
  <c r="O21" i="5" s="1"/>
  <c r="G23" i="63"/>
  <c r="K13" i="64"/>
  <c r="G12" i="5"/>
  <c r="O12" i="5" s="1"/>
  <c r="F11" i="8"/>
  <c r="V11" i="8" s="1"/>
  <c r="F23" i="8"/>
  <c r="V8" i="8"/>
  <c r="V23" i="8" s="1"/>
  <c r="K9" i="10"/>
  <c r="K12" i="10"/>
  <c r="K40" i="10" s="1"/>
  <c r="F25" i="10"/>
  <c r="O10" i="51"/>
  <c r="M14" i="43"/>
  <c r="F17" i="54"/>
  <c r="O17" i="54" s="1"/>
  <c r="I34" i="34"/>
  <c r="H19" i="34"/>
  <c r="Q19" i="34" s="1"/>
  <c r="H14" i="34"/>
  <c r="Q14" i="34" s="1"/>
  <c r="H18" i="34"/>
  <c r="Q18" i="34" s="1"/>
  <c r="O14" i="51"/>
  <c r="H17" i="34"/>
  <c r="Q17" i="34" s="1"/>
  <c r="M34" i="51"/>
  <c r="H14" i="26"/>
  <c r="H8" i="26"/>
  <c r="L30" i="26"/>
  <c r="G23" i="59"/>
  <c r="I9" i="59" s="1"/>
  <c r="O8" i="59"/>
  <c r="G11" i="59"/>
  <c r="G9" i="26"/>
  <c r="G19" i="26"/>
  <c r="G23" i="26"/>
  <c r="G8" i="26"/>
  <c r="G10" i="26"/>
  <c r="G16" i="26"/>
  <c r="O13" i="57"/>
  <c r="O10" i="25"/>
  <c r="G13" i="37"/>
  <c r="H20" i="34"/>
  <c r="Q20" i="34" s="1"/>
  <c r="G11" i="30"/>
  <c r="H23" i="55"/>
  <c r="N11" i="60"/>
  <c r="G11" i="36"/>
  <c r="O8" i="36"/>
  <c r="Q23" i="6"/>
  <c r="N13" i="58"/>
  <c r="H16" i="26"/>
  <c r="G22" i="37"/>
  <c r="O20" i="25"/>
  <c r="N14" i="19"/>
  <c r="O23" i="21"/>
  <c r="O12" i="60"/>
  <c r="J11" i="49"/>
  <c r="L11" i="49" s="1"/>
  <c r="H34" i="49"/>
  <c r="G12" i="49"/>
  <c r="H12" i="49"/>
  <c r="J34" i="34"/>
  <c r="L34" i="34" s="1"/>
  <c r="G15" i="58"/>
  <c r="M34" i="58"/>
  <c r="G12" i="58"/>
  <c r="G17" i="58"/>
  <c r="G22" i="58"/>
  <c r="N13" i="36"/>
  <c r="M34" i="60"/>
  <c r="G20" i="60"/>
  <c r="G17" i="60"/>
  <c r="G19" i="60"/>
  <c r="O22" i="57"/>
  <c r="G15" i="37"/>
  <c r="O8" i="60"/>
  <c r="G11" i="60"/>
  <c r="G18" i="60"/>
  <c r="O8" i="9"/>
  <c r="O23" i="9" s="1"/>
  <c r="G23" i="9"/>
  <c r="G14" i="60"/>
  <c r="G14" i="58"/>
  <c r="G17" i="37"/>
  <c r="G15" i="5"/>
  <c r="O15" i="5" s="1"/>
  <c r="L11" i="14"/>
  <c r="M11" i="14" s="1"/>
  <c r="O8" i="55"/>
  <c r="O23" i="55" s="1"/>
  <c r="F23" i="55"/>
  <c r="K28" i="5"/>
  <c r="M8" i="38"/>
  <c r="M13" i="38" s="1"/>
  <c r="F11" i="38"/>
  <c r="N11" i="38" s="1"/>
  <c r="C47" i="14"/>
  <c r="I34" i="64"/>
  <c r="K34" i="64" s="1"/>
  <c r="L12" i="10"/>
  <c r="O12" i="27"/>
  <c r="F8" i="10"/>
  <c r="L33" i="10"/>
  <c r="G22" i="5"/>
  <c r="O22" i="5" s="1"/>
  <c r="K34" i="39"/>
  <c r="H40" i="12"/>
  <c r="J40" i="12" s="1"/>
  <c r="L40" i="12" s="1"/>
  <c r="G16" i="12"/>
  <c r="O16" i="12" s="1"/>
  <c r="F11" i="53"/>
  <c r="O11" i="53" s="1"/>
  <c r="M8" i="53"/>
  <c r="O12" i="51"/>
  <c r="K12" i="28"/>
  <c r="K9" i="28"/>
  <c r="J12" i="12"/>
  <c r="L12" i="12" s="1"/>
  <c r="H19" i="49"/>
  <c r="I34" i="49"/>
  <c r="H16" i="49"/>
  <c r="H18" i="49"/>
  <c r="K34" i="54"/>
  <c r="L34" i="51"/>
  <c r="F15" i="51"/>
  <c r="O15" i="51" s="1"/>
  <c r="F20" i="51"/>
  <c r="O20" i="51" s="1"/>
  <c r="H21" i="49"/>
  <c r="F16" i="27"/>
  <c r="O16" i="27" s="1"/>
  <c r="F22" i="27"/>
  <c r="O22" i="27" s="1"/>
  <c r="L34" i="27"/>
  <c r="F19" i="27"/>
  <c r="O19" i="27" s="1"/>
  <c r="F15" i="27"/>
  <c r="O15" i="27" s="1"/>
  <c r="F21" i="27"/>
  <c r="O21" i="27" s="1"/>
  <c r="L11" i="26"/>
  <c r="H16" i="34"/>
  <c r="Q16" i="34" s="1"/>
  <c r="G11" i="57"/>
  <c r="O8" i="57"/>
  <c r="O16" i="57"/>
  <c r="G20" i="5"/>
  <c r="O20" i="5" s="1"/>
  <c r="G22" i="60"/>
  <c r="H18" i="26"/>
  <c r="O23" i="20"/>
  <c r="K34" i="47"/>
  <c r="L34" i="47" s="1"/>
  <c r="H16" i="47"/>
  <c r="H22" i="47"/>
  <c r="L12" i="28"/>
  <c r="H15" i="49"/>
  <c r="G16" i="37"/>
  <c r="N13" i="60"/>
  <c r="Q16" i="30"/>
  <c r="Q18" i="30"/>
  <c r="G21" i="60"/>
  <c r="O19" i="25"/>
  <c r="O10" i="40"/>
  <c r="O13" i="58"/>
  <c r="O10" i="5"/>
  <c r="K11" i="5"/>
  <c r="L34" i="54"/>
  <c r="F15" i="54"/>
  <c r="O15" i="54" s="1"/>
  <c r="F20" i="54"/>
  <c r="O20" i="54" s="1"/>
  <c r="M8" i="14"/>
  <c r="M11" i="39"/>
  <c r="F13" i="54"/>
  <c r="O13" i="54" s="1"/>
  <c r="M14" i="17"/>
  <c r="L40" i="10"/>
  <c r="G25" i="13"/>
  <c r="G29" i="13" s="1"/>
  <c r="K29" i="13"/>
  <c r="H18" i="54"/>
  <c r="V8" i="7"/>
  <c r="F11" i="7"/>
  <c r="V11" i="7" s="1"/>
  <c r="F23" i="7"/>
  <c r="K12" i="11"/>
  <c r="K41" i="11" s="1"/>
  <c r="K9" i="11"/>
  <c r="F26" i="11"/>
  <c r="F30" i="11" s="1"/>
  <c r="G11" i="43"/>
  <c r="O11" i="43" s="1"/>
  <c r="E23" i="47"/>
  <c r="G9" i="30"/>
  <c r="G22" i="30"/>
  <c r="G23" i="30"/>
  <c r="G15" i="30"/>
  <c r="G18" i="30"/>
  <c r="G8" i="30"/>
  <c r="H22" i="49"/>
  <c r="F19" i="51"/>
  <c r="O19" i="51" s="1"/>
  <c r="N34" i="58"/>
  <c r="O16" i="25"/>
  <c r="K9" i="31"/>
  <c r="F25" i="31"/>
  <c r="F29" i="31" s="1"/>
  <c r="K12" i="31"/>
  <c r="K40" i="31" s="1"/>
  <c r="L40" i="31" s="1"/>
  <c r="H8" i="34"/>
  <c r="L30" i="34"/>
  <c r="O8" i="25"/>
  <c r="G11" i="25"/>
  <c r="J12" i="11"/>
  <c r="G41" i="11"/>
  <c r="J41" i="11" s="1"/>
  <c r="O15" i="57"/>
  <c r="O15" i="25"/>
  <c r="O12" i="25"/>
  <c r="G18" i="58"/>
  <c r="O19" i="60" l="1"/>
  <c r="I22" i="59"/>
  <c r="O22" i="59"/>
  <c r="O20" i="40"/>
  <c r="O19" i="17"/>
  <c r="G19" i="42"/>
  <c r="H11" i="28"/>
  <c r="Q11" i="28" s="1"/>
  <c r="L9" i="28"/>
  <c r="L14" i="28" s="1"/>
  <c r="P14" i="28" s="1"/>
  <c r="H11" i="34"/>
  <c r="Q11" i="34" s="1"/>
  <c r="L8" i="34"/>
  <c r="L13" i="34" s="1"/>
  <c r="P13" i="34" s="1"/>
  <c r="G17" i="47"/>
  <c r="G20" i="47"/>
  <c r="G23" i="47"/>
  <c r="G9" i="47"/>
  <c r="G14" i="47"/>
  <c r="G18" i="47"/>
  <c r="G22" i="47"/>
  <c r="G13" i="47"/>
  <c r="G19" i="47"/>
  <c r="G12" i="47"/>
  <c r="G10" i="47"/>
  <c r="G16" i="47"/>
  <c r="G11" i="47"/>
  <c r="G21" i="47"/>
  <c r="G15" i="47"/>
  <c r="O11" i="57"/>
  <c r="O23" i="57" s="1"/>
  <c r="I15" i="58"/>
  <c r="O15" i="58"/>
  <c r="O18" i="36"/>
  <c r="O11" i="25"/>
  <c r="O23" i="25" s="1"/>
  <c r="I11" i="25"/>
  <c r="F16" i="11"/>
  <c r="O16" i="11" s="1"/>
  <c r="F18" i="11"/>
  <c r="O18" i="11" s="1"/>
  <c r="O10" i="11"/>
  <c r="F23" i="11"/>
  <c r="O23" i="11" s="1"/>
  <c r="F20" i="11"/>
  <c r="O20" i="11" s="1"/>
  <c r="F14" i="11"/>
  <c r="O14" i="11" s="1"/>
  <c r="F22" i="11"/>
  <c r="O22" i="11" s="1"/>
  <c r="F17" i="11"/>
  <c r="O17" i="11" s="1"/>
  <c r="O9" i="11"/>
  <c r="F21" i="11"/>
  <c r="O21" i="11" s="1"/>
  <c r="F12" i="11"/>
  <c r="O12" i="11" s="1"/>
  <c r="F19" i="11"/>
  <c r="O19" i="11" s="1"/>
  <c r="G18" i="13"/>
  <c r="O18" i="13" s="1"/>
  <c r="G13" i="13"/>
  <c r="O13" i="13" s="1"/>
  <c r="O9" i="13"/>
  <c r="G21" i="13"/>
  <c r="O21" i="13" s="1"/>
  <c r="G17" i="13"/>
  <c r="O17" i="13" s="1"/>
  <c r="G12" i="13"/>
  <c r="O12" i="13" s="1"/>
  <c r="G22" i="13"/>
  <c r="O22" i="13" s="1"/>
  <c r="O10" i="13"/>
  <c r="G15" i="13"/>
  <c r="O15" i="13" s="1"/>
  <c r="G14" i="13"/>
  <c r="O14" i="13" s="1"/>
  <c r="G20" i="13"/>
  <c r="O20" i="13" s="1"/>
  <c r="G19" i="13"/>
  <c r="O19" i="13" s="1"/>
  <c r="G16" i="13"/>
  <c r="O16" i="13" s="1"/>
  <c r="O21" i="60"/>
  <c r="I21" i="60"/>
  <c r="M34" i="54"/>
  <c r="H8" i="41"/>
  <c r="H8" i="29"/>
  <c r="O17" i="58"/>
  <c r="J34" i="49"/>
  <c r="L34" i="49" s="1"/>
  <c r="G22" i="40"/>
  <c r="O22" i="37"/>
  <c r="I22" i="37"/>
  <c r="F29" i="10"/>
  <c r="H25" i="41"/>
  <c r="H29" i="41" s="1"/>
  <c r="H25" i="29"/>
  <c r="H29" i="29" s="1"/>
  <c r="I17" i="59"/>
  <c r="O17" i="59"/>
  <c r="H11" i="35"/>
  <c r="Q11" i="35" s="1"/>
  <c r="L8" i="35"/>
  <c r="L13" i="35" s="1"/>
  <c r="P13" i="35" s="1"/>
  <c r="G13" i="42"/>
  <c r="O13" i="17"/>
  <c r="Q23" i="16"/>
  <c r="L8" i="47"/>
  <c r="L13" i="47" s="1"/>
  <c r="H11" i="47"/>
  <c r="F11" i="11"/>
  <c r="O11" i="11" s="1"/>
  <c r="L9" i="11"/>
  <c r="L14" i="11" s="1"/>
  <c r="G23" i="25"/>
  <c r="G23" i="57"/>
  <c r="M13" i="53"/>
  <c r="O18" i="60"/>
  <c r="I12" i="58"/>
  <c r="O12" i="58"/>
  <c r="I8" i="59"/>
  <c r="O19" i="36"/>
  <c r="O14" i="36"/>
  <c r="R62" i="46"/>
  <c r="R93" i="46" s="1"/>
  <c r="I11" i="58"/>
  <c r="O11" i="58"/>
  <c r="O23" i="58" s="1"/>
  <c r="I21" i="59"/>
  <c r="O21" i="59"/>
  <c r="H11" i="49"/>
  <c r="H23" i="49" s="1"/>
  <c r="L8" i="49"/>
  <c r="L13" i="49" s="1"/>
  <c r="Q8" i="35"/>
  <c r="Q23" i="35" s="1"/>
  <c r="H23" i="35"/>
  <c r="O15" i="17"/>
  <c r="G15" i="42"/>
  <c r="Q8" i="28"/>
  <c r="N23" i="39"/>
  <c r="H19" i="53"/>
  <c r="H14" i="53"/>
  <c r="H11" i="53"/>
  <c r="H18" i="53"/>
  <c r="H9" i="53"/>
  <c r="H23" i="53" s="1"/>
  <c r="H17" i="53"/>
  <c r="H15" i="53"/>
  <c r="H10" i="53"/>
  <c r="H22" i="53"/>
  <c r="H16" i="53"/>
  <c r="H13" i="53"/>
  <c r="H20" i="53"/>
  <c r="H21" i="53"/>
  <c r="H12" i="53"/>
  <c r="H23" i="47"/>
  <c r="O8" i="11"/>
  <c r="G23" i="60"/>
  <c r="I22" i="60" s="1"/>
  <c r="I15" i="36"/>
  <c r="O15" i="36"/>
  <c r="L9" i="42"/>
  <c r="L12" i="42"/>
  <c r="M12" i="42" s="1"/>
  <c r="M14" i="42" s="1"/>
  <c r="F23" i="53"/>
  <c r="M12" i="7"/>
  <c r="P12" i="7"/>
  <c r="R12" i="7" s="1"/>
  <c r="R14" i="7" s="1"/>
  <c r="F23" i="39"/>
  <c r="M9" i="8"/>
  <c r="M14" i="8" s="1"/>
  <c r="N16" i="8" s="1"/>
  <c r="M16" i="8" s="1"/>
  <c r="E11" i="8"/>
  <c r="E23" i="8" s="1"/>
  <c r="O17" i="60"/>
  <c r="I17" i="60"/>
  <c r="O19" i="40"/>
  <c r="O20" i="42"/>
  <c r="O10" i="42"/>
  <c r="O17" i="42"/>
  <c r="O14" i="42"/>
  <c r="O8" i="42"/>
  <c r="O18" i="42"/>
  <c r="O9" i="42"/>
  <c r="O16" i="42"/>
  <c r="O21" i="42"/>
  <c r="O22" i="42"/>
  <c r="I12" i="59"/>
  <c r="O12" i="59"/>
  <c r="O23" i="53"/>
  <c r="O22" i="60"/>
  <c r="O20" i="60"/>
  <c r="H23" i="26"/>
  <c r="G18" i="40"/>
  <c r="I18" i="37"/>
  <c r="O18" i="37"/>
  <c r="I15" i="59"/>
  <c r="O15" i="59"/>
  <c r="O23" i="15"/>
  <c r="G11" i="40"/>
  <c r="O11" i="37"/>
  <c r="O23" i="37" s="1"/>
  <c r="I11" i="37"/>
  <c r="I23" i="37" s="1"/>
  <c r="O8" i="13"/>
  <c r="O8" i="14"/>
  <c r="F11" i="14"/>
  <c r="O11" i="14" s="1"/>
  <c r="O8" i="31"/>
  <c r="F23" i="54"/>
  <c r="M13" i="39"/>
  <c r="H23" i="27"/>
  <c r="L12" i="11"/>
  <c r="V23" i="7"/>
  <c r="M13" i="14"/>
  <c r="M34" i="39"/>
  <c r="I14" i="58"/>
  <c r="O14" i="58"/>
  <c r="N34" i="60"/>
  <c r="O17" i="36"/>
  <c r="N23" i="38"/>
  <c r="O19" i="59"/>
  <c r="I19" i="59"/>
  <c r="G23" i="15"/>
  <c r="G8" i="40"/>
  <c r="O24" i="12"/>
  <c r="I10" i="59"/>
  <c r="O10" i="59"/>
  <c r="H20" i="51"/>
  <c r="H16" i="51"/>
  <c r="H8" i="51"/>
  <c r="H15" i="51"/>
  <c r="H21" i="51"/>
  <c r="H13" i="51"/>
  <c r="H18" i="51"/>
  <c r="H9" i="51"/>
  <c r="H14" i="51"/>
  <c r="H11" i="51"/>
  <c r="H12" i="51"/>
  <c r="H17" i="51"/>
  <c r="H19" i="51"/>
  <c r="H22" i="51"/>
  <c r="O8" i="43"/>
  <c r="F11" i="51"/>
  <c r="O11" i="51" s="1"/>
  <c r="M8" i="51"/>
  <c r="M13" i="51" s="1"/>
  <c r="I13" i="59"/>
  <c r="E47" i="14"/>
  <c r="G47" i="14" s="1"/>
  <c r="F16" i="14"/>
  <c r="O16" i="14" s="1"/>
  <c r="F17" i="14"/>
  <c r="O17" i="14" s="1"/>
  <c r="F18" i="14"/>
  <c r="O18" i="14" s="1"/>
  <c r="F12" i="14"/>
  <c r="O12" i="14" s="1"/>
  <c r="F22" i="14"/>
  <c r="O22" i="14" s="1"/>
  <c r="F19" i="14"/>
  <c r="O19" i="14" s="1"/>
  <c r="F21" i="14"/>
  <c r="O21" i="14" s="1"/>
  <c r="F20" i="14"/>
  <c r="O20" i="14" s="1"/>
  <c r="F13" i="14"/>
  <c r="O13" i="14" s="1"/>
  <c r="F15" i="14"/>
  <c r="O15" i="14" s="1"/>
  <c r="O21" i="36"/>
  <c r="O8" i="62"/>
  <c r="G11" i="62"/>
  <c r="O11" i="62" s="1"/>
  <c r="G23" i="62"/>
  <c r="I16" i="59"/>
  <c r="O16" i="59"/>
  <c r="O11" i="60"/>
  <c r="H11" i="26"/>
  <c r="L8" i="26"/>
  <c r="L13" i="26" s="1"/>
  <c r="I12" i="36"/>
  <c r="O12" i="36"/>
  <c r="O23" i="36" s="1"/>
  <c r="I14" i="59"/>
  <c r="O14" i="59"/>
  <c r="I9" i="37"/>
  <c r="I10" i="37"/>
  <c r="L9" i="13"/>
  <c r="L14" i="13" s="1"/>
  <c r="P14" i="13" s="1"/>
  <c r="G11" i="13"/>
  <c r="O11" i="13" s="1"/>
  <c r="F11" i="31"/>
  <c r="O11" i="31" s="1"/>
  <c r="L9" i="31"/>
  <c r="L14" i="31" s="1"/>
  <c r="P14" i="31" s="1"/>
  <c r="L41" i="11"/>
  <c r="G8" i="47"/>
  <c r="I16" i="37"/>
  <c r="G16" i="40"/>
  <c r="O16" i="37"/>
  <c r="O17" i="37"/>
  <c r="G17" i="40"/>
  <c r="I17" i="37"/>
  <c r="O22" i="36"/>
  <c r="F13" i="11"/>
  <c r="O13" i="11" s="1"/>
  <c r="O11" i="36"/>
  <c r="G9" i="34"/>
  <c r="G10" i="34"/>
  <c r="G22" i="34"/>
  <c r="G14" i="34"/>
  <c r="G18" i="34"/>
  <c r="G23" i="34"/>
  <c r="G13" i="34"/>
  <c r="G15" i="34"/>
  <c r="G19" i="34"/>
  <c r="G12" i="34"/>
  <c r="G16" i="34"/>
  <c r="G21" i="34"/>
  <c r="G20" i="34"/>
  <c r="G11" i="34"/>
  <c r="G17" i="34"/>
  <c r="G24" i="12"/>
  <c r="L12" i="31"/>
  <c r="N13" i="59"/>
  <c r="H23" i="39"/>
  <c r="I14" i="37"/>
  <c r="H8" i="30"/>
  <c r="L30" i="30"/>
  <c r="O8" i="51"/>
  <c r="F23" i="51"/>
  <c r="O23" i="27"/>
  <c r="Q8" i="34"/>
  <c r="Q23" i="34" s="1"/>
  <c r="I13" i="37"/>
  <c r="G13" i="40"/>
  <c r="O13" i="37"/>
  <c r="I16" i="58"/>
  <c r="O16" i="58"/>
  <c r="G21" i="40"/>
  <c r="I18" i="59"/>
  <c r="O18" i="59"/>
  <c r="O9" i="31"/>
  <c r="O10" i="31"/>
  <c r="F13" i="31"/>
  <c r="O13" i="31" s="1"/>
  <c r="F18" i="31"/>
  <c r="O18" i="31" s="1"/>
  <c r="F20" i="31"/>
  <c r="O20" i="31" s="1"/>
  <c r="F17" i="31"/>
  <c r="O17" i="31" s="1"/>
  <c r="F21" i="31"/>
  <c r="O21" i="31" s="1"/>
  <c r="F14" i="31"/>
  <c r="O14" i="31" s="1"/>
  <c r="F19" i="31"/>
  <c r="O19" i="31" s="1"/>
  <c r="F22" i="31"/>
  <c r="O22" i="31" s="1"/>
  <c r="F12" i="31"/>
  <c r="O12" i="31" s="1"/>
  <c r="F16" i="31"/>
  <c r="O16" i="31" s="1"/>
  <c r="F15" i="31"/>
  <c r="O15" i="31" s="1"/>
  <c r="O11" i="42"/>
  <c r="O14" i="60"/>
  <c r="O23" i="60" s="1"/>
  <c r="G15" i="40"/>
  <c r="I15" i="37"/>
  <c r="O15" i="37"/>
  <c r="I12" i="37"/>
  <c r="O20" i="36"/>
  <c r="O18" i="58"/>
  <c r="H13" i="28"/>
  <c r="Q13" i="28" s="1"/>
  <c r="H20" i="28"/>
  <c r="Q20" i="28" s="1"/>
  <c r="H22" i="28"/>
  <c r="Q22" i="28" s="1"/>
  <c r="H21" i="28"/>
  <c r="Q21" i="28" s="1"/>
  <c r="H17" i="28"/>
  <c r="Q17" i="28" s="1"/>
  <c r="H19" i="28"/>
  <c r="Q19" i="28" s="1"/>
  <c r="H12" i="28"/>
  <c r="Q12" i="28" s="1"/>
  <c r="H18" i="28"/>
  <c r="Q18" i="28" s="1"/>
  <c r="H14" i="28"/>
  <c r="Q14" i="28" s="1"/>
  <c r="H15" i="28"/>
  <c r="Q15" i="28" s="1"/>
  <c r="H16" i="28"/>
  <c r="Q16" i="28" s="1"/>
  <c r="L9" i="10"/>
  <c r="L14" i="10" s="1"/>
  <c r="F11" i="10"/>
  <c r="G8" i="5"/>
  <c r="K8" i="5"/>
  <c r="K13" i="5" s="1"/>
  <c r="O22" i="58"/>
  <c r="G23" i="36"/>
  <c r="I14" i="36" s="1"/>
  <c r="I11" i="59"/>
  <c r="O11" i="59"/>
  <c r="O23" i="59" s="1"/>
  <c r="O12" i="40"/>
  <c r="O16" i="36"/>
  <c r="G23" i="58"/>
  <c r="I17" i="58" s="1"/>
  <c r="I20" i="59"/>
  <c r="O20" i="59"/>
  <c r="M8" i="54"/>
  <c r="M13" i="54" s="1"/>
  <c r="F11" i="54"/>
  <c r="O11" i="54" s="1"/>
  <c r="O23" i="54" s="1"/>
  <c r="O12" i="17"/>
  <c r="O23" i="17" s="1"/>
  <c r="G12" i="42"/>
  <c r="E11" i="7"/>
  <c r="E23" i="7" s="1"/>
  <c r="M9" i="7"/>
  <c r="M14" i="7" s="1"/>
  <c r="H16" i="38"/>
  <c r="H13" i="38"/>
  <c r="H21" i="38"/>
  <c r="H20" i="38"/>
  <c r="H22" i="38"/>
  <c r="H9" i="38"/>
  <c r="H17" i="38"/>
  <c r="H12" i="38"/>
  <c r="H14" i="38"/>
  <c r="H11" i="38"/>
  <c r="H18" i="38"/>
  <c r="H19" i="38"/>
  <c r="H10" i="38"/>
  <c r="H23" i="38" s="1"/>
  <c r="H15" i="38"/>
  <c r="O14" i="40"/>
  <c r="O23" i="3"/>
  <c r="H11" i="48"/>
  <c r="H23" i="48" s="1"/>
  <c r="L8" i="48"/>
  <c r="L13" i="48" s="1"/>
  <c r="F23" i="27"/>
  <c r="O10" i="10" l="1"/>
  <c r="O9" i="10"/>
  <c r="F21" i="10"/>
  <c r="F19" i="10"/>
  <c r="F13" i="10"/>
  <c r="F22" i="10"/>
  <c r="F18" i="10"/>
  <c r="F15" i="10"/>
  <c r="F12" i="10"/>
  <c r="F14" i="10"/>
  <c r="F17" i="10"/>
  <c r="F16" i="10"/>
  <c r="F20" i="10"/>
  <c r="G23" i="5"/>
  <c r="O8" i="5"/>
  <c r="O23" i="5" s="1"/>
  <c r="O21" i="40"/>
  <c r="G23" i="13"/>
  <c r="Q23" i="28"/>
  <c r="I9" i="57"/>
  <c r="I14" i="57"/>
  <c r="I20" i="57"/>
  <c r="I17" i="57"/>
  <c r="I10" i="57"/>
  <c r="I18" i="57"/>
  <c r="I21" i="57"/>
  <c r="I13" i="57"/>
  <c r="I16" i="57"/>
  <c r="I12" i="57"/>
  <c r="I8" i="57"/>
  <c r="I19" i="57"/>
  <c r="I22" i="57"/>
  <c r="I15" i="57"/>
  <c r="Q9" i="29"/>
  <c r="Q10" i="29"/>
  <c r="O11" i="10"/>
  <c r="H11" i="41"/>
  <c r="Q11" i="41" s="1"/>
  <c r="H11" i="29"/>
  <c r="Q11" i="29" s="1"/>
  <c r="I20" i="36"/>
  <c r="H23" i="34"/>
  <c r="I22" i="36"/>
  <c r="O23" i="13"/>
  <c r="H23" i="28"/>
  <c r="I19" i="36"/>
  <c r="I9" i="25"/>
  <c r="I19" i="25"/>
  <c r="I12" i="25"/>
  <c r="I15" i="25"/>
  <c r="I20" i="25"/>
  <c r="I21" i="25"/>
  <c r="I22" i="25"/>
  <c r="I8" i="25"/>
  <c r="I10" i="25"/>
  <c r="I18" i="25"/>
  <c r="I17" i="25"/>
  <c r="I14" i="25"/>
  <c r="I16" i="25"/>
  <c r="I13" i="25"/>
  <c r="Q9" i="41"/>
  <c r="Q10" i="41"/>
  <c r="I11" i="57"/>
  <c r="G23" i="40"/>
  <c r="O8" i="40"/>
  <c r="G15" i="43"/>
  <c r="O15" i="43" s="1"/>
  <c r="O15" i="42"/>
  <c r="Q8" i="29"/>
  <c r="G13" i="43"/>
  <c r="O13" i="43" s="1"/>
  <c r="O13" i="42"/>
  <c r="O8" i="10"/>
  <c r="I16" i="7"/>
  <c r="N16" i="7"/>
  <c r="M16" i="7" s="1"/>
  <c r="O15" i="40"/>
  <c r="O23" i="51"/>
  <c r="I21" i="36"/>
  <c r="I20" i="60"/>
  <c r="I18" i="60"/>
  <c r="I18" i="36"/>
  <c r="O18" i="40"/>
  <c r="I23" i="59"/>
  <c r="H11" i="30"/>
  <c r="Q11" i="30" s="1"/>
  <c r="L8" i="30"/>
  <c r="L13" i="30" s="1"/>
  <c r="P13" i="30" s="1"/>
  <c r="I11" i="36"/>
  <c r="O23" i="14"/>
  <c r="O24" i="11"/>
  <c r="O22" i="40"/>
  <c r="O19" i="42"/>
  <c r="G19" i="43"/>
  <c r="O19" i="43" s="1"/>
  <c r="O17" i="40"/>
  <c r="I17" i="40"/>
  <c r="F23" i="31"/>
  <c r="Q8" i="41"/>
  <c r="I9" i="36"/>
  <c r="I10" i="36"/>
  <c r="I8" i="36"/>
  <c r="I13" i="36"/>
  <c r="O13" i="40"/>
  <c r="O23" i="62"/>
  <c r="H23" i="51"/>
  <c r="O23" i="31"/>
  <c r="O11" i="40"/>
  <c r="I9" i="60"/>
  <c r="I10" i="60"/>
  <c r="I13" i="60"/>
  <c r="I8" i="60"/>
  <c r="I12" i="60"/>
  <c r="I15" i="60"/>
  <c r="I16" i="60"/>
  <c r="I9" i="58"/>
  <c r="I10" i="58"/>
  <c r="I20" i="58"/>
  <c r="I13" i="58"/>
  <c r="I19" i="58"/>
  <c r="I21" i="58"/>
  <c r="I8" i="58"/>
  <c r="I22" i="58"/>
  <c r="I18" i="58"/>
  <c r="O16" i="40"/>
  <c r="I16" i="40"/>
  <c r="I11" i="60"/>
  <c r="O12" i="42"/>
  <c r="O23" i="42" s="1"/>
  <c r="G12" i="43"/>
  <c r="G23" i="42"/>
  <c r="I16" i="36"/>
  <c r="I14" i="60"/>
  <c r="Q8" i="30"/>
  <c r="Q23" i="30" s="1"/>
  <c r="H23" i="30"/>
  <c r="I17" i="36"/>
  <c r="F23" i="14"/>
  <c r="F24" i="11"/>
  <c r="I19" i="60"/>
  <c r="I9" i="40" l="1"/>
  <c r="I10" i="40"/>
  <c r="I19" i="40"/>
  <c r="I14" i="40"/>
  <c r="I20" i="40"/>
  <c r="I12" i="40"/>
  <c r="I8" i="40"/>
  <c r="O18" i="10"/>
  <c r="H18" i="29"/>
  <c r="Q18" i="29" s="1"/>
  <c r="H18" i="41"/>
  <c r="Q18" i="41" s="1"/>
  <c r="I23" i="36"/>
  <c r="I23" i="57"/>
  <c r="O22" i="10"/>
  <c r="H22" i="29"/>
  <c r="Q22" i="29" s="1"/>
  <c r="H22" i="41"/>
  <c r="Q22" i="41" s="1"/>
  <c r="I11" i="40"/>
  <c r="I23" i="25"/>
  <c r="O20" i="10"/>
  <c r="H20" i="29"/>
  <c r="Q20" i="29" s="1"/>
  <c r="H20" i="41"/>
  <c r="Q20" i="41" s="1"/>
  <c r="O13" i="10"/>
  <c r="H13" i="41"/>
  <c r="Q13" i="41" s="1"/>
  <c r="Q23" i="41" s="1"/>
  <c r="H13" i="29"/>
  <c r="Q13" i="29" s="1"/>
  <c r="I23" i="58"/>
  <c r="I22" i="40"/>
  <c r="O16" i="10"/>
  <c r="H16" i="29"/>
  <c r="Q16" i="29" s="1"/>
  <c r="H16" i="41"/>
  <c r="Q16" i="41" s="1"/>
  <c r="O19" i="10"/>
  <c r="H19" i="41"/>
  <c r="Q19" i="41" s="1"/>
  <c r="H19" i="29"/>
  <c r="Q19" i="29" s="1"/>
  <c r="O15" i="10"/>
  <c r="H15" i="41"/>
  <c r="Q15" i="41" s="1"/>
  <c r="H15" i="29"/>
  <c r="Q15" i="29" s="1"/>
  <c r="O12" i="43"/>
  <c r="O23" i="43" s="1"/>
  <c r="G23" i="43"/>
  <c r="I18" i="40"/>
  <c r="I15" i="40"/>
  <c r="H17" i="41"/>
  <c r="Q17" i="41" s="1"/>
  <c r="O17" i="10"/>
  <c r="H17" i="29"/>
  <c r="Q17" i="29" s="1"/>
  <c r="O21" i="10"/>
  <c r="H21" i="41"/>
  <c r="Q21" i="41" s="1"/>
  <c r="H21" i="29"/>
  <c r="Q21" i="29" s="1"/>
  <c r="I23" i="60"/>
  <c r="O14" i="10"/>
  <c r="H14" i="41"/>
  <c r="Q14" i="41" s="1"/>
  <c r="H14" i="29"/>
  <c r="Q14" i="29" s="1"/>
  <c r="I13" i="40"/>
  <c r="F23" i="10"/>
  <c r="O23" i="40"/>
  <c r="I21" i="40"/>
  <c r="O12" i="10"/>
  <c r="O23" i="10" s="1"/>
  <c r="H12" i="41"/>
  <c r="Q12" i="41" s="1"/>
  <c r="H12" i="29"/>
  <c r="Q12" i="29" s="1"/>
  <c r="Q23" i="29" s="1"/>
  <c r="I23" i="40" l="1"/>
  <c r="H23" i="29"/>
  <c r="H23" i="41"/>
</calcChain>
</file>

<file path=xl/comments1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5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comments6.xml><?xml version="1.0" encoding="utf-8"?>
<comments xmlns="http://schemas.openxmlformats.org/spreadsheetml/2006/main">
  <authors>
    <author>thardy</author>
  </authors>
  <commentList>
    <comment ref="K1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Based on Infrastructure Plan.</t>
        </r>
      </text>
    </comment>
  </commentList>
</comments>
</file>

<file path=xl/sharedStrings.xml><?xml version="1.0" encoding="utf-8"?>
<sst xmlns="http://schemas.openxmlformats.org/spreadsheetml/2006/main" count="4082" uniqueCount="251">
  <si>
    <t xml:space="preserve">West Power </t>
  </si>
  <si>
    <t>2002 Plan</t>
  </si>
  <si>
    <t>Per HC</t>
  </si>
  <si>
    <t>New HC</t>
  </si>
  <si>
    <t>Adjust Comp</t>
  </si>
  <si>
    <t xml:space="preserve">% of </t>
  </si>
  <si>
    <t>YTD Actual</t>
  </si>
  <si>
    <t>Forecast</t>
  </si>
  <si>
    <t>Plan</t>
  </si>
  <si>
    <t>Total Exp</t>
  </si>
  <si>
    <t>ENACOMP</t>
  </si>
  <si>
    <t>Compensation</t>
  </si>
  <si>
    <t>Special Pays</t>
  </si>
  <si>
    <t>Analysts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</si>
  <si>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</si>
  <si>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</si>
  <si>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</si>
  <si>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</si>
  <si>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</si>
  <si>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</si>
  <si>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</si>
  <si>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</si>
  <si>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</si>
  <si>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</si>
  <si>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</si>
  <si>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</si>
  <si>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</si>
  <si>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</si>
  <si>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Clerk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</si>
  <si>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</si>
  <si>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</si>
  <si>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</si>
  <si>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</si>
  <si>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</si>
  <si>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</si>
  <si>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</si>
  <si>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</si>
  <si>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</si>
  <si>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</si>
  <si>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</si>
  <si>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</si>
  <si>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</si>
  <si>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</si>
  <si>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</si>
  <si>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</si>
  <si>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</si>
  <si>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</si>
  <si>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</si>
  <si>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</si>
  <si>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</si>
  <si>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</si>
  <si>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</si>
  <si>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</si>
  <si>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</si>
  <si>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Analyst &amp; Associate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</si>
  <si>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</si>
  <si>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</si>
  <si>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</si>
  <si>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</si>
  <si>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</si>
  <si>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</si>
  <si>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</si>
  <si>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</t>
  </si>
  <si>
    <t>2001</t>
  </si>
  <si>
    <t>%</t>
  </si>
  <si>
    <t>2002</t>
  </si>
  <si>
    <t>of Total</t>
  </si>
  <si>
    <t>Analyst &amp; Associates</t>
  </si>
  <si>
    <t>Intern</t>
  </si>
  <si>
    <t>A&amp;A Headcount</t>
  </si>
  <si>
    <t>Mexico</t>
  </si>
  <si>
    <t>Annualized</t>
  </si>
  <si>
    <t>Analyst &amp; Assoicate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</si>
  <si>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</si>
  <si>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</si>
  <si>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</si>
  <si>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</si>
  <si>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</si>
  <si>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</si>
  <si>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</si>
  <si>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</si>
  <si>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</si>
  <si>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</si>
  <si>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</si>
  <si>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</si>
  <si>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</si>
  <si>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</si>
  <si>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</si>
  <si>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</si>
  <si>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East Power</t>
  </si>
  <si>
    <t xml:space="preserve">Canada </t>
  </si>
  <si>
    <t xml:space="preserve">Analysts &amp; Associates  </t>
  </si>
  <si>
    <t>CEO</t>
  </si>
  <si>
    <t>*  Analysts and Associates are billed through normal payroll for Canada.</t>
  </si>
  <si>
    <t>Adjusted Amts</t>
  </si>
  <si>
    <t>Admins</t>
  </si>
  <si>
    <t>Analysts</t>
  </si>
  <si>
    <t>Sr Specialst</t>
  </si>
  <si>
    <t>Managers</t>
  </si>
  <si>
    <t>Directors</t>
  </si>
  <si>
    <t>Sr Director</t>
  </si>
  <si>
    <t>Vice President</t>
  </si>
  <si>
    <t>Managing Dir</t>
  </si>
  <si>
    <t>Analysts &amp; Associate Headcount</t>
  </si>
  <si>
    <t>Benefits &amp; Taxes</t>
  </si>
  <si>
    <t>Also adjusted up to reach a total of $800k.</t>
  </si>
  <si>
    <t>Financial Operations</t>
  </si>
  <si>
    <t>Reporting, GL, Trading &amp; Transaction Support</t>
  </si>
  <si>
    <t>Cash Operations</t>
  </si>
  <si>
    <t>Adj Comp</t>
  </si>
  <si>
    <t>Sr Specialist</t>
  </si>
  <si>
    <t xml:space="preserve">This was adjusted up 600,000 </t>
  </si>
  <si>
    <t>for Audit fees during the year.</t>
  </si>
  <si>
    <t>It was also adjusted 704,684</t>
  </si>
  <si>
    <t xml:space="preserve">to get to a total of 7,000,000 </t>
  </si>
  <si>
    <t>for the BA&amp;R group.</t>
  </si>
  <si>
    <t xml:space="preserve">This was adjusted up 360,000 </t>
  </si>
  <si>
    <t>for consulting fees during the year.</t>
  </si>
  <si>
    <t>Regulatory Affairs</t>
  </si>
  <si>
    <t>Coordinator</t>
  </si>
  <si>
    <t>Based on Legal Expenses</t>
  </si>
  <si>
    <t>General Counsel Asst</t>
  </si>
  <si>
    <t xml:space="preserve">Credit </t>
  </si>
  <si>
    <t>Credit</t>
  </si>
  <si>
    <t>Analyst &amp; Associate</t>
  </si>
  <si>
    <t>Exec. Asst.</t>
  </si>
  <si>
    <t>EVP/CRO</t>
  </si>
  <si>
    <t>Human Resources</t>
  </si>
  <si>
    <t>EOPs/Risk</t>
  </si>
  <si>
    <t>IT</t>
  </si>
  <si>
    <t>Accounting</t>
  </si>
  <si>
    <t>Legal</t>
  </si>
  <si>
    <t>Sr. Counsel</t>
  </si>
  <si>
    <t>Toronto</t>
  </si>
  <si>
    <t>SAP</t>
  </si>
  <si>
    <t>Consultants</t>
  </si>
  <si>
    <t>Based on information from ENW accounting.</t>
  </si>
  <si>
    <t>IT Development</t>
  </si>
  <si>
    <t>Tech</t>
  </si>
  <si>
    <t>IT Consultants</t>
  </si>
  <si>
    <t>Consulatant</t>
  </si>
  <si>
    <t>EOL Support</t>
  </si>
  <si>
    <t>Sr Counsel</t>
  </si>
  <si>
    <t>VP - Counsel</t>
  </si>
  <si>
    <t>Outside Legal - $5,000,000</t>
  </si>
  <si>
    <t>COO</t>
  </si>
  <si>
    <t>Enron North America</t>
  </si>
  <si>
    <t>VAR Limit</t>
  </si>
  <si>
    <t>Gross Margin</t>
  </si>
  <si>
    <t>Direct Expenses</t>
  </si>
  <si>
    <t>EBIT</t>
  </si>
  <si>
    <t xml:space="preserve"> </t>
  </si>
  <si>
    <t>West Power Trading/Origination- Portland</t>
  </si>
  <si>
    <t>Total Commercial</t>
  </si>
  <si>
    <t>Accounting, Transaction Support</t>
  </si>
  <si>
    <t>Energy Ops</t>
  </si>
  <si>
    <t>Gas Logistics</t>
  </si>
  <si>
    <t>Gas Book Running</t>
  </si>
  <si>
    <t>Gas Settlements</t>
  </si>
  <si>
    <t>Gas Volume Mgmt</t>
  </si>
  <si>
    <t>Power Logistics</t>
  </si>
  <si>
    <t>Power Book Running</t>
  </si>
  <si>
    <t>Power Settlements</t>
  </si>
  <si>
    <t>Power Volume Mgmt</t>
  </si>
  <si>
    <t>Canada</t>
  </si>
  <si>
    <t>HR</t>
  </si>
  <si>
    <t>Canada Support</t>
  </si>
  <si>
    <t xml:space="preserve">Rent </t>
  </si>
  <si>
    <t>Bonus</t>
  </si>
  <si>
    <t>Total Group</t>
  </si>
  <si>
    <t>Infrastructure costs include amounts for desktop support, e-mail administration, security,</t>
  </si>
  <si>
    <t>IT Development costs includes amounts for maintenance and enhancements to</t>
  </si>
  <si>
    <t xml:space="preserve">Enpower, Sitara, Unify, TAGG, ERMS, and other trading systems along </t>
  </si>
  <si>
    <t>with Oracle and Tibco licenses.</t>
  </si>
  <si>
    <t xml:space="preserve">Energy Operations </t>
  </si>
  <si>
    <t>Energy Operations</t>
  </si>
  <si>
    <t xml:space="preserve">communications (long distance, trading turrets, phones, cables), licenses (Microsoft, etc), </t>
  </si>
  <si>
    <t>market data feeds, T1 lines, internet access, WAN, LAN, etc.</t>
  </si>
  <si>
    <t>Weather</t>
  </si>
  <si>
    <t>Market Risk</t>
  </si>
  <si>
    <t>East Power Trading/Orig</t>
  </si>
  <si>
    <t>Canada Gas/Power Trading/Orig</t>
  </si>
  <si>
    <t>IT- Development *</t>
  </si>
  <si>
    <t>IT- Infrastructure**</t>
  </si>
  <si>
    <t>IT- EOL</t>
  </si>
  <si>
    <t>IT- EOL Support</t>
  </si>
  <si>
    <t>Houston &amp; Other</t>
  </si>
  <si>
    <t>Portland</t>
  </si>
  <si>
    <t>Houston Fundamentals/Structuring, CABC, and Weather</t>
  </si>
  <si>
    <t>ENE Service Level Agreements</t>
  </si>
  <si>
    <t>Natural Gas Fundamentals</t>
  </si>
  <si>
    <t>Natural Gas Structuring</t>
  </si>
  <si>
    <t>West Power Fundamentals</t>
  </si>
  <si>
    <t>West Power Structuring</t>
  </si>
  <si>
    <t>East Power Fundamentals</t>
  </si>
  <si>
    <t>East Power Structuring</t>
  </si>
  <si>
    <t>Structuring</t>
  </si>
  <si>
    <t xml:space="preserve"> Fundamentals</t>
  </si>
  <si>
    <t>Includes 1 HR</t>
  </si>
  <si>
    <t>Information Technology</t>
  </si>
  <si>
    <t>`</t>
  </si>
  <si>
    <t>2000 YTD</t>
  </si>
  <si>
    <t>2001 Oct YTD</t>
  </si>
  <si>
    <t>HPL/Upstream/Bridgeline</t>
  </si>
  <si>
    <t>Merchant</t>
  </si>
  <si>
    <t>Office of the Chairman</t>
  </si>
  <si>
    <t>Cash Operations and Tax</t>
  </si>
  <si>
    <t>Other Corporate Charges</t>
  </si>
  <si>
    <t>Moved $2.4 of SAP costs here, and decreased HC by 12</t>
  </si>
  <si>
    <t>and moved $2.0 for SAP cost of system and maintenance</t>
  </si>
  <si>
    <t>Total Expenses</t>
  </si>
  <si>
    <t>Houston Gas Trading/Orig (includes Mexico)</t>
  </si>
  <si>
    <t>2002 Expenses</t>
  </si>
  <si>
    <t xml:space="preserve">*IT Development includes systems maintenance and enhancements of ERMS, TAGG, </t>
  </si>
  <si>
    <t>EnPower, Sitara, Unify, etc. and license fees for Oracle and Tibco</t>
  </si>
  <si>
    <t>**IT Infrastructure includes desk top support, communications, market data feeds, licenses,</t>
  </si>
  <si>
    <t xml:space="preserve"> servers, tie lines, remote office support, WAN, and LAN.</t>
  </si>
  <si>
    <t>Includes 1 from Reg Affairs</t>
  </si>
  <si>
    <t>includes 1 Analyst</t>
  </si>
  <si>
    <t>Research/Market Risk</t>
  </si>
  <si>
    <t>Documentation</t>
  </si>
  <si>
    <t>Management</t>
  </si>
  <si>
    <t>Houston Gas Trading</t>
  </si>
  <si>
    <t>Houston Gas Origination (includes Mexico)</t>
  </si>
  <si>
    <t>East Power Trading</t>
  </si>
  <si>
    <t>East Power Origination</t>
  </si>
  <si>
    <t>West Power Trading- Portland</t>
  </si>
  <si>
    <t>West Power Origination- Portland</t>
  </si>
  <si>
    <t>Canada Gas/Power Trading</t>
  </si>
  <si>
    <t>Canada Gas/Power Origination</t>
  </si>
  <si>
    <t>Leadership(Office of the Chair)</t>
  </si>
  <si>
    <t>Analysts &amp; Associates Directly Supporting Commercial Teams</t>
  </si>
  <si>
    <t>Admins for Commercial Teams</t>
  </si>
  <si>
    <t>Natural Gas Trading</t>
  </si>
  <si>
    <t>Natural Gas Origination</t>
  </si>
  <si>
    <t>Natural Gas Analyst &amp; Associate</t>
  </si>
  <si>
    <t>Natural Gas Admins</t>
  </si>
  <si>
    <t>East Power Analyst &amp; Associate</t>
  </si>
  <si>
    <t>East Power Admins</t>
  </si>
  <si>
    <t>West Power Trading</t>
  </si>
  <si>
    <t>West Power Origination</t>
  </si>
  <si>
    <t>West Power Analyst &amp; Associate</t>
  </si>
  <si>
    <t>West Power Admins</t>
  </si>
  <si>
    <t>Canada Trading</t>
  </si>
  <si>
    <t>Canada Origination</t>
  </si>
  <si>
    <t>Canada Analyst &amp; Associate</t>
  </si>
  <si>
    <t>Canada Admins</t>
  </si>
  <si>
    <t>Based on Headcount of 850</t>
  </si>
  <si>
    <t>Market Risk/Research</t>
  </si>
  <si>
    <t>Market Data</t>
  </si>
  <si>
    <t>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</si>
</sst>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7" formatCode="_(* #,##0.0_);_(* \(#,##0.0\);_(* &quot;-&quot;??_);_(@_)"/>
    <numFmt numFmtId="168" formatCode="_(* #,##0.0_);_(* \(#,##0.0\);_(* &quot;-&quot;?_);_(@_)"/>
    <numFmt numFmtId="169" formatCode="0.0%"/>
    <numFmt numFmtId="188" formatCode="0.0"/>
    <numFmt numFmtId="189" formatCode="_(* #,##0_);_(* \(#,##0\);_(* &quot;-&quot;?_);_(@_)"/>
  </numFmts>
  <fonts count="12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7" fontId="3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9" fontId="6" fillId="0" borderId="0" xfId="5" applyFont="1" applyProtection="1"/>
    <xf numFmtId="165" fontId="1" fillId="0" borderId="0" xfId="3" applyNumberFormat="1" applyBorder="1"/>
    <xf numFmtId="165" fontId="0" fillId="0" borderId="5" xfId="0" applyNumberFormat="1" applyBorder="1"/>
    <xf numFmtId="165" fontId="1" fillId="0" borderId="0" xfId="3" applyNumberFormat="1" applyBorder="1" applyAlignment="1">
      <alignment horizontal="center"/>
    </xf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65" fontId="1" fillId="0" borderId="0" xfId="3" applyNumberFormat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6" fontId="6" fillId="0" borderId="0" xfId="4" applyNumberFormat="1" applyFont="1" applyBorder="1"/>
    <xf numFmtId="9" fontId="6" fillId="0" borderId="9" xfId="5" applyFont="1" applyBorder="1"/>
    <xf numFmtId="165" fontId="6" fillId="0" borderId="9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165" fontId="2" fillId="0" borderId="0" xfId="3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5" xfId="3" applyNumberFormat="1" applyBorder="1"/>
    <xf numFmtId="17" fontId="3" fillId="0" borderId="0" xfId="0" quotePrefix="1" applyNumberFormat="1" applyFont="1" applyFill="1" applyBorder="1" applyAlignment="1" applyProtection="1">
      <alignment horizontal="center"/>
    </xf>
    <xf numFmtId="169" fontId="6" fillId="0" borderId="0" xfId="5" applyNumberFormat="1" applyFont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0" fillId="0" borderId="0" xfId="0" applyNumberFormat="1"/>
    <xf numFmtId="165" fontId="1" fillId="0" borderId="0" xfId="3" applyNumberFormat="1" applyFont="1"/>
    <xf numFmtId="169" fontId="6" fillId="0" borderId="9" xfId="5" applyNumberFormat="1" applyFont="1" applyBorder="1"/>
    <xf numFmtId="9" fontId="1" fillId="0" borderId="0" xfId="5"/>
    <xf numFmtId="165" fontId="6" fillId="0" borderId="0" xfId="3" applyNumberFormat="1" applyFont="1" applyAlignment="1" applyProtection="1">
      <alignment horizontal="right"/>
    </xf>
    <xf numFmtId="166" fontId="0" fillId="0" borderId="0" xfId="0" applyNumberFormat="1"/>
    <xf numFmtId="0" fontId="0" fillId="0" borderId="9" xfId="0" applyFill="1" applyBorder="1"/>
    <xf numFmtId="0" fontId="1" fillId="0" borderId="0" xfId="3" applyNumberFormat="1" applyAlignment="1">
      <alignment horizontal="center"/>
    </xf>
    <xf numFmtId="0" fontId="8" fillId="0" borderId="0" xfId="0" applyFont="1" applyAlignment="1">
      <alignment horizontal="center"/>
    </xf>
    <xf numFmtId="166" fontId="6" fillId="0" borderId="10" xfId="4" applyNumberFormat="1" applyFont="1" applyBorder="1"/>
    <xf numFmtId="165" fontId="0" fillId="0" borderId="9" xfId="0" applyNumberFormat="1" applyBorder="1"/>
    <xf numFmtId="0" fontId="0" fillId="0" borderId="0" xfId="0" applyFill="1" applyBorder="1"/>
    <xf numFmtId="0" fontId="6" fillId="0" borderId="9" xfId="2" applyNumberFormat="1" applyFont="1" applyBorder="1" applyProtection="1"/>
    <xf numFmtId="0" fontId="0" fillId="0" borderId="11" xfId="0" applyBorder="1"/>
    <xf numFmtId="0" fontId="0" fillId="0" borderId="12" xfId="0" applyBorder="1"/>
    <xf numFmtId="165" fontId="1" fillId="0" borderId="12" xfId="3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4" xfId="0" applyFont="1" applyBorder="1"/>
    <xf numFmtId="165" fontId="1" fillId="0" borderId="15" xfId="3" applyNumberFormat="1" applyBorder="1"/>
    <xf numFmtId="0" fontId="0" fillId="0" borderId="16" xfId="0" applyBorder="1"/>
    <xf numFmtId="165" fontId="1" fillId="0" borderId="17" xfId="3" applyNumberFormat="1" applyBorder="1"/>
    <xf numFmtId="165" fontId="1" fillId="0" borderId="18" xfId="3" applyNumberFormat="1" applyBorder="1"/>
    <xf numFmtId="166" fontId="6" fillId="0" borderId="9" xfId="4" applyNumberFormat="1" applyFont="1" applyFill="1" applyBorder="1"/>
    <xf numFmtId="165" fontId="1" fillId="0" borderId="5" xfId="3" applyNumberFormat="1" applyFill="1" applyBorder="1" applyAlignment="1">
      <alignment horizontal="center"/>
    </xf>
    <xf numFmtId="165" fontId="0" fillId="0" borderId="0" xfId="0" applyNumberFormat="1" applyBorder="1"/>
    <xf numFmtId="0" fontId="3" fillId="0" borderId="0" xfId="0" quotePrefix="1" applyNumberFormat="1" applyFont="1" applyFill="1" applyBorder="1" applyAlignment="1" applyProtection="1">
      <alignment horizontal="center"/>
    </xf>
    <xf numFmtId="0" fontId="9" fillId="0" borderId="0" xfId="0" applyFont="1"/>
    <xf numFmtId="43" fontId="1" fillId="0" borderId="0" xfId="3" applyBorder="1"/>
    <xf numFmtId="165" fontId="0" fillId="0" borderId="9" xfId="0" applyNumberFormat="1" applyFill="1" applyBorder="1"/>
    <xf numFmtId="165" fontId="6" fillId="0" borderId="17" xfId="3" applyNumberFormat="1" applyFont="1" applyBorder="1" applyProtection="1"/>
    <xf numFmtId="164" fontId="2" fillId="0" borderId="0" xfId="0" applyNumberFormat="1" applyFont="1" applyBorder="1" applyAlignment="1" applyProtection="1">
      <alignment horizontal="center"/>
    </xf>
    <xf numFmtId="165" fontId="1" fillId="0" borderId="0" xfId="3" applyNumberForma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7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7" fontId="1" fillId="0" borderId="21" xfId="3" applyNumberFormat="1" applyBorder="1"/>
    <xf numFmtId="167" fontId="1" fillId="0" borderId="0" xfId="3" applyNumberFormat="1"/>
    <xf numFmtId="167" fontId="1" fillId="0" borderId="0" xfId="3" applyNumberFormat="1" applyFont="1"/>
    <xf numFmtId="0" fontId="0" fillId="0" borderId="21" xfId="0" applyBorder="1"/>
    <xf numFmtId="167" fontId="1" fillId="0" borderId="22" xfId="3" applyNumberFormat="1" applyBorder="1"/>
    <xf numFmtId="0" fontId="0" fillId="0" borderId="22" xfId="0" applyBorder="1"/>
    <xf numFmtId="165" fontId="1" fillId="0" borderId="21" xfId="3" applyNumberFormat="1" applyBorder="1"/>
    <xf numFmtId="168" fontId="0" fillId="0" borderId="22" xfId="0" applyNumberFormat="1" applyBorder="1"/>
    <xf numFmtId="168" fontId="0" fillId="0" borderId="23" xfId="0" applyNumberFormat="1" applyBorder="1"/>
    <xf numFmtId="189" fontId="0" fillId="0" borderId="23" xfId="0" applyNumberFormat="1" applyBorder="1"/>
    <xf numFmtId="0" fontId="0" fillId="0" borderId="20" xfId="0" applyBorder="1"/>
    <xf numFmtId="168" fontId="0" fillId="0" borderId="21" xfId="0" applyNumberFormat="1" applyBorder="1"/>
    <xf numFmtId="189" fontId="0" fillId="0" borderId="21" xfId="0" applyNumberFormat="1" applyBorder="1"/>
    <xf numFmtId="167" fontId="0" fillId="0" borderId="21" xfId="0" applyNumberFormat="1" applyBorder="1"/>
    <xf numFmtId="43" fontId="1" fillId="0" borderId="21" xfId="3" applyBorder="1"/>
    <xf numFmtId="167" fontId="1" fillId="0" borderId="20" xfId="3" applyNumberFormat="1" applyBorder="1"/>
    <xf numFmtId="167" fontId="1" fillId="0" borderId="21" xfId="3" applyNumberFormat="1" applyFont="1" applyBorder="1"/>
    <xf numFmtId="167" fontId="1" fillId="0" borderId="0" xfId="3" applyNumberFormat="1" applyBorder="1"/>
    <xf numFmtId="168" fontId="0" fillId="0" borderId="0" xfId="0" applyNumberFormat="1" applyBorder="1"/>
    <xf numFmtId="167" fontId="0" fillId="0" borderId="23" xfId="0" applyNumberFormat="1" applyBorder="1"/>
    <xf numFmtId="165" fontId="0" fillId="0" borderId="23" xfId="0" applyNumberFormat="1" applyBorder="1"/>
    <xf numFmtId="165" fontId="6" fillId="0" borderId="0" xfId="3" applyNumberFormat="1" applyFont="1" applyAlignment="1" applyProtection="1">
      <alignment horizontal="center"/>
    </xf>
    <xf numFmtId="165" fontId="6" fillId="0" borderId="0" xfId="3" applyNumberFormat="1" applyFont="1" applyAlignment="1" applyProtection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165" fontId="1" fillId="0" borderId="21" xfId="3" applyNumberFormat="1" applyFont="1" applyBorder="1"/>
    <xf numFmtId="188" fontId="0" fillId="0" borderId="21" xfId="0" applyNumberFormat="1" applyBorder="1"/>
    <xf numFmtId="188" fontId="0" fillId="0" borderId="0" xfId="0" applyNumberFormat="1" applyBorder="1"/>
    <xf numFmtId="43" fontId="1" fillId="0" borderId="21" xfId="3" applyFont="1" applyBorder="1"/>
    <xf numFmtId="43" fontId="1" fillId="0" borderId="22" xfId="3" applyFont="1" applyBorder="1"/>
    <xf numFmtId="167" fontId="0" fillId="0" borderId="0" xfId="0" applyNumberFormat="1" applyBorder="1"/>
    <xf numFmtId="167" fontId="1" fillId="0" borderId="23" xfId="3" applyNumberFormat="1" applyBorder="1"/>
    <xf numFmtId="165" fontId="1" fillId="0" borderId="23" xfId="3" applyNumberFormat="1" applyBorder="1"/>
    <xf numFmtId="0" fontId="7" fillId="0" borderId="25" xfId="0" applyFont="1" applyBorder="1" applyAlignment="1">
      <alignment horizontal="center"/>
    </xf>
    <xf numFmtId="0" fontId="0" fillId="0" borderId="17" xfId="0" applyBorder="1"/>
    <xf numFmtId="43" fontId="6" fillId="0" borderId="0" xfId="3" applyFont="1" applyBorder="1" applyProtection="1"/>
    <xf numFmtId="0" fontId="7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4" fontId="2" fillId="0" borderId="0" xfId="0" quotePrefix="1" applyNumberFormat="1" applyFont="1" applyAlignment="1" applyProtection="1">
      <alignment horizontal="center"/>
    </xf>
    <xf numFmtId="44" fontId="2" fillId="0" borderId="0" xfId="4" applyFont="1" applyAlignment="1" applyProtection="1">
      <alignment horizontal="center"/>
    </xf>
    <xf numFmtId="0" fontId="0" fillId="0" borderId="0" xfId="0" applyBorder="1" applyAlignment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10.xml"/><Relationship Id="rId68" Type="http://schemas.openxmlformats.org/officeDocument/2006/relationships/externalLink" Target="externalLinks/externalLink1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5.xml"/><Relationship Id="rId66" Type="http://schemas.openxmlformats.org/officeDocument/2006/relationships/externalLink" Target="externalLinks/externalLink13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64" Type="http://schemas.openxmlformats.org/officeDocument/2006/relationships/externalLink" Target="externalLinks/externalLink11.xml"/><Relationship Id="rId69" Type="http://schemas.openxmlformats.org/officeDocument/2006/relationships/externalLink" Target="externalLinks/externalLink16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6.xml"/><Relationship Id="rId67" Type="http://schemas.openxmlformats.org/officeDocument/2006/relationships/externalLink" Target="externalLinks/externalLink1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62" Type="http://schemas.openxmlformats.org/officeDocument/2006/relationships/externalLink" Target="externalLinks/externalLink9.xml"/><Relationship Id="rId70" Type="http://schemas.openxmlformats.org/officeDocument/2006/relationships/externalLink" Target="externalLinks/externalLink17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7.xml"/><Relationship Id="rId65" Type="http://schemas.openxmlformats.org/officeDocument/2006/relationships/externalLink" Target="externalLinks/externalLink12.xml"/><Relationship Id="rId73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Mexic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anada%20Sup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S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Infr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Developmen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IT_EO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Leg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Office%20of%20the%20Chair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WPR%20Trading%20Repor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West%20Power%20Consolidat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Natural%20Gas%20Consoli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anada%20Consolidat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East%20Power%20Consolidat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an%20Gas%20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Tax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Business%20Analysis%20&amp;%20Report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Regulatory%20Affai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Competitive%20Analys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Researc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port/Local%20Settings/Temporary%20Internet%20Files/OLK1CC/Human%20Resour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875383.82000000007</v>
          </cell>
        </row>
        <row r="26">
          <cell r="BA26">
            <v>1391356.79</v>
          </cell>
        </row>
        <row r="27">
          <cell r="BA27">
            <v>346014.38</v>
          </cell>
        </row>
        <row r="28">
          <cell r="BA28">
            <v>254648.69</v>
          </cell>
        </row>
        <row r="29">
          <cell r="BA29">
            <v>219222.49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338677.74</v>
          </cell>
        </row>
        <row r="33">
          <cell r="BA33">
            <v>18696.41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101842.32</v>
          </cell>
        </row>
        <row r="37">
          <cell r="BA37">
            <v>8504.1700000000019</v>
          </cell>
        </row>
        <row r="38">
          <cell r="BA38">
            <v>299.52</v>
          </cell>
        </row>
        <row r="39">
          <cell r="BA39">
            <v>0</v>
          </cell>
        </row>
        <row r="40">
          <cell r="BA40">
            <v>70087.89999999998</v>
          </cell>
        </row>
        <row r="41">
          <cell r="BA41">
            <v>13379</v>
          </cell>
        </row>
        <row r="42">
          <cell r="BA42">
            <v>434790.6</v>
          </cell>
        </row>
        <row r="43">
          <cell r="BA43">
            <v>0</v>
          </cell>
        </row>
        <row r="44">
          <cell r="BA44">
            <v>162014.10000000003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Support</v>
          </cell>
        </row>
      </sheetData>
      <sheetData sheetId="1">
        <row r="1">
          <cell r="B1" t="str">
            <v>Enron North America</v>
          </cell>
        </row>
        <row r="25">
          <cell r="BA25">
            <v>3097005.1799999992</v>
          </cell>
        </row>
        <row r="26">
          <cell r="BA26">
            <v>405010.39999999997</v>
          </cell>
        </row>
        <row r="27">
          <cell r="BA27">
            <v>309437.02</v>
          </cell>
        </row>
        <row r="28">
          <cell r="BA28">
            <v>270791.23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5703579.5799999991</v>
          </cell>
        </row>
        <row r="33">
          <cell r="BA33">
            <v>132382.80000000002</v>
          </cell>
        </row>
        <row r="34">
          <cell r="BA34">
            <v>0</v>
          </cell>
        </row>
        <row r="35">
          <cell r="BA35">
            <v>36209.440000000002</v>
          </cell>
        </row>
        <row r="36">
          <cell r="BA36">
            <v>489327.92000000004</v>
          </cell>
        </row>
        <row r="37">
          <cell r="BA37">
            <v>23628.120000000003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25924.200000000004</v>
          </cell>
        </row>
        <row r="41">
          <cell r="BA41">
            <v>1904.7300000000002</v>
          </cell>
        </row>
        <row r="42">
          <cell r="BA42">
            <v>308878.27000000008</v>
          </cell>
        </row>
        <row r="43">
          <cell r="BA43">
            <v>-612901.88</v>
          </cell>
        </row>
        <row r="44">
          <cell r="BA44">
            <v>30.12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17469588.960000001</v>
          </cell>
        </row>
        <row r="26">
          <cell r="BA26">
            <v>1272399.6399999999</v>
          </cell>
        </row>
        <row r="27">
          <cell r="BA27">
            <v>141777.57</v>
          </cell>
        </row>
        <row r="28">
          <cell r="BA28">
            <v>100051.51000000001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13823042.719999999</v>
          </cell>
        </row>
        <row r="33">
          <cell r="BA33">
            <v>7559.4299999999994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91694.450000000012</v>
          </cell>
        </row>
        <row r="37">
          <cell r="BA37">
            <v>-7331217.4600000009</v>
          </cell>
        </row>
        <row r="38">
          <cell r="BA38">
            <v>0</v>
          </cell>
        </row>
        <row r="39">
          <cell r="BA39">
            <v>-7489842.25</v>
          </cell>
        </row>
        <row r="40">
          <cell r="BA40">
            <v>2999489.79</v>
          </cell>
        </row>
        <row r="41">
          <cell r="BA41">
            <v>205055.58999999997</v>
          </cell>
        </row>
        <row r="42">
          <cell r="BA42">
            <v>24774212.690000001</v>
          </cell>
        </row>
        <row r="43">
          <cell r="BA43">
            <v>42687168.700000003</v>
          </cell>
        </row>
        <row r="44">
          <cell r="BA44">
            <v>16.600000000000001</v>
          </cell>
        </row>
        <row r="45">
          <cell r="BA45">
            <v>8186094.0700000003</v>
          </cell>
        </row>
      </sheetData>
      <sheetData sheetId="2" refreshError="1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Office of the Chair</v>
          </cell>
        </row>
      </sheetData>
      <sheetData sheetId="1">
        <row r="1">
          <cell r="B1" t="str">
            <v>Enron North America</v>
          </cell>
        </row>
        <row r="25">
          <cell r="BA25">
            <v>888807.72</v>
          </cell>
        </row>
        <row r="26">
          <cell r="BA26">
            <v>249788.37</v>
          </cell>
        </row>
        <row r="27">
          <cell r="BA27">
            <v>180082.12999999998</v>
          </cell>
        </row>
        <row r="28">
          <cell r="BA28">
            <v>201416.5</v>
          </cell>
        </row>
        <row r="29">
          <cell r="BA29">
            <v>143473.75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10998.160000000003</v>
          </cell>
        </row>
        <row r="34">
          <cell r="BA34">
            <v>0</v>
          </cell>
        </row>
        <row r="35">
          <cell r="BA35">
            <v>25000</v>
          </cell>
        </row>
        <row r="36">
          <cell r="BA36">
            <v>2602.3200000000002</v>
          </cell>
        </row>
        <row r="37">
          <cell r="BA37">
            <v>40643.17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47150.06</v>
          </cell>
        </row>
        <row r="41">
          <cell r="BA41">
            <v>150417.00999999998</v>
          </cell>
        </row>
        <row r="42">
          <cell r="BA42">
            <v>243106036.81999999</v>
          </cell>
        </row>
        <row r="43">
          <cell r="BA43">
            <v>7417.54</v>
          </cell>
        </row>
        <row r="44">
          <cell r="BA44">
            <v>78.789999999999992</v>
          </cell>
        </row>
        <row r="45">
          <cell r="BA45">
            <v>11194108.379999999</v>
          </cell>
        </row>
      </sheetData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West Power"/>
      <sheetName val="Fund-Struct"/>
      <sheetName val="Executive Orig"/>
      <sheetName val="Origination"/>
      <sheetName val="Trading"/>
      <sheetName val="Mid Market"/>
      <sheetName val="Services"/>
      <sheetName val="Fundamentals"/>
    </sheetNames>
    <sheetDataSet>
      <sheetData sheetId="0"/>
      <sheetData sheetId="1"/>
      <sheetData sheetId="2">
        <row r="8">
          <cell r="C8">
            <v>239634.01</v>
          </cell>
        </row>
        <row r="9">
          <cell r="C9">
            <v>40000</v>
          </cell>
        </row>
        <row r="10">
          <cell r="C10">
            <v>16800</v>
          </cell>
        </row>
        <row r="11">
          <cell r="C11">
            <v>39290.629999999997</v>
          </cell>
        </row>
        <row r="12">
          <cell r="C12">
            <v>17889.27</v>
          </cell>
        </row>
        <row r="13">
          <cell r="C13">
            <v>43129.5</v>
          </cell>
        </row>
        <row r="14">
          <cell r="C14">
            <v>45237.920000000006</v>
          </cell>
        </row>
        <row r="15">
          <cell r="C15">
            <v>4511.29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3818.79</v>
          </cell>
        </row>
        <row r="19">
          <cell r="C19">
            <v>18427.650000000001</v>
          </cell>
        </row>
        <row r="20">
          <cell r="C20">
            <v>0</v>
          </cell>
        </row>
        <row r="21">
          <cell r="C21">
            <v>23306.050000000003</v>
          </cell>
        </row>
        <row r="22">
          <cell r="C22">
            <v>1425.29</v>
          </cell>
        </row>
        <row r="25">
          <cell r="E25">
            <v>4</v>
          </cell>
        </row>
        <row r="27">
          <cell r="E27">
            <v>2</v>
          </cell>
        </row>
      </sheetData>
      <sheetData sheetId="3">
        <row r="8">
          <cell r="C8">
            <v>1414950.6999999997</v>
          </cell>
        </row>
        <row r="9">
          <cell r="C9">
            <v>150000</v>
          </cell>
        </row>
        <row r="10">
          <cell r="C10">
            <v>214200</v>
          </cell>
        </row>
        <row r="11">
          <cell r="C11">
            <v>299162.15999999997</v>
          </cell>
        </row>
        <row r="12">
          <cell r="C12">
            <v>96496.17</v>
          </cell>
        </row>
        <row r="13">
          <cell r="C13">
            <v>381261.27</v>
          </cell>
        </row>
        <row r="14">
          <cell r="C14">
            <v>358852.8899999999</v>
          </cell>
        </row>
        <row r="15">
          <cell r="C15">
            <v>11981.99</v>
          </cell>
        </row>
        <row r="16">
          <cell r="C16">
            <v>0</v>
          </cell>
        </row>
        <row r="17">
          <cell r="C17">
            <v>7050</v>
          </cell>
        </row>
        <row r="18">
          <cell r="C18">
            <v>141212.29999999999</v>
          </cell>
        </row>
        <row r="19">
          <cell r="C19">
            <v>11584.289999999999</v>
          </cell>
        </row>
        <row r="20">
          <cell r="C20">
            <v>116.15</v>
          </cell>
        </row>
        <row r="21">
          <cell r="C21">
            <v>55889.010000000009</v>
          </cell>
        </row>
        <row r="22">
          <cell r="C22">
            <v>11413.48</v>
          </cell>
        </row>
        <row r="25">
          <cell r="E25">
            <v>14</v>
          </cell>
        </row>
        <row r="27">
          <cell r="E27">
            <v>2</v>
          </cell>
        </row>
      </sheetData>
      <sheetData sheetId="4">
        <row r="8">
          <cell r="C8">
            <v>2252130.4999999995</v>
          </cell>
        </row>
        <row r="9">
          <cell r="C9">
            <v>1135500</v>
          </cell>
        </row>
        <row r="10">
          <cell r="C10">
            <v>557967</v>
          </cell>
        </row>
        <row r="11">
          <cell r="C11">
            <v>551903.41</v>
          </cell>
        </row>
        <row r="12">
          <cell r="C12">
            <v>503728.11</v>
          </cell>
        </row>
        <row r="13">
          <cell r="C13">
            <v>198594.99000000005</v>
          </cell>
        </row>
        <row r="14">
          <cell r="C14">
            <v>182158.55</v>
          </cell>
        </row>
        <row r="15">
          <cell r="C15">
            <v>95696.91</v>
          </cell>
        </row>
        <row r="16">
          <cell r="C16">
            <v>0</v>
          </cell>
        </row>
        <row r="17">
          <cell r="C17">
            <v>1750</v>
          </cell>
        </row>
        <row r="18">
          <cell r="C18">
            <v>176422.81000000003</v>
          </cell>
        </row>
        <row r="19">
          <cell r="C19">
            <v>105076.45999999999</v>
          </cell>
        </row>
        <row r="20">
          <cell r="C20">
            <v>0</v>
          </cell>
        </row>
        <row r="21">
          <cell r="C21">
            <v>443149.94000000018</v>
          </cell>
        </row>
        <row r="22">
          <cell r="C22">
            <v>45029.469999999958</v>
          </cell>
        </row>
        <row r="25">
          <cell r="E25">
            <v>44</v>
          </cell>
        </row>
        <row r="27">
          <cell r="E27">
            <v>10</v>
          </cell>
        </row>
      </sheetData>
      <sheetData sheetId="5">
        <row r="8">
          <cell r="C8">
            <v>441152.37</v>
          </cell>
        </row>
        <row r="9">
          <cell r="C9">
            <v>5000</v>
          </cell>
        </row>
        <row r="10">
          <cell r="C10">
            <v>0</v>
          </cell>
        </row>
        <row r="11">
          <cell r="C11">
            <v>95688.11</v>
          </cell>
        </row>
        <row r="12">
          <cell r="C12">
            <v>21174.129999999997</v>
          </cell>
        </row>
        <row r="13">
          <cell r="C13">
            <v>72009.7</v>
          </cell>
        </row>
        <row r="14">
          <cell r="C14">
            <v>40914.379999999997</v>
          </cell>
        </row>
        <row r="15">
          <cell r="C15">
            <v>12922.06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2288.4500000000003</v>
          </cell>
        </row>
        <row r="19">
          <cell r="C19">
            <v>5065</v>
          </cell>
        </row>
        <row r="20">
          <cell r="C20">
            <v>0</v>
          </cell>
        </row>
        <row r="21">
          <cell r="C21">
            <v>3737.8800000000006</v>
          </cell>
        </row>
        <row r="22">
          <cell r="C22">
            <v>8112.83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6">
        <row r="8">
          <cell r="C8">
            <v>166916.68999999997</v>
          </cell>
        </row>
        <row r="9">
          <cell r="C9">
            <v>16000</v>
          </cell>
        </row>
        <row r="10">
          <cell r="C10">
            <v>0</v>
          </cell>
        </row>
        <row r="11">
          <cell r="C11">
            <v>43743.03</v>
          </cell>
        </row>
        <row r="12">
          <cell r="C12">
            <v>2719.32</v>
          </cell>
        </row>
        <row r="13">
          <cell r="C13">
            <v>9726.85</v>
          </cell>
        </row>
        <row r="14">
          <cell r="C14">
            <v>27236.059999999998</v>
          </cell>
        </row>
        <row r="15">
          <cell r="C15">
            <v>673.12000000000012</v>
          </cell>
        </row>
        <row r="16">
          <cell r="C16">
            <v>0</v>
          </cell>
        </row>
        <row r="17">
          <cell r="C17">
            <v>2500</v>
          </cell>
        </row>
        <row r="18">
          <cell r="C18">
            <v>938.06</v>
          </cell>
        </row>
        <row r="19">
          <cell r="C19">
            <v>350</v>
          </cell>
        </row>
        <row r="20">
          <cell r="C20">
            <v>0</v>
          </cell>
        </row>
        <row r="21">
          <cell r="C21">
            <v>492.88</v>
          </cell>
        </row>
        <row r="22">
          <cell r="C22">
            <v>5418.9499999999989</v>
          </cell>
        </row>
        <row r="25">
          <cell r="E25">
            <v>2</v>
          </cell>
        </row>
        <row r="27">
          <cell r="E27">
            <v>0</v>
          </cell>
        </row>
      </sheetData>
      <sheetData sheetId="7">
        <row r="8">
          <cell r="C8">
            <v>275174.72000000003</v>
          </cell>
        </row>
        <row r="9">
          <cell r="C9">
            <v>117500</v>
          </cell>
        </row>
        <row r="10">
          <cell r="C10">
            <v>15600</v>
          </cell>
        </row>
        <row r="11">
          <cell r="C11">
            <v>66280.87</v>
          </cell>
        </row>
        <row r="12">
          <cell r="C12">
            <v>16110.68</v>
          </cell>
        </row>
        <row r="13">
          <cell r="C13">
            <v>15051.49</v>
          </cell>
        </row>
        <row r="14">
          <cell r="C14">
            <v>22922.440000000002</v>
          </cell>
        </row>
        <row r="15">
          <cell r="C15">
            <v>3104.77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2767.33</v>
          </cell>
        </row>
        <row r="19">
          <cell r="C19">
            <v>15341.970000000001</v>
          </cell>
        </row>
        <row r="20">
          <cell r="C20">
            <v>0</v>
          </cell>
        </row>
        <row r="21">
          <cell r="C21">
            <v>40294.17</v>
          </cell>
        </row>
        <row r="22">
          <cell r="C22">
            <v>4309.63</v>
          </cell>
        </row>
        <row r="25">
          <cell r="E25">
            <v>5</v>
          </cell>
        </row>
        <row r="27">
          <cell r="E27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Natural Gas"/>
      <sheetName val="Ontario"/>
      <sheetName val="Finance"/>
      <sheetName val="Executive"/>
      <sheetName val="Alberta"/>
    </sheetNames>
    <sheetDataSet>
      <sheetData sheetId="0" refreshError="1"/>
      <sheetData sheetId="1">
        <row r="8">
          <cell r="C8">
            <v>1193609.22</v>
          </cell>
          <cell r="E8">
            <v>1591478.96</v>
          </cell>
        </row>
        <row r="9">
          <cell r="E9">
            <v>0</v>
          </cell>
        </row>
        <row r="11">
          <cell r="C11">
            <v>103223.21999999999</v>
          </cell>
          <cell r="E11">
            <v>137630.96</v>
          </cell>
        </row>
        <row r="12">
          <cell r="C12">
            <v>22851.149999999998</v>
          </cell>
          <cell r="E12">
            <v>30468.199999999997</v>
          </cell>
        </row>
        <row r="13">
          <cell r="C13">
            <v>104096.53</v>
          </cell>
          <cell r="E13">
            <v>138795.37333333335</v>
          </cell>
        </row>
        <row r="14">
          <cell r="C14">
            <v>173109.88</v>
          </cell>
          <cell r="E14">
            <v>230813.17333333334</v>
          </cell>
        </row>
        <row r="15">
          <cell r="C15">
            <v>3086.9599999999996</v>
          </cell>
          <cell r="E15">
            <v>4115.9466666666658</v>
          </cell>
        </row>
        <row r="16">
          <cell r="C16">
            <v>0</v>
          </cell>
          <cell r="E16">
            <v>0</v>
          </cell>
        </row>
        <row r="17">
          <cell r="C17">
            <v>488.97</v>
          </cell>
          <cell r="E17">
            <v>651.96</v>
          </cell>
        </row>
        <row r="18">
          <cell r="C18">
            <v>10705.9</v>
          </cell>
          <cell r="E18">
            <v>14274.533333333333</v>
          </cell>
        </row>
        <row r="19">
          <cell r="C19">
            <v>45596.1</v>
          </cell>
          <cell r="E19">
            <v>60794.8</v>
          </cell>
        </row>
        <row r="20">
          <cell r="C20">
            <v>0</v>
          </cell>
          <cell r="E20">
            <v>0</v>
          </cell>
        </row>
        <row r="21">
          <cell r="C21">
            <v>1635.2900000000373</v>
          </cell>
          <cell r="E21">
            <v>2180.3866666667163</v>
          </cell>
        </row>
        <row r="22">
          <cell r="C22">
            <v>59.44</v>
          </cell>
          <cell r="E22">
            <v>79.25333333333333</v>
          </cell>
        </row>
        <row r="25">
          <cell r="E25">
            <v>14</v>
          </cell>
        </row>
        <row r="27">
          <cell r="E27">
            <v>11</v>
          </cell>
        </row>
      </sheetData>
      <sheetData sheetId="2">
        <row r="8">
          <cell r="C8">
            <v>577497.65</v>
          </cell>
          <cell r="E8">
            <v>769996.8666666667</v>
          </cell>
        </row>
        <row r="9">
          <cell r="E9">
            <v>0</v>
          </cell>
        </row>
        <row r="11">
          <cell r="C11">
            <v>99488.99</v>
          </cell>
          <cell r="E11">
            <v>132651.98666666669</v>
          </cell>
        </row>
        <row r="12">
          <cell r="C12">
            <v>21575.309999999998</v>
          </cell>
          <cell r="E12">
            <v>28767.079999999994</v>
          </cell>
        </row>
        <row r="13">
          <cell r="C13">
            <v>69520.989999999991</v>
          </cell>
          <cell r="E13">
            <v>92694.653333333321</v>
          </cell>
        </row>
        <row r="14">
          <cell r="C14">
            <v>53310.62</v>
          </cell>
          <cell r="E14">
            <v>71080.826666666675</v>
          </cell>
        </row>
        <row r="15">
          <cell r="C15">
            <v>994.06</v>
          </cell>
          <cell r="E15">
            <v>1325.4133333333332</v>
          </cell>
        </row>
        <row r="16">
          <cell r="C16">
            <v>0</v>
          </cell>
          <cell r="E16">
            <v>0</v>
          </cell>
        </row>
        <row r="17">
          <cell r="C17">
            <v>319.09999999999997</v>
          </cell>
          <cell r="E17">
            <v>425.46666666666658</v>
          </cell>
        </row>
        <row r="18">
          <cell r="C18">
            <v>991.31999999999994</v>
          </cell>
          <cell r="E18">
            <v>1321.76</v>
          </cell>
        </row>
        <row r="19">
          <cell r="C19">
            <v>1887.45</v>
          </cell>
          <cell r="E19">
            <v>2516.6</v>
          </cell>
        </row>
        <row r="20">
          <cell r="C20">
            <v>0</v>
          </cell>
          <cell r="E20">
            <v>0</v>
          </cell>
        </row>
        <row r="21">
          <cell r="C21">
            <v>6275.16</v>
          </cell>
          <cell r="E21">
            <v>8366.880000000001</v>
          </cell>
        </row>
        <row r="22">
          <cell r="C22">
            <v>0</v>
          </cell>
          <cell r="E22">
            <v>0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3">
        <row r="8">
          <cell r="C8">
            <v>290260.77</v>
          </cell>
          <cell r="E8">
            <v>387014.36000000004</v>
          </cell>
        </row>
        <row r="9">
          <cell r="E9">
            <v>0</v>
          </cell>
        </row>
        <row r="11">
          <cell r="C11">
            <v>38678.51</v>
          </cell>
          <cell r="E11">
            <v>51571.346666666665</v>
          </cell>
        </row>
        <row r="12">
          <cell r="C12">
            <v>4768.0999999999995</v>
          </cell>
          <cell r="E12">
            <v>6357.4666666666653</v>
          </cell>
        </row>
        <row r="13">
          <cell r="C13">
            <v>39685.300000000003</v>
          </cell>
          <cell r="E13">
            <v>52913.733333333337</v>
          </cell>
        </row>
        <row r="14">
          <cell r="C14">
            <v>46875.47</v>
          </cell>
          <cell r="E14">
            <v>62500.626666666663</v>
          </cell>
        </row>
        <row r="15">
          <cell r="C15">
            <v>746.0799999999997</v>
          </cell>
          <cell r="E15">
            <v>994.77333333333297</v>
          </cell>
        </row>
        <row r="16">
          <cell r="C16">
            <v>0</v>
          </cell>
          <cell r="E16">
            <v>0</v>
          </cell>
        </row>
        <row r="17">
          <cell r="C17">
            <v>767.34</v>
          </cell>
          <cell r="E17">
            <v>1023.1200000000001</v>
          </cell>
        </row>
        <row r="18">
          <cell r="C18">
            <v>3684.3199999999997</v>
          </cell>
          <cell r="E18">
            <v>4912.4266666666663</v>
          </cell>
        </row>
        <row r="19">
          <cell r="C19">
            <v>288.83</v>
          </cell>
          <cell r="E19">
            <v>385.10666666666663</v>
          </cell>
        </row>
        <row r="20">
          <cell r="C20">
            <v>0</v>
          </cell>
          <cell r="E20">
            <v>0</v>
          </cell>
        </row>
        <row r="21">
          <cell r="C21">
            <v>2802.8100000000013</v>
          </cell>
          <cell r="E21">
            <v>3737.0800000000017</v>
          </cell>
        </row>
        <row r="22">
          <cell r="C22">
            <v>6047.2600000000093</v>
          </cell>
          <cell r="E22">
            <v>8063.0133333333461</v>
          </cell>
        </row>
        <row r="25">
          <cell r="E25">
            <v>2</v>
          </cell>
        </row>
        <row r="27">
          <cell r="E27">
            <v>3</v>
          </cell>
        </row>
      </sheetData>
      <sheetData sheetId="4">
        <row r="8">
          <cell r="C8">
            <v>201176.03999999998</v>
          </cell>
          <cell r="E8">
            <v>268234.71999999997</v>
          </cell>
        </row>
        <row r="9">
          <cell r="E9">
            <v>0</v>
          </cell>
        </row>
        <row r="10">
          <cell r="C10">
            <v>0</v>
          </cell>
          <cell r="E10">
            <v>0</v>
          </cell>
        </row>
        <row r="12">
          <cell r="C12">
            <v>3745.83</v>
          </cell>
          <cell r="E12">
            <v>4994.4399999999996</v>
          </cell>
        </row>
        <row r="13">
          <cell r="C13">
            <v>12817.840000000002</v>
          </cell>
          <cell r="E13">
            <v>17090.453333333335</v>
          </cell>
        </row>
        <row r="14">
          <cell r="C14">
            <v>8483.6</v>
          </cell>
          <cell r="E14">
            <v>11311.466666666667</v>
          </cell>
        </row>
        <row r="15">
          <cell r="C15">
            <v>795.65</v>
          </cell>
          <cell r="E15">
            <v>1060.8666666666666</v>
          </cell>
        </row>
        <row r="16">
          <cell r="C16">
            <v>0</v>
          </cell>
          <cell r="E16">
            <v>0</v>
          </cell>
        </row>
        <row r="17">
          <cell r="C17">
            <v>308.20999999999998</v>
          </cell>
          <cell r="E17">
            <v>410.94666666666666</v>
          </cell>
        </row>
        <row r="18">
          <cell r="C18">
            <v>501.29</v>
          </cell>
          <cell r="E18">
            <v>668.38666666666666</v>
          </cell>
        </row>
        <row r="19">
          <cell r="C19">
            <v>0</v>
          </cell>
          <cell r="E19">
            <v>0</v>
          </cell>
        </row>
        <row r="20">
          <cell r="C20">
            <v>0</v>
          </cell>
          <cell r="E20">
            <v>0</v>
          </cell>
        </row>
        <row r="21">
          <cell r="C21">
            <v>4553.0099999999984</v>
          </cell>
          <cell r="E21">
            <v>6070.6799999999976</v>
          </cell>
        </row>
        <row r="22">
          <cell r="C22">
            <v>0</v>
          </cell>
          <cell r="E22">
            <v>0</v>
          </cell>
        </row>
        <row r="25">
          <cell r="E25">
            <v>5</v>
          </cell>
        </row>
        <row r="27">
          <cell r="E27">
            <v>0</v>
          </cell>
        </row>
      </sheetData>
      <sheetData sheetId="5">
        <row r="8">
          <cell r="C8">
            <v>593378.34999999986</v>
          </cell>
          <cell r="E8">
            <v>791171.13333333307</v>
          </cell>
        </row>
        <row r="9">
          <cell r="C9">
            <v>0</v>
          </cell>
          <cell r="E9">
            <v>0</v>
          </cell>
        </row>
        <row r="11">
          <cell r="C11">
            <v>71291.649999999994</v>
          </cell>
          <cell r="E11">
            <v>95055.533333333326</v>
          </cell>
        </row>
        <row r="12">
          <cell r="C12">
            <v>14379.74</v>
          </cell>
          <cell r="E12">
            <v>19172.986666666664</v>
          </cell>
        </row>
        <row r="13">
          <cell r="C13">
            <v>71751.179999999993</v>
          </cell>
          <cell r="E13">
            <v>95668.239999999991</v>
          </cell>
        </row>
        <row r="14">
          <cell r="C14">
            <v>223960.41000000003</v>
          </cell>
          <cell r="E14">
            <v>298613.88000000006</v>
          </cell>
        </row>
        <row r="15">
          <cell r="C15">
            <v>804.67000000000007</v>
          </cell>
          <cell r="E15">
            <v>1072.8933333333334</v>
          </cell>
        </row>
        <row r="16">
          <cell r="C16">
            <v>0</v>
          </cell>
          <cell r="E16">
            <v>0</v>
          </cell>
        </row>
        <row r="17">
          <cell r="C17">
            <v>0</v>
          </cell>
          <cell r="E17">
            <v>0</v>
          </cell>
        </row>
        <row r="18">
          <cell r="C18">
            <v>3325.59</v>
          </cell>
          <cell r="E18">
            <v>4434.12</v>
          </cell>
        </row>
        <row r="19">
          <cell r="C19">
            <v>4572.46</v>
          </cell>
          <cell r="E19">
            <v>6096.6133333333337</v>
          </cell>
        </row>
        <row r="20">
          <cell r="C20">
            <v>0</v>
          </cell>
          <cell r="E20">
            <v>0</v>
          </cell>
        </row>
        <row r="21">
          <cell r="C21">
            <v>4502.9000000000087</v>
          </cell>
          <cell r="E21">
            <v>6003.8666666666786</v>
          </cell>
        </row>
        <row r="22">
          <cell r="C22">
            <v>0</v>
          </cell>
          <cell r="E22">
            <v>0</v>
          </cell>
        </row>
        <row r="25">
          <cell r="E25">
            <v>8</v>
          </cell>
        </row>
        <row r="27">
          <cell r="E27">
            <v>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 Power Consolidated"/>
      <sheetName val="Fund-Struct"/>
      <sheetName val="Ercot Trading"/>
      <sheetName val="Ercot Origination"/>
      <sheetName val="Southeast Trading"/>
      <sheetName val="Southeast Origination"/>
      <sheetName val="Midwest Trading"/>
      <sheetName val="Midwest Origination"/>
      <sheetName val="Northeast Trading"/>
      <sheetName val="Northeast Origination"/>
      <sheetName val="Management Book"/>
      <sheetName val="Structuring_Fund"/>
      <sheetName val="Services"/>
      <sheetName val="Options"/>
    </sheetNames>
    <sheetDataSet>
      <sheetData sheetId="0"/>
      <sheetData sheetId="1"/>
      <sheetData sheetId="2">
        <row r="8">
          <cell r="C8">
            <v>435566.2300000001</v>
          </cell>
        </row>
        <row r="9">
          <cell r="C9">
            <v>57500</v>
          </cell>
        </row>
        <row r="10">
          <cell r="C10">
            <v>136200</v>
          </cell>
        </row>
        <row r="11">
          <cell r="C11">
            <v>96245.64</v>
          </cell>
        </row>
        <row r="12">
          <cell r="C12">
            <v>35923.870000000003</v>
          </cell>
        </row>
        <row r="13">
          <cell r="C13">
            <v>15703.859999999999</v>
          </cell>
        </row>
        <row r="14">
          <cell r="C14">
            <v>0</v>
          </cell>
        </row>
        <row r="15">
          <cell r="C15">
            <v>6868.09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63424.47</v>
          </cell>
          <cell r="K19">
            <v>0</v>
          </cell>
        </row>
        <row r="20">
          <cell r="C20">
            <v>0</v>
          </cell>
        </row>
        <row r="21">
          <cell r="C21">
            <v>197.29000000000815</v>
          </cell>
        </row>
        <row r="22">
          <cell r="C22">
            <v>81.42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3">
        <row r="8">
          <cell r="C8">
            <v>264134.33999999997</v>
          </cell>
        </row>
        <row r="9">
          <cell r="C9">
            <v>115000</v>
          </cell>
        </row>
        <row r="10">
          <cell r="C10">
            <v>87371</v>
          </cell>
        </row>
        <row r="11">
          <cell r="C11">
            <v>94561.45</v>
          </cell>
        </row>
        <row r="12">
          <cell r="C12">
            <v>17122.72</v>
          </cell>
        </row>
        <row r="13">
          <cell r="C13">
            <v>66686.51999999999</v>
          </cell>
        </row>
        <row r="14">
          <cell r="C14">
            <v>2489.4699999999998</v>
          </cell>
        </row>
        <row r="15">
          <cell r="C15">
            <v>2719</v>
          </cell>
        </row>
        <row r="16">
          <cell r="C16">
            <v>0</v>
          </cell>
          <cell r="K16">
            <v>0</v>
          </cell>
        </row>
        <row r="17">
          <cell r="C17">
            <v>300</v>
          </cell>
          <cell r="K17">
            <v>0</v>
          </cell>
        </row>
        <row r="18">
          <cell r="C18">
            <v>129.24</v>
          </cell>
          <cell r="K18">
            <v>0</v>
          </cell>
        </row>
        <row r="19">
          <cell r="C19">
            <v>1267.8</v>
          </cell>
          <cell r="K19">
            <v>0</v>
          </cell>
        </row>
        <row r="20">
          <cell r="C20">
            <v>0</v>
          </cell>
        </row>
        <row r="21">
          <cell r="C21">
            <v>1704.4800000000032</v>
          </cell>
        </row>
        <row r="22">
          <cell r="C22">
            <v>54</v>
          </cell>
        </row>
        <row r="25">
          <cell r="E25">
            <v>3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4">
        <row r="8">
          <cell r="C8">
            <v>713168.45000000007</v>
          </cell>
        </row>
        <row r="9">
          <cell r="C9">
            <v>130000</v>
          </cell>
        </row>
        <row r="10">
          <cell r="C10">
            <v>167015</v>
          </cell>
        </row>
        <row r="11">
          <cell r="C11">
            <v>157936.78</v>
          </cell>
        </row>
        <row r="12">
          <cell r="C12">
            <v>44114.159999999989</v>
          </cell>
        </row>
        <row r="13">
          <cell r="C13">
            <v>43025.299999999996</v>
          </cell>
        </row>
        <row r="14">
          <cell r="C14">
            <v>28750</v>
          </cell>
        </row>
        <row r="15">
          <cell r="C15">
            <v>433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14417.72</v>
          </cell>
          <cell r="K19">
            <v>0</v>
          </cell>
        </row>
        <row r="20">
          <cell r="C20">
            <v>0</v>
          </cell>
        </row>
        <row r="21">
          <cell r="C21">
            <v>30.899999999994179</v>
          </cell>
        </row>
        <row r="22">
          <cell r="C22">
            <v>123.97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4</v>
          </cell>
          <cell r="K27">
            <v>0</v>
          </cell>
        </row>
      </sheetData>
      <sheetData sheetId="5">
        <row r="8">
          <cell r="C8">
            <v>501061.72000000009</v>
          </cell>
        </row>
        <row r="9">
          <cell r="C9">
            <v>7500</v>
          </cell>
        </row>
        <row r="10">
          <cell r="C10">
            <v>345600</v>
          </cell>
        </row>
        <row r="11">
          <cell r="C11">
            <v>112865</v>
          </cell>
        </row>
        <row r="12">
          <cell r="C12">
            <v>43971.199999999997</v>
          </cell>
        </row>
        <row r="13">
          <cell r="C13">
            <v>272272.65000000002</v>
          </cell>
        </row>
        <row r="14">
          <cell r="C14">
            <v>25184.139999999956</v>
          </cell>
        </row>
        <row r="15">
          <cell r="C15">
            <v>6445.68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54297.13</v>
          </cell>
          <cell r="K19">
            <v>0</v>
          </cell>
        </row>
        <row r="20">
          <cell r="C20">
            <v>0</v>
          </cell>
        </row>
        <row r="21">
          <cell r="C21">
            <v>10598.029999999999</v>
          </cell>
        </row>
        <row r="22">
          <cell r="C22">
            <v>81.47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6">
        <row r="8">
          <cell r="C8">
            <v>742310.07000000007</v>
          </cell>
        </row>
        <row r="9">
          <cell r="C9">
            <v>100000</v>
          </cell>
        </row>
        <row r="10">
          <cell r="C10">
            <v>221148</v>
          </cell>
        </row>
        <row r="11">
          <cell r="C11">
            <v>169144.2</v>
          </cell>
        </row>
        <row r="12">
          <cell r="C12">
            <v>16314.75</v>
          </cell>
        </row>
        <row r="13">
          <cell r="C13">
            <v>35684.489999999991</v>
          </cell>
        </row>
        <row r="14">
          <cell r="C14">
            <v>12093.23</v>
          </cell>
        </row>
        <row r="15">
          <cell r="C15">
            <v>578.04999999999995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5658.16</v>
          </cell>
          <cell r="K19">
            <v>0</v>
          </cell>
        </row>
        <row r="20">
          <cell r="C20">
            <v>0</v>
          </cell>
        </row>
        <row r="21">
          <cell r="C21">
            <v>2821.6199999999953</v>
          </cell>
        </row>
        <row r="22">
          <cell r="C22">
            <v>144.88000000000002</v>
          </cell>
        </row>
        <row r="25">
          <cell r="E25">
            <v>10</v>
          </cell>
          <cell r="K25">
            <v>0</v>
          </cell>
        </row>
        <row r="26">
          <cell r="K26">
            <v>0</v>
          </cell>
        </row>
        <row r="27">
          <cell r="E27">
            <v>2</v>
          </cell>
          <cell r="K27">
            <v>0</v>
          </cell>
        </row>
      </sheetData>
      <sheetData sheetId="7">
        <row r="8">
          <cell r="C8">
            <v>677169.81</v>
          </cell>
        </row>
        <row r="9">
          <cell r="C9">
            <v>250000</v>
          </cell>
        </row>
        <row r="10">
          <cell r="C10">
            <v>188354</v>
          </cell>
        </row>
        <row r="11">
          <cell r="C11">
            <v>120189.63999999998</v>
          </cell>
        </row>
        <row r="12">
          <cell r="C12">
            <v>29402.569999999992</v>
          </cell>
        </row>
        <row r="13">
          <cell r="C13">
            <v>92160.449999999983</v>
          </cell>
        </row>
        <row r="14">
          <cell r="C14">
            <v>242.05</v>
          </cell>
        </row>
        <row r="15">
          <cell r="C15">
            <v>9557.0800000000017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158.21</v>
          </cell>
          <cell r="K18">
            <v>0</v>
          </cell>
        </row>
        <row r="19">
          <cell r="C19">
            <v>9885.14</v>
          </cell>
          <cell r="K19">
            <v>0</v>
          </cell>
        </row>
        <row r="20">
          <cell r="C20">
            <v>20.9</v>
          </cell>
        </row>
        <row r="21">
          <cell r="C21">
            <v>18010.459999999992</v>
          </cell>
        </row>
        <row r="22">
          <cell r="C22">
            <v>106.7</v>
          </cell>
        </row>
        <row r="25">
          <cell r="E25">
            <v>7</v>
          </cell>
          <cell r="K25">
            <v>0</v>
          </cell>
        </row>
        <row r="26">
          <cell r="K26">
            <v>0</v>
          </cell>
        </row>
        <row r="27">
          <cell r="E27">
            <v>3</v>
          </cell>
          <cell r="K27">
            <v>0</v>
          </cell>
        </row>
      </sheetData>
      <sheetData sheetId="8">
        <row r="8">
          <cell r="C8">
            <v>903642.27</v>
          </cell>
        </row>
        <row r="9">
          <cell r="C9">
            <v>390000</v>
          </cell>
        </row>
        <row r="10">
          <cell r="C10">
            <v>232380</v>
          </cell>
        </row>
        <row r="11">
          <cell r="C11">
            <v>220674.42</v>
          </cell>
        </row>
        <row r="12">
          <cell r="C12">
            <v>25845.53</v>
          </cell>
        </row>
        <row r="13">
          <cell r="C13">
            <v>13971.93</v>
          </cell>
        </row>
        <row r="14">
          <cell r="C14">
            <v>0</v>
          </cell>
        </row>
        <row r="15">
          <cell r="C15">
            <v>333.47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14862.380000000001</v>
          </cell>
          <cell r="K19">
            <v>0</v>
          </cell>
        </row>
        <row r="20">
          <cell r="C20">
            <v>0</v>
          </cell>
        </row>
        <row r="21">
          <cell r="C21">
            <v>8467.4700000000012</v>
          </cell>
        </row>
        <row r="22">
          <cell r="C22">
            <v>168.95999999999998</v>
          </cell>
        </row>
        <row r="25">
          <cell r="E25">
            <v>12</v>
          </cell>
          <cell r="K25">
            <v>0</v>
          </cell>
        </row>
        <row r="26">
          <cell r="K26">
            <v>0</v>
          </cell>
        </row>
        <row r="27">
          <cell r="E27">
            <v>8</v>
          </cell>
          <cell r="K27">
            <v>0</v>
          </cell>
        </row>
      </sheetData>
      <sheetData sheetId="9">
        <row r="8">
          <cell r="C8">
            <v>663063.48999999987</v>
          </cell>
        </row>
        <row r="9">
          <cell r="C9">
            <v>50000</v>
          </cell>
        </row>
        <row r="10">
          <cell r="C10">
            <v>283250</v>
          </cell>
        </row>
        <row r="11">
          <cell r="C11">
            <v>136045.92000000001</v>
          </cell>
        </row>
        <row r="12">
          <cell r="C12">
            <v>39620.5</v>
          </cell>
        </row>
        <row r="13">
          <cell r="C13">
            <v>200036.58999999997</v>
          </cell>
        </row>
        <row r="14">
          <cell r="C14">
            <v>20336.080000000002</v>
          </cell>
        </row>
        <row r="15">
          <cell r="C15">
            <v>2960.7799999999997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1975.2800000000002</v>
          </cell>
          <cell r="K19">
            <v>0</v>
          </cell>
        </row>
        <row r="20">
          <cell r="C20">
            <v>17.420000000000002</v>
          </cell>
        </row>
        <row r="21">
          <cell r="C21">
            <v>13949.079999999987</v>
          </cell>
        </row>
        <row r="22">
          <cell r="C22">
            <v>105.32000000000001</v>
          </cell>
        </row>
        <row r="25">
          <cell r="E25">
            <v>9</v>
          </cell>
          <cell r="K25">
            <v>0</v>
          </cell>
        </row>
        <row r="26">
          <cell r="K26">
            <v>0</v>
          </cell>
        </row>
        <row r="27">
          <cell r="E27">
            <v>5</v>
          </cell>
          <cell r="K27">
            <v>0</v>
          </cell>
        </row>
      </sheetData>
      <sheetData sheetId="10">
        <row r="8">
          <cell r="C8">
            <v>345705.82000000007</v>
          </cell>
        </row>
        <row r="9">
          <cell r="C9">
            <v>150000</v>
          </cell>
        </row>
        <row r="10">
          <cell r="C10">
            <v>146692</v>
          </cell>
        </row>
        <row r="11">
          <cell r="C11">
            <v>109518.69000000003</v>
          </cell>
        </row>
        <row r="12">
          <cell r="C12">
            <v>145400.09999999998</v>
          </cell>
        </row>
        <row r="13">
          <cell r="C13">
            <v>165802.99000000005</v>
          </cell>
        </row>
        <row r="14">
          <cell r="C14">
            <v>296513.40000000014</v>
          </cell>
        </row>
        <row r="15">
          <cell r="C15">
            <v>50390.180000000008</v>
          </cell>
        </row>
        <row r="16">
          <cell r="C16">
            <v>0</v>
          </cell>
          <cell r="K16">
            <v>0</v>
          </cell>
        </row>
        <row r="17">
          <cell r="C17">
            <v>5000</v>
          </cell>
          <cell r="K17">
            <v>0</v>
          </cell>
        </row>
        <row r="18">
          <cell r="C18">
            <v>-0.16000000000349246</v>
          </cell>
          <cell r="K18">
            <v>0</v>
          </cell>
        </row>
        <row r="19">
          <cell r="C19">
            <v>139857</v>
          </cell>
          <cell r="K19">
            <v>0</v>
          </cell>
        </row>
        <row r="20">
          <cell r="C20">
            <v>-0.14999999999999858</v>
          </cell>
        </row>
        <row r="21">
          <cell r="C21">
            <v>379439.20999999996</v>
          </cell>
        </row>
        <row r="22">
          <cell r="C22">
            <v>151.43</v>
          </cell>
        </row>
        <row r="25">
          <cell r="E25">
            <v>5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1">
        <row r="8">
          <cell r="C8">
            <v>987140.56</v>
          </cell>
        </row>
        <row r="9">
          <cell r="C9">
            <v>95000</v>
          </cell>
        </row>
        <row r="10">
          <cell r="C10">
            <v>777100</v>
          </cell>
        </row>
        <row r="11">
          <cell r="C11">
            <v>233487.59000000003</v>
          </cell>
        </row>
        <row r="12">
          <cell r="C12">
            <v>140603.93</v>
          </cell>
        </row>
        <row r="13">
          <cell r="C13">
            <v>78714.61</v>
          </cell>
        </row>
        <row r="14">
          <cell r="C14">
            <v>138341.62</v>
          </cell>
        </row>
        <row r="15">
          <cell r="C15">
            <v>12308.900000000001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180017.87000000005</v>
          </cell>
          <cell r="K19">
            <v>0</v>
          </cell>
        </row>
        <row r="20">
          <cell r="C20">
            <v>40.01</v>
          </cell>
        </row>
        <row r="21">
          <cell r="C21">
            <v>196871.17000000004</v>
          </cell>
        </row>
        <row r="22">
          <cell r="C22">
            <v>172.09</v>
          </cell>
        </row>
        <row r="25">
          <cell r="E25">
            <v>15</v>
          </cell>
          <cell r="K25">
            <v>0</v>
          </cell>
        </row>
        <row r="26">
          <cell r="K26">
            <v>0</v>
          </cell>
        </row>
        <row r="27">
          <cell r="E27">
            <v>14</v>
          </cell>
          <cell r="K27">
            <v>0</v>
          </cell>
        </row>
      </sheetData>
      <sheetData sheetId="12">
        <row r="8">
          <cell r="C8">
            <v>197185.15000000002</v>
          </cell>
        </row>
        <row r="9">
          <cell r="C9">
            <v>0</v>
          </cell>
        </row>
        <row r="10">
          <cell r="C10">
            <v>7800</v>
          </cell>
        </row>
        <row r="11">
          <cell r="C11">
            <v>40348.020000000004</v>
          </cell>
        </row>
        <row r="12">
          <cell r="C12">
            <v>11786.189999999999</v>
          </cell>
        </row>
        <row r="13">
          <cell r="C13">
            <v>13423</v>
          </cell>
        </row>
        <row r="14">
          <cell r="C14">
            <v>117.39</v>
          </cell>
        </row>
        <row r="15">
          <cell r="C15">
            <v>0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1247.28</v>
          </cell>
          <cell r="K19">
            <v>0</v>
          </cell>
        </row>
        <row r="20">
          <cell r="C20">
            <v>0</v>
          </cell>
        </row>
        <row r="21">
          <cell r="C21">
            <v>36</v>
          </cell>
        </row>
        <row r="22">
          <cell r="C22">
            <v>0</v>
          </cell>
        </row>
        <row r="25">
          <cell r="E25">
            <v>6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  <sheetData sheetId="13">
        <row r="8">
          <cell r="C8">
            <v>210626.89</v>
          </cell>
        </row>
        <row r="9">
          <cell r="C9">
            <v>115000</v>
          </cell>
        </row>
        <row r="10">
          <cell r="C10">
            <v>59600</v>
          </cell>
        </row>
        <row r="11">
          <cell r="C11">
            <v>45326.109999999993</v>
          </cell>
        </row>
        <row r="12">
          <cell r="C12">
            <v>6351.6799999999994</v>
          </cell>
        </row>
        <row r="13">
          <cell r="C13">
            <v>16883.02</v>
          </cell>
        </row>
        <row r="14">
          <cell r="C14">
            <v>0</v>
          </cell>
        </row>
        <row r="15">
          <cell r="C15">
            <v>632.9</v>
          </cell>
        </row>
        <row r="16">
          <cell r="C16">
            <v>0</v>
          </cell>
          <cell r="K16">
            <v>0</v>
          </cell>
        </row>
        <row r="17">
          <cell r="C17">
            <v>0</v>
          </cell>
          <cell r="K17">
            <v>0</v>
          </cell>
        </row>
        <row r="18">
          <cell r="C18">
            <v>0</v>
          </cell>
          <cell r="K18">
            <v>0</v>
          </cell>
        </row>
        <row r="19">
          <cell r="C19">
            <v>238.97</v>
          </cell>
          <cell r="K19">
            <v>0</v>
          </cell>
        </row>
        <row r="20">
          <cell r="C20">
            <v>0</v>
          </cell>
        </row>
        <row r="21">
          <cell r="C21">
            <v>1282.7900000000009</v>
          </cell>
        </row>
        <row r="22">
          <cell r="C22">
            <v>0</v>
          </cell>
        </row>
        <row r="25">
          <cell r="E25">
            <v>4</v>
          </cell>
          <cell r="K25">
            <v>0</v>
          </cell>
        </row>
        <row r="26">
          <cell r="K26">
            <v>0</v>
          </cell>
        </row>
        <row r="27">
          <cell r="E27">
            <v>1</v>
          </cell>
          <cell r="K2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Tax</v>
          </cell>
        </row>
      </sheetData>
      <sheetData sheetId="1">
        <row r="1">
          <cell r="B1" t="str">
            <v>Enron North America</v>
          </cell>
        </row>
        <row r="25">
          <cell r="BA25">
            <v>1971599.0200000003</v>
          </cell>
        </row>
        <row r="26">
          <cell r="BA26">
            <v>441478.66999999993</v>
          </cell>
        </row>
        <row r="27">
          <cell r="BA27">
            <v>93416.53</v>
          </cell>
        </row>
        <row r="28">
          <cell r="BA28">
            <v>59005.25</v>
          </cell>
        </row>
        <row r="29">
          <cell r="BA29">
            <v>0</v>
          </cell>
        </row>
        <row r="30">
          <cell r="BA30">
            <v>-3920.75</v>
          </cell>
        </row>
        <row r="31">
          <cell r="BA31">
            <v>0</v>
          </cell>
        </row>
        <row r="32">
          <cell r="BA32">
            <v>195340.47000000003</v>
          </cell>
        </row>
        <row r="33">
          <cell r="BA33">
            <v>23102.660000000003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13879.95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37953.1</v>
          </cell>
        </row>
        <row r="41">
          <cell r="BA41">
            <v>218397.73</v>
          </cell>
        </row>
        <row r="42">
          <cell r="BA42">
            <v>23120.5</v>
          </cell>
        </row>
        <row r="43">
          <cell r="BA43">
            <v>-1506130.81</v>
          </cell>
        </row>
        <row r="44">
          <cell r="BA44">
            <v>432.37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  <sheetName val="fin ops"/>
      <sheetName val="cash ops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4985502.2300000004</v>
          </cell>
        </row>
        <row r="26">
          <cell r="BA26">
            <v>1210281.1100000001</v>
          </cell>
        </row>
        <row r="27">
          <cell r="BA27">
            <v>190029.97</v>
          </cell>
        </row>
        <row r="28">
          <cell r="BA28">
            <v>78390.58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69921.63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19039.670000000002</v>
          </cell>
        </row>
        <row r="37">
          <cell r="BA37">
            <v>17422.019999999997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24670.390000000003</v>
          </cell>
        </row>
        <row r="41">
          <cell r="BA41">
            <v>481045.43000000005</v>
          </cell>
        </row>
        <row r="42">
          <cell r="BA42">
            <v>75042.680000000008</v>
          </cell>
        </row>
        <row r="43">
          <cell r="BA43">
            <v>-771915.88</v>
          </cell>
        </row>
        <row r="44">
          <cell r="BA44">
            <v>1226.24</v>
          </cell>
        </row>
        <row r="45">
          <cell r="BA45">
            <v>0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10228335.790000001</v>
          </cell>
        </row>
        <row r="26">
          <cell r="BA26">
            <v>1877442.13</v>
          </cell>
        </row>
        <row r="27">
          <cell r="BA27">
            <v>405632.98</v>
          </cell>
        </row>
        <row r="28">
          <cell r="BA28">
            <v>648740.16999999993</v>
          </cell>
        </row>
        <row r="29">
          <cell r="BA29">
            <v>-24140467.679999996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76876.320000000007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5744.1</v>
          </cell>
        </row>
        <row r="37">
          <cell r="BA37">
            <v>67058.599999999991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164920.93000000002</v>
          </cell>
        </row>
        <row r="41">
          <cell r="BA41">
            <v>945381.27</v>
          </cell>
        </row>
        <row r="42">
          <cell r="BA42">
            <v>842429.76</v>
          </cell>
        </row>
        <row r="43">
          <cell r="BA43">
            <v>-5121278.5200000005</v>
          </cell>
        </row>
        <row r="44">
          <cell r="BA44">
            <v>6453.6999999999989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Competitive Analysis</v>
          </cell>
        </row>
      </sheetData>
      <sheetData sheetId="1">
        <row r="1">
          <cell r="B1" t="str">
            <v>Enron North America</v>
          </cell>
        </row>
        <row r="25">
          <cell r="BA25">
            <v>1004954.44</v>
          </cell>
        </row>
        <row r="26">
          <cell r="BA26">
            <v>241285.2</v>
          </cell>
        </row>
        <row r="27">
          <cell r="BA27">
            <v>64034.85</v>
          </cell>
        </row>
        <row r="28">
          <cell r="BA28">
            <v>201286.59999999998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1140922.94</v>
          </cell>
        </row>
        <row r="33">
          <cell r="BA33">
            <v>21945.55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837.87000000000012</v>
          </cell>
        </row>
        <row r="37">
          <cell r="BA37">
            <v>24222.35</v>
          </cell>
        </row>
        <row r="38">
          <cell r="BA38">
            <v>8.15</v>
          </cell>
        </row>
        <row r="39">
          <cell r="BA39">
            <v>0</v>
          </cell>
        </row>
        <row r="40">
          <cell r="BA40">
            <v>155543.13</v>
          </cell>
        </row>
        <row r="41">
          <cell r="BA41">
            <v>132051.71</v>
          </cell>
        </row>
        <row r="42">
          <cell r="BA42">
            <v>196834.1</v>
          </cell>
        </row>
        <row r="43">
          <cell r="BA43">
            <v>-1900070.7900000003</v>
          </cell>
        </row>
        <row r="44">
          <cell r="BA44">
            <v>474.19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Research</v>
          </cell>
        </row>
      </sheetData>
      <sheetData sheetId="1">
        <row r="1">
          <cell r="B1" t="str">
            <v>Enron North America</v>
          </cell>
        </row>
        <row r="25">
          <cell r="BA25">
            <v>3640949.9</v>
          </cell>
        </row>
        <row r="26">
          <cell r="BA26">
            <v>762369.14000000013</v>
          </cell>
        </row>
        <row r="27">
          <cell r="BA27">
            <v>173944.72999999998</v>
          </cell>
        </row>
        <row r="28">
          <cell r="BA28">
            <v>293972.73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67481.55</v>
          </cell>
        </row>
        <row r="33">
          <cell r="BA33">
            <v>48511.92</v>
          </cell>
        </row>
        <row r="34">
          <cell r="BA34">
            <v>0</v>
          </cell>
        </row>
        <row r="35">
          <cell r="BA35">
            <v>2500</v>
          </cell>
        </row>
        <row r="36">
          <cell r="BA36">
            <v>0</v>
          </cell>
        </row>
        <row r="37">
          <cell r="BA37">
            <v>129576.91999999998</v>
          </cell>
        </row>
        <row r="38">
          <cell r="BA38">
            <v>10.029999999999999</v>
          </cell>
        </row>
        <row r="39">
          <cell r="BA39">
            <v>0</v>
          </cell>
        </row>
        <row r="40">
          <cell r="BA40">
            <v>147341.90000000002</v>
          </cell>
        </row>
        <row r="41">
          <cell r="BA41">
            <v>285701.8</v>
          </cell>
        </row>
        <row r="42">
          <cell r="BA42">
            <v>302115.48</v>
          </cell>
        </row>
        <row r="43">
          <cell r="BA43">
            <v>-4445984</v>
          </cell>
        </row>
        <row r="44">
          <cell r="BA44">
            <v>774.43</v>
          </cell>
        </row>
        <row r="45">
          <cell r="BA45">
            <v>1176.06</v>
          </cell>
        </row>
      </sheetData>
      <sheetData sheetId="2" refreshError="1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25">
          <cell r="BA25">
            <v>3696902.5199999996</v>
          </cell>
        </row>
        <row r="26">
          <cell r="BA26">
            <v>823813.24</v>
          </cell>
        </row>
        <row r="27">
          <cell r="BA27">
            <v>-177210.59000000003</v>
          </cell>
        </row>
        <row r="28">
          <cell r="BA28">
            <v>238343.32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3">
          <cell r="BA33">
            <v>93641.700000000012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3626.4</v>
          </cell>
        </row>
        <row r="37">
          <cell r="BA37">
            <v>121524.64000000001</v>
          </cell>
        </row>
        <row r="38">
          <cell r="BA38">
            <v>1258.2</v>
          </cell>
        </row>
        <row r="39">
          <cell r="BA39">
            <v>0</v>
          </cell>
        </row>
        <row r="40">
          <cell r="BA40">
            <v>77797.26999999999</v>
          </cell>
        </row>
        <row r="41">
          <cell r="BA41">
            <v>677124.53999999992</v>
          </cell>
        </row>
        <row r="42">
          <cell r="BA42">
            <v>33298.459999999992</v>
          </cell>
        </row>
        <row r="43">
          <cell r="BA43">
            <v>-1637349.75</v>
          </cell>
        </row>
        <row r="44">
          <cell r="BA44">
            <v>1737.16</v>
          </cell>
        </row>
        <row r="45">
          <cell r="BA45">
            <v>15745.09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zoomScaleNormal="100" workbookViewId="0">
      <selection activeCell="D87" sqref="D87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0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0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0" x14ac:dyDescent="0.2">
      <c r="A3" s="124" t="s">
        <v>247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3.5" thickBot="1" x14ac:dyDescent="0.2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ht="13.5" thickBot="1" x14ac:dyDescent="0.25">
      <c r="A5" s="60"/>
      <c r="H5" s="84" t="s">
        <v>201</v>
      </c>
      <c r="I5" s="111"/>
      <c r="J5" s="84">
        <v>2000</v>
      </c>
      <c r="L5" s="84" t="s">
        <v>202</v>
      </c>
      <c r="N5" s="84">
        <v>2001</v>
      </c>
      <c r="P5" s="84" t="s">
        <v>1</v>
      </c>
      <c r="T5" s="84" t="s">
        <v>1</v>
      </c>
    </row>
    <row r="6" spans="1:20" ht="13.5" thickBot="1" x14ac:dyDescent="0.25">
      <c r="E6" s="84" t="s">
        <v>147</v>
      </c>
      <c r="G6" s="121" t="s">
        <v>148</v>
      </c>
      <c r="H6" s="112" t="s">
        <v>149</v>
      </c>
      <c r="I6" s="111"/>
      <c r="J6" s="112" t="s">
        <v>51</v>
      </c>
      <c r="K6" s="111"/>
      <c r="L6" s="112" t="s">
        <v>149</v>
      </c>
      <c r="M6" s="2"/>
      <c r="N6" s="112" t="s">
        <v>51</v>
      </c>
      <c r="O6" s="2"/>
      <c r="P6" s="112" t="s">
        <v>149</v>
      </c>
      <c r="R6" s="84" t="s">
        <v>150</v>
      </c>
      <c r="T6" s="112" t="s">
        <v>51</v>
      </c>
    </row>
    <row r="7" spans="1:20" x14ac:dyDescent="0.2">
      <c r="E7" s="85"/>
      <c r="G7" s="85"/>
      <c r="H7" s="86"/>
      <c r="I7" s="110"/>
      <c r="J7" s="86"/>
      <c r="K7" s="110"/>
      <c r="L7" s="86"/>
      <c r="M7" s="2"/>
      <c r="N7" s="86"/>
      <c r="O7" s="2"/>
      <c r="P7" s="86"/>
      <c r="R7" s="85"/>
      <c r="T7" s="86"/>
    </row>
    <row r="8" spans="1:20" x14ac:dyDescent="0.2">
      <c r="E8" s="86"/>
      <c r="G8" s="86"/>
      <c r="H8" s="86"/>
      <c r="I8" s="110"/>
      <c r="J8" s="86"/>
      <c r="K8" s="110"/>
      <c r="L8" s="86"/>
      <c r="M8" s="2"/>
      <c r="N8" s="86"/>
      <c r="O8" s="2"/>
      <c r="P8" s="86"/>
      <c r="R8" s="86"/>
      <c r="T8" s="86"/>
    </row>
    <row r="9" spans="1:20" x14ac:dyDescent="0.2">
      <c r="B9" t="s">
        <v>222</v>
      </c>
      <c r="E9" s="87">
        <v>0</v>
      </c>
      <c r="F9" s="88"/>
      <c r="G9" s="87">
        <v>425</v>
      </c>
      <c r="H9" s="87">
        <f>67.7-0.7+4.6</f>
        <v>71.599999999999994</v>
      </c>
      <c r="I9" s="104"/>
      <c r="J9" s="113">
        <f>151+12</f>
        <v>163</v>
      </c>
      <c r="K9" s="104"/>
      <c r="L9" s="87">
        <f>29.1+5+4.1</f>
        <v>38.200000000000003</v>
      </c>
      <c r="M9" s="89" t="s">
        <v>151</v>
      </c>
      <c r="N9" s="90">
        <f>164-37+16</f>
        <v>143</v>
      </c>
      <c r="O9" s="89"/>
      <c r="P9" s="87">
        <v>10.9</v>
      </c>
      <c r="Q9" s="88"/>
      <c r="R9" s="87">
        <f>G9-P9</f>
        <v>414.1</v>
      </c>
      <c r="T9" s="90">
        <v>33</v>
      </c>
    </row>
    <row r="10" spans="1:20" ht="7.5" customHeight="1" x14ac:dyDescent="0.2">
      <c r="E10" s="87"/>
      <c r="F10" s="88"/>
      <c r="G10" s="87"/>
      <c r="H10" s="87"/>
      <c r="I10" s="104"/>
      <c r="J10" s="113"/>
      <c r="K10" s="104"/>
      <c r="L10" s="87"/>
      <c r="M10" s="89"/>
      <c r="N10" s="90"/>
      <c r="O10" s="89"/>
      <c r="P10" s="87"/>
      <c r="Q10" s="88"/>
      <c r="R10" s="87"/>
      <c r="T10" s="90"/>
    </row>
    <row r="11" spans="1:20" x14ac:dyDescent="0.2">
      <c r="B11" t="s">
        <v>223</v>
      </c>
      <c r="E11" s="87">
        <v>0</v>
      </c>
      <c r="F11" s="88"/>
      <c r="G11" s="87">
        <v>0</v>
      </c>
      <c r="H11" s="87"/>
      <c r="I11" s="104"/>
      <c r="J11" s="101"/>
      <c r="K11" s="104"/>
      <c r="L11" s="103" t="s">
        <v>151</v>
      </c>
      <c r="M11" s="88"/>
      <c r="N11" s="90"/>
      <c r="O11" s="88"/>
      <c r="P11" s="87">
        <v>7.3</v>
      </c>
      <c r="Q11" s="88"/>
      <c r="R11" s="87">
        <f>G11-P11</f>
        <v>-7.3</v>
      </c>
      <c r="T11" s="90">
        <v>33</v>
      </c>
    </row>
    <row r="12" spans="1:20" ht="7.5" customHeight="1" x14ac:dyDescent="0.2">
      <c r="E12" s="87"/>
      <c r="F12" s="88"/>
      <c r="G12" s="87"/>
      <c r="H12" s="87"/>
      <c r="I12" s="104"/>
      <c r="J12" s="101"/>
      <c r="K12" s="104"/>
      <c r="L12" s="103"/>
      <c r="M12" s="88"/>
      <c r="N12" s="90"/>
      <c r="O12" s="88"/>
      <c r="P12" s="87"/>
      <c r="Q12" s="88"/>
      <c r="R12" s="87"/>
      <c r="T12" s="90"/>
    </row>
    <row r="13" spans="1:20" x14ac:dyDescent="0.2">
      <c r="B13" t="s">
        <v>224</v>
      </c>
      <c r="E13" s="87">
        <v>0</v>
      </c>
      <c r="F13" s="88"/>
      <c r="G13" s="87">
        <v>250</v>
      </c>
      <c r="H13" s="87">
        <v>29.9</v>
      </c>
      <c r="I13" s="104"/>
      <c r="J13" s="93">
        <v>147</v>
      </c>
      <c r="K13" s="104"/>
      <c r="L13" s="87">
        <f>32.8+6.4+0.5</f>
        <v>39.699999999999996</v>
      </c>
      <c r="M13" s="88"/>
      <c r="N13" s="90">
        <f>216-29</f>
        <v>187</v>
      </c>
      <c r="O13" s="88"/>
      <c r="P13" s="87">
        <v>5.5</v>
      </c>
      <c r="Q13" s="88"/>
      <c r="R13" s="87">
        <f>G13-P13</f>
        <v>244.5</v>
      </c>
      <c r="T13" s="90">
        <v>32</v>
      </c>
    </row>
    <row r="14" spans="1:20" ht="7.5" customHeight="1" x14ac:dyDescent="0.2">
      <c r="E14" s="87"/>
      <c r="F14" s="88"/>
      <c r="G14" s="87"/>
      <c r="H14" s="87"/>
      <c r="I14" s="104"/>
      <c r="J14" s="93"/>
      <c r="K14" s="104"/>
      <c r="L14" s="87"/>
      <c r="M14" s="88"/>
      <c r="N14" s="90"/>
      <c r="O14" s="88"/>
      <c r="P14" s="87"/>
      <c r="Q14" s="88"/>
      <c r="R14" s="87"/>
      <c r="T14" s="90"/>
    </row>
    <row r="15" spans="1:20" x14ac:dyDescent="0.2">
      <c r="B15" t="s">
        <v>225</v>
      </c>
      <c r="E15" s="87">
        <v>0</v>
      </c>
      <c r="F15" s="88"/>
      <c r="G15" s="87">
        <v>0</v>
      </c>
      <c r="H15" s="87"/>
      <c r="I15" s="104"/>
      <c r="J15" s="101"/>
      <c r="K15" s="104"/>
      <c r="L15" s="87"/>
      <c r="M15" s="88"/>
      <c r="N15" s="90"/>
      <c r="O15" s="88"/>
      <c r="P15" s="87">
        <v>2.6</v>
      </c>
      <c r="Q15" s="88"/>
      <c r="R15" s="87">
        <f>G15-P15</f>
        <v>-2.6</v>
      </c>
      <c r="T15" s="90">
        <v>13</v>
      </c>
    </row>
    <row r="16" spans="1:20" ht="7.5" customHeight="1" x14ac:dyDescent="0.2">
      <c r="E16" s="87"/>
      <c r="F16" s="88"/>
      <c r="G16" s="87"/>
      <c r="H16" s="87"/>
      <c r="I16" s="104"/>
      <c r="J16" s="101"/>
      <c r="K16" s="104"/>
      <c r="L16" s="87"/>
      <c r="M16" s="88"/>
      <c r="N16" s="90"/>
      <c r="O16" s="88"/>
      <c r="P16" s="87"/>
      <c r="Q16" s="88"/>
      <c r="R16" s="87"/>
      <c r="T16" s="90"/>
    </row>
    <row r="17" spans="2:22" x14ac:dyDescent="0.2">
      <c r="B17" t="s">
        <v>226</v>
      </c>
      <c r="E17" s="87">
        <v>0</v>
      </c>
      <c r="F17" s="88"/>
      <c r="G17" s="87">
        <v>150</v>
      </c>
      <c r="H17" s="87">
        <v>18.100000000000001</v>
      </c>
      <c r="I17" s="104"/>
      <c r="J17" s="93">
        <v>67</v>
      </c>
      <c r="K17" s="104"/>
      <c r="L17" s="87">
        <f>27.3+6.5</f>
        <v>33.799999999999997</v>
      </c>
      <c r="M17" s="88"/>
      <c r="N17" s="90">
        <f>106-10</f>
        <v>96</v>
      </c>
      <c r="O17" s="88"/>
      <c r="P17" s="87">
        <v>3.9</v>
      </c>
      <c r="Q17" s="88"/>
      <c r="R17" s="87">
        <f>G17-P17</f>
        <v>146.1</v>
      </c>
      <c r="T17" s="90">
        <v>19</v>
      </c>
    </row>
    <row r="18" spans="2:22" ht="7.5" customHeight="1" x14ac:dyDescent="0.2">
      <c r="E18" s="87"/>
      <c r="F18" s="88"/>
      <c r="G18" s="87"/>
      <c r="H18" s="87"/>
      <c r="I18" s="104"/>
      <c r="J18" s="93"/>
      <c r="K18" s="104"/>
      <c r="L18" s="87"/>
      <c r="M18" s="88"/>
      <c r="N18" s="90"/>
      <c r="O18" s="88"/>
      <c r="P18" s="87"/>
      <c r="Q18" s="88"/>
      <c r="R18" s="87"/>
      <c r="T18" s="90"/>
    </row>
    <row r="19" spans="2:22" x14ac:dyDescent="0.2">
      <c r="B19" t="s">
        <v>227</v>
      </c>
      <c r="E19" s="87">
        <v>0</v>
      </c>
      <c r="F19" s="88"/>
      <c r="G19" s="87">
        <v>0</v>
      </c>
      <c r="H19" s="87"/>
      <c r="I19" s="104"/>
      <c r="J19" s="101"/>
      <c r="K19" s="104"/>
      <c r="L19" s="87"/>
      <c r="M19" s="88"/>
      <c r="N19" s="90"/>
      <c r="O19" s="88"/>
      <c r="P19" s="87">
        <v>2.4</v>
      </c>
      <c r="Q19" s="88"/>
      <c r="R19" s="87">
        <f>G19-P19</f>
        <v>-2.4</v>
      </c>
      <c r="T19" s="90">
        <v>10</v>
      </c>
    </row>
    <row r="20" spans="2:22" ht="7.5" customHeight="1" x14ac:dyDescent="0.2">
      <c r="E20" s="87"/>
      <c r="F20" s="88"/>
      <c r="G20" s="87"/>
      <c r="H20" s="87"/>
      <c r="I20" s="104"/>
      <c r="J20" s="101"/>
      <c r="K20" s="104"/>
      <c r="L20" s="87"/>
      <c r="M20" s="88"/>
      <c r="N20" s="90"/>
      <c r="O20" s="88"/>
      <c r="P20" s="87"/>
      <c r="Q20" s="88"/>
      <c r="R20" s="87"/>
      <c r="T20" s="90"/>
    </row>
    <row r="21" spans="2:22" x14ac:dyDescent="0.2">
      <c r="B21" t="s">
        <v>228</v>
      </c>
      <c r="E21" s="87">
        <v>0</v>
      </c>
      <c r="F21" s="88"/>
      <c r="G21" s="87">
        <v>50</v>
      </c>
      <c r="H21" s="87">
        <v>8</v>
      </c>
      <c r="I21" s="104"/>
      <c r="J21" s="93">
        <v>47</v>
      </c>
      <c r="K21" s="104"/>
      <c r="L21" s="87">
        <v>9</v>
      </c>
      <c r="M21" s="88"/>
      <c r="N21" s="90">
        <v>49</v>
      </c>
      <c r="O21" s="88"/>
      <c r="P21" s="87">
        <v>1.5</v>
      </c>
      <c r="Q21" s="88"/>
      <c r="R21" s="87">
        <f>G21-P21</f>
        <v>48.5</v>
      </c>
      <c r="T21" s="90">
        <v>7</v>
      </c>
      <c r="V21" s="8"/>
    </row>
    <row r="22" spans="2:22" hidden="1" x14ac:dyDescent="0.2">
      <c r="B22" t="s">
        <v>181</v>
      </c>
      <c r="E22" s="87"/>
      <c r="F22" s="88"/>
      <c r="G22" s="87"/>
      <c r="H22" s="87"/>
      <c r="I22" s="104"/>
      <c r="J22" s="101"/>
      <c r="K22" s="104"/>
      <c r="L22" s="87"/>
      <c r="M22" s="88"/>
      <c r="N22" s="90"/>
      <c r="O22" s="88"/>
      <c r="P22" s="87"/>
      <c r="Q22" s="88"/>
      <c r="R22" s="87"/>
      <c r="T22" s="90"/>
      <c r="V22" s="8"/>
    </row>
    <row r="23" spans="2:22" hidden="1" x14ac:dyDescent="0.2">
      <c r="B23" t="s">
        <v>181</v>
      </c>
      <c r="E23" s="87"/>
      <c r="F23" s="88"/>
      <c r="G23" s="87">
        <v>0</v>
      </c>
      <c r="H23" s="87">
        <v>0</v>
      </c>
      <c r="I23" s="104"/>
      <c r="J23" s="93">
        <v>0</v>
      </c>
      <c r="K23" s="104"/>
      <c r="L23" s="87">
        <v>0</v>
      </c>
      <c r="M23" s="88"/>
      <c r="N23" s="90">
        <v>0</v>
      </c>
      <c r="O23" s="88"/>
      <c r="P23" s="87">
        <v>0</v>
      </c>
      <c r="Q23" s="88"/>
      <c r="R23" s="87">
        <f>G23-P23</f>
        <v>0</v>
      </c>
      <c r="T23" s="90">
        <v>0</v>
      </c>
      <c r="V23" s="8"/>
    </row>
    <row r="24" spans="2:22" ht="7.5" customHeight="1" x14ac:dyDescent="0.2">
      <c r="E24" s="87"/>
      <c r="F24" s="88"/>
      <c r="G24" s="87"/>
      <c r="H24" s="87"/>
      <c r="I24" s="104"/>
      <c r="J24" s="93"/>
      <c r="K24" s="104"/>
      <c r="L24" s="87"/>
      <c r="M24" s="88"/>
      <c r="N24" s="90"/>
      <c r="O24" s="88"/>
      <c r="P24" s="87"/>
      <c r="Q24" s="88"/>
      <c r="R24" s="87"/>
      <c r="T24" s="90"/>
      <c r="V24" s="8"/>
    </row>
    <row r="25" spans="2:22" x14ac:dyDescent="0.2">
      <c r="B25" t="s">
        <v>229</v>
      </c>
      <c r="E25" s="87">
        <v>0</v>
      </c>
      <c r="F25" s="88"/>
      <c r="G25" s="87">
        <v>0</v>
      </c>
      <c r="H25" s="87"/>
      <c r="I25" s="104"/>
      <c r="J25" s="101"/>
      <c r="K25" s="104"/>
      <c r="L25" s="87"/>
      <c r="M25" s="88"/>
      <c r="N25" s="90"/>
      <c r="O25" s="88"/>
      <c r="P25" s="87">
        <v>1.9</v>
      </c>
      <c r="Q25" s="88"/>
      <c r="R25" s="87">
        <f>G25-P25</f>
        <v>-1.9</v>
      </c>
      <c r="T25" s="90">
        <v>9</v>
      </c>
      <c r="V25" s="8"/>
    </row>
    <row r="26" spans="2:22" hidden="1" x14ac:dyDescent="0.2">
      <c r="B26" t="s">
        <v>203</v>
      </c>
      <c r="E26" s="87"/>
      <c r="F26" s="88"/>
      <c r="G26" s="87"/>
      <c r="H26" s="87">
        <v>162</v>
      </c>
      <c r="I26" s="104"/>
      <c r="J26" s="93">
        <v>151</v>
      </c>
      <c r="K26" s="104"/>
      <c r="L26" s="87">
        <v>140</v>
      </c>
      <c r="M26" s="88"/>
      <c r="N26" s="113">
        <f>25+17</f>
        <v>42</v>
      </c>
      <c r="O26" s="88"/>
      <c r="P26" s="87">
        <v>0</v>
      </c>
      <c r="Q26" s="88"/>
      <c r="R26" s="87"/>
      <c r="T26" s="101">
        <v>0</v>
      </c>
      <c r="V26" s="8"/>
    </row>
    <row r="27" spans="2:22" hidden="1" x14ac:dyDescent="0.2">
      <c r="E27" s="87"/>
      <c r="F27" s="88"/>
      <c r="G27" s="87"/>
      <c r="H27" s="87"/>
      <c r="I27" s="104"/>
      <c r="J27" s="101" t="s">
        <v>151</v>
      </c>
      <c r="K27" s="104"/>
      <c r="L27" s="87"/>
      <c r="M27" s="88"/>
      <c r="N27" s="90" t="s">
        <v>151</v>
      </c>
      <c r="O27" s="88"/>
      <c r="P27" s="87"/>
      <c r="Q27" s="88"/>
      <c r="R27" s="87"/>
      <c r="T27" s="90" t="s">
        <v>151</v>
      </c>
      <c r="V27" s="8"/>
    </row>
    <row r="28" spans="2:22" hidden="1" x14ac:dyDescent="0.2">
      <c r="B28" t="s">
        <v>204</v>
      </c>
      <c r="E28" s="87"/>
      <c r="F28" s="88"/>
      <c r="G28" s="87"/>
      <c r="H28" s="87">
        <v>31</v>
      </c>
      <c r="I28" s="104"/>
      <c r="J28" s="93">
        <v>107</v>
      </c>
      <c r="K28" s="104"/>
      <c r="L28" s="87">
        <v>7</v>
      </c>
      <c r="M28" s="88"/>
      <c r="N28" s="93">
        <v>36</v>
      </c>
      <c r="O28" s="88"/>
      <c r="P28" s="87">
        <v>0</v>
      </c>
      <c r="Q28" s="88"/>
      <c r="R28" s="87"/>
      <c r="T28" s="101">
        <v>0</v>
      </c>
      <c r="V28" s="8"/>
    </row>
    <row r="29" spans="2:22" hidden="1" x14ac:dyDescent="0.2">
      <c r="E29" s="87"/>
      <c r="F29" s="88"/>
      <c r="G29" s="87"/>
      <c r="H29" s="87"/>
      <c r="I29" s="104"/>
      <c r="J29" s="101"/>
      <c r="K29" s="104"/>
      <c r="L29" s="87"/>
      <c r="M29" s="88"/>
      <c r="N29" s="90"/>
      <c r="O29" s="88"/>
      <c r="P29" s="87"/>
      <c r="Q29" s="88"/>
      <c r="R29" s="87"/>
      <c r="T29" s="90"/>
      <c r="V29" s="8"/>
    </row>
    <row r="30" spans="2:22" ht="7.5" customHeight="1" x14ac:dyDescent="0.2">
      <c r="E30" s="87"/>
      <c r="F30" s="88"/>
      <c r="G30" s="87"/>
      <c r="H30" s="87"/>
      <c r="I30" s="104"/>
      <c r="J30" s="101"/>
      <c r="K30" s="104"/>
      <c r="L30" s="87"/>
      <c r="M30" s="88"/>
      <c r="N30" s="90"/>
      <c r="O30" s="88"/>
      <c r="P30" s="87"/>
      <c r="Q30" s="88"/>
      <c r="R30" s="87"/>
      <c r="T30" s="90"/>
      <c r="V30" s="8"/>
    </row>
    <row r="31" spans="2:22" x14ac:dyDescent="0.2">
      <c r="B31" t="s">
        <v>230</v>
      </c>
      <c r="E31" s="87">
        <v>0</v>
      </c>
      <c r="G31" s="87">
        <v>0</v>
      </c>
      <c r="H31" s="90">
        <v>34.299999999999997</v>
      </c>
      <c r="I31" s="8"/>
      <c r="J31" s="93">
        <v>65</v>
      </c>
      <c r="K31" s="8"/>
      <c r="L31" s="90">
        <v>257.10000000000002</v>
      </c>
      <c r="N31" s="90">
        <v>5</v>
      </c>
      <c r="P31" s="87">
        <v>2.1</v>
      </c>
      <c r="R31" s="87">
        <f>G31-P31</f>
        <v>-2.1</v>
      </c>
      <c r="T31" s="90">
        <v>6</v>
      </c>
    </row>
    <row r="32" spans="2:22" x14ac:dyDescent="0.2">
      <c r="E32" s="92"/>
      <c r="G32" s="92"/>
      <c r="H32" s="90"/>
      <c r="I32" s="8"/>
      <c r="J32" s="92"/>
      <c r="K32" s="8"/>
      <c r="L32" s="90"/>
      <c r="N32" s="92"/>
      <c r="P32" s="91"/>
      <c r="R32" s="92"/>
      <c r="T32" s="92"/>
    </row>
    <row r="33" spans="2:24" x14ac:dyDescent="0.2">
      <c r="D33" s="33" t="s">
        <v>153</v>
      </c>
      <c r="E33" s="94">
        <v>60</v>
      </c>
      <c r="G33" s="95">
        <f>SUM(G9:G31)</f>
        <v>875</v>
      </c>
      <c r="H33" s="95">
        <f>+H9+H13+H17+H21+H23+H31+H26+H28</f>
        <v>354.9</v>
      </c>
      <c r="I33" s="105"/>
      <c r="J33" s="96">
        <f>+J9+J13+J17+J21+J23+J26+J28+J31</f>
        <v>747</v>
      </c>
      <c r="K33" s="105"/>
      <c r="L33" s="95">
        <f>+L9+L13+L17+L21+L23+L31+L26+L28</f>
        <v>524.79999999999995</v>
      </c>
      <c r="N33" s="96">
        <f>+N9+N13+N17+N21+N23+N31+N26+N28</f>
        <v>558</v>
      </c>
      <c r="P33" s="95">
        <f>SUM(P9:P31)</f>
        <v>38.1</v>
      </c>
      <c r="R33" s="87">
        <f>SUM(R9:R31)</f>
        <v>836.9</v>
      </c>
      <c r="T33" s="96">
        <f>SUM(T9:T31)</f>
        <v>162</v>
      </c>
    </row>
    <row r="34" spans="2:24" x14ac:dyDescent="0.2">
      <c r="H34" s="90"/>
      <c r="I34" s="8"/>
      <c r="J34" s="97"/>
      <c r="L34" s="90"/>
      <c r="N34" s="97"/>
      <c r="P34" s="87"/>
      <c r="R34" s="97"/>
      <c r="T34" s="97"/>
    </row>
    <row r="35" spans="2:24" x14ac:dyDescent="0.2">
      <c r="B35" t="s">
        <v>231</v>
      </c>
      <c r="H35" s="90"/>
      <c r="I35" s="8"/>
      <c r="J35" s="90"/>
      <c r="L35" s="90"/>
      <c r="N35" s="90"/>
      <c r="P35" s="87">
        <f>1.5+2.3+1+1.4-0.1</f>
        <v>6.1</v>
      </c>
      <c r="R35" s="98">
        <f>G35-P35</f>
        <v>-6.1</v>
      </c>
      <c r="T35" s="90">
        <f>12+17+8+11</f>
        <v>48</v>
      </c>
    </row>
    <row r="36" spans="2:24" x14ac:dyDescent="0.2">
      <c r="H36" s="90"/>
      <c r="I36" s="8"/>
      <c r="J36" s="90"/>
      <c r="L36" s="90"/>
      <c r="N36" s="90"/>
      <c r="P36" s="87"/>
      <c r="R36" s="90"/>
      <c r="T36" s="90"/>
    </row>
    <row r="37" spans="2:24" x14ac:dyDescent="0.2">
      <c r="B37" t="s">
        <v>232</v>
      </c>
      <c r="H37" s="90"/>
      <c r="I37" s="8"/>
      <c r="J37" s="90"/>
      <c r="L37" s="90"/>
      <c r="N37" s="90"/>
      <c r="P37" s="87">
        <f>1+0.2+0.6</f>
        <v>1.7999999999999998</v>
      </c>
      <c r="R37" s="98">
        <f>G37-P37</f>
        <v>-1.7999999999999998</v>
      </c>
      <c r="T37" s="90">
        <f>12+2+5</f>
        <v>19</v>
      </c>
    </row>
    <row r="38" spans="2:24" x14ac:dyDescent="0.2">
      <c r="H38" s="90"/>
      <c r="I38" s="8"/>
      <c r="J38" s="90"/>
      <c r="L38" s="90"/>
      <c r="N38" s="90"/>
      <c r="P38" s="87"/>
      <c r="R38" s="90"/>
      <c r="T38" s="90"/>
    </row>
    <row r="39" spans="2:24" x14ac:dyDescent="0.2">
      <c r="B39" t="s">
        <v>154</v>
      </c>
      <c r="H39" s="114">
        <v>14</v>
      </c>
      <c r="I39" s="115"/>
      <c r="J39" s="93">
        <v>128</v>
      </c>
      <c r="L39" s="90">
        <v>7.9</v>
      </c>
      <c r="M39" t="s">
        <v>151</v>
      </c>
      <c r="N39" s="90">
        <v>122</v>
      </c>
      <c r="P39" s="87">
        <v>6.8</v>
      </c>
      <c r="R39" s="98">
        <f>G39-P39</f>
        <v>-6.8</v>
      </c>
      <c r="T39" s="90">
        <v>45</v>
      </c>
      <c r="U39" t="s">
        <v>151</v>
      </c>
      <c r="V39" t="s">
        <v>151</v>
      </c>
      <c r="W39" t="s">
        <v>151</v>
      </c>
      <c r="X39" t="s">
        <v>151</v>
      </c>
    </row>
    <row r="40" spans="2:24" x14ac:dyDescent="0.2">
      <c r="H40" s="90"/>
      <c r="I40" s="8"/>
      <c r="J40" s="90"/>
      <c r="L40" s="90"/>
      <c r="N40" s="90"/>
      <c r="P40" s="87"/>
      <c r="R40" s="98"/>
      <c r="T40" s="90"/>
    </row>
    <row r="41" spans="2:24" x14ac:dyDescent="0.2">
      <c r="B41" t="s">
        <v>206</v>
      </c>
      <c r="E41" t="s">
        <v>151</v>
      </c>
      <c r="H41" s="90">
        <v>5.7</v>
      </c>
      <c r="I41" s="8"/>
      <c r="J41" s="93">
        <v>30</v>
      </c>
      <c r="L41" s="90">
        <v>2.5</v>
      </c>
      <c r="M41" t="s">
        <v>151</v>
      </c>
      <c r="N41" s="90">
        <f>28+7</f>
        <v>35</v>
      </c>
      <c r="P41" s="87">
        <f>1.1+1</f>
        <v>2.1</v>
      </c>
      <c r="R41" s="98">
        <f>G41-P41</f>
        <v>-2.1</v>
      </c>
      <c r="T41" s="90">
        <f>6+4</f>
        <v>10</v>
      </c>
    </row>
    <row r="42" spans="2:24" x14ac:dyDescent="0.2">
      <c r="H42" s="90"/>
      <c r="I42" s="8"/>
      <c r="J42" s="90"/>
      <c r="L42" s="90" t="s">
        <v>151</v>
      </c>
      <c r="N42" s="90"/>
      <c r="P42" s="87"/>
      <c r="R42" s="98"/>
      <c r="T42" s="90"/>
    </row>
    <row r="43" spans="2:24" x14ac:dyDescent="0.2">
      <c r="B43" t="s">
        <v>118</v>
      </c>
      <c r="H43" s="90">
        <v>11.4</v>
      </c>
      <c r="I43" s="8"/>
      <c r="J43" s="116" t="s">
        <v>151</v>
      </c>
      <c r="L43" s="90">
        <v>9.5</v>
      </c>
      <c r="M43" t="s">
        <v>151</v>
      </c>
      <c r="N43" s="93"/>
      <c r="P43" s="87">
        <v>2.2000000000000002</v>
      </c>
      <c r="R43" s="98">
        <f>G43-P43</f>
        <v>-2.2000000000000002</v>
      </c>
      <c r="T43" s="90">
        <v>10</v>
      </c>
    </row>
    <row r="44" spans="2:24" x14ac:dyDescent="0.2">
      <c r="H44" s="90"/>
      <c r="I44" s="8"/>
      <c r="J44" s="90"/>
      <c r="L44" s="90"/>
      <c r="M44" t="s">
        <v>151</v>
      </c>
      <c r="N44" s="90"/>
      <c r="P44" s="87"/>
      <c r="R44" s="90"/>
      <c r="T44" s="90"/>
    </row>
    <row r="45" spans="2:24" x14ac:dyDescent="0.2">
      <c r="B45" t="s">
        <v>123</v>
      </c>
      <c r="H45" s="90">
        <v>11.4</v>
      </c>
      <c r="I45" s="8"/>
      <c r="J45" s="116" t="s">
        <v>151</v>
      </c>
      <c r="L45" s="114">
        <v>7.3</v>
      </c>
      <c r="N45" s="101"/>
      <c r="P45" s="87">
        <v>2.2999999999999998</v>
      </c>
      <c r="R45" s="98">
        <f>G45-P45</f>
        <v>-2.2999999999999998</v>
      </c>
      <c r="T45" s="90">
        <v>15</v>
      </c>
    </row>
    <row r="46" spans="2:24" x14ac:dyDescent="0.2">
      <c r="H46" s="90"/>
      <c r="I46" s="8"/>
      <c r="J46" s="90"/>
      <c r="L46" s="90"/>
      <c r="N46" s="90"/>
      <c r="P46" s="87"/>
      <c r="R46" s="90"/>
      <c r="T46" s="90"/>
    </row>
    <row r="47" spans="2:24" x14ac:dyDescent="0.2">
      <c r="B47" t="s">
        <v>219</v>
      </c>
      <c r="H47" s="90">
        <v>1.2</v>
      </c>
      <c r="I47" s="8"/>
      <c r="J47" s="116">
        <v>0</v>
      </c>
      <c r="L47" s="90">
        <v>0.7</v>
      </c>
      <c r="M47" t="s">
        <v>151</v>
      </c>
      <c r="N47" s="90">
        <v>26</v>
      </c>
      <c r="P47" s="87">
        <v>2.2000000000000002</v>
      </c>
      <c r="R47" s="98">
        <f>G47-P47</f>
        <v>-2.2000000000000002</v>
      </c>
      <c r="T47" s="90">
        <v>11</v>
      </c>
    </row>
    <row r="48" spans="2:24" x14ac:dyDescent="0.2">
      <c r="H48" s="90"/>
      <c r="I48" s="8"/>
      <c r="J48" s="90"/>
      <c r="L48" s="90"/>
      <c r="N48" s="90"/>
      <c r="P48" s="87"/>
      <c r="R48" s="98"/>
      <c r="T48" s="90"/>
    </row>
    <row r="49" spans="2:23" hidden="1" x14ac:dyDescent="0.2">
      <c r="B49" t="s">
        <v>179</v>
      </c>
      <c r="H49" s="90">
        <v>1.1000000000000001</v>
      </c>
      <c r="I49" s="8"/>
      <c r="J49" s="116">
        <v>0</v>
      </c>
      <c r="L49" s="90">
        <v>0.7</v>
      </c>
      <c r="N49" s="90">
        <v>27</v>
      </c>
      <c r="P49" s="87">
        <v>0</v>
      </c>
      <c r="R49" s="98">
        <f>G49-P49</f>
        <v>0</v>
      </c>
      <c r="T49" s="90">
        <v>0</v>
      </c>
    </row>
    <row r="50" spans="2:23" hidden="1" x14ac:dyDescent="0.2">
      <c r="H50" s="90"/>
      <c r="I50" s="8"/>
      <c r="J50" s="90" t="s">
        <v>151</v>
      </c>
      <c r="L50" s="90"/>
      <c r="N50" s="90" t="s">
        <v>151</v>
      </c>
      <c r="P50" s="87"/>
      <c r="R50" s="90"/>
      <c r="T50" s="90" t="s">
        <v>151</v>
      </c>
    </row>
    <row r="51" spans="2:23" x14ac:dyDescent="0.2">
      <c r="B51" t="s">
        <v>155</v>
      </c>
      <c r="H51" s="90"/>
      <c r="I51" s="8"/>
      <c r="J51" s="116" t="s">
        <v>151</v>
      </c>
      <c r="L51" s="90"/>
      <c r="M51" t="s">
        <v>151</v>
      </c>
      <c r="N51" s="90"/>
      <c r="P51" s="87"/>
      <c r="R51" s="98"/>
      <c r="T51" s="90"/>
    </row>
    <row r="52" spans="2:23" x14ac:dyDescent="0.2">
      <c r="C52" t="s">
        <v>156</v>
      </c>
      <c r="H52" s="90">
        <v>10.199999999999999</v>
      </c>
      <c r="I52" s="8"/>
      <c r="J52" s="113" t="s">
        <v>151</v>
      </c>
      <c r="L52" s="114">
        <v>7.6</v>
      </c>
      <c r="N52" s="87"/>
      <c r="P52" s="87">
        <f t="shared" ref="P52:P60" si="0">(T52/$T$62)*$P$62</f>
        <v>5.3565217391304349</v>
      </c>
      <c r="R52" s="98">
        <f t="shared" ref="R52:R60" si="1">G52-P52</f>
        <v>-5.3565217391304349</v>
      </c>
      <c r="T52" s="90">
        <v>32</v>
      </c>
      <c r="U52">
        <v>5</v>
      </c>
      <c r="V52">
        <v>0.5</v>
      </c>
    </row>
    <row r="53" spans="2:23" x14ac:dyDescent="0.2">
      <c r="C53" t="s">
        <v>157</v>
      </c>
      <c r="H53" s="90">
        <v>8.6</v>
      </c>
      <c r="I53" s="8"/>
      <c r="J53" s="113" t="s">
        <v>151</v>
      </c>
      <c r="L53" s="114">
        <v>6</v>
      </c>
      <c r="N53" s="87"/>
      <c r="P53" s="87">
        <f t="shared" si="0"/>
        <v>6.5282608695652176</v>
      </c>
      <c r="R53" s="98">
        <f t="shared" si="1"/>
        <v>-6.5282608695652176</v>
      </c>
      <c r="T53" s="90">
        <v>39</v>
      </c>
      <c r="U53">
        <v>4</v>
      </c>
      <c r="V53">
        <v>0.5</v>
      </c>
    </row>
    <row r="54" spans="2:23" x14ac:dyDescent="0.2">
      <c r="C54" t="s">
        <v>158</v>
      </c>
      <c r="H54" s="90">
        <v>5.9</v>
      </c>
      <c r="I54" s="8"/>
      <c r="J54" s="113" t="s">
        <v>151</v>
      </c>
      <c r="L54" s="114">
        <v>4</v>
      </c>
      <c r="N54" s="87"/>
      <c r="P54" s="87">
        <f t="shared" si="0"/>
        <v>4.8543478260869568</v>
      </c>
      <c r="R54" s="98">
        <f t="shared" si="1"/>
        <v>-4.8543478260869568</v>
      </c>
      <c r="T54" s="90">
        <f>21+8</f>
        <v>29</v>
      </c>
      <c r="U54">
        <v>4</v>
      </c>
      <c r="V54">
        <v>0.5</v>
      </c>
    </row>
    <row r="55" spans="2:23" x14ac:dyDescent="0.2">
      <c r="C55" t="s">
        <v>159</v>
      </c>
      <c r="H55" s="90">
        <v>3.1</v>
      </c>
      <c r="I55" s="8"/>
      <c r="J55" s="116" t="s">
        <v>151</v>
      </c>
      <c r="L55" s="90">
        <v>2.7</v>
      </c>
      <c r="N55" s="87"/>
      <c r="P55" s="87">
        <f t="shared" si="0"/>
        <v>1.0043478260869565</v>
      </c>
      <c r="R55" s="98">
        <f t="shared" si="1"/>
        <v>-1.0043478260869565</v>
      </c>
      <c r="T55" s="90">
        <v>6</v>
      </c>
      <c r="U55">
        <v>4</v>
      </c>
      <c r="V55">
        <v>0.5</v>
      </c>
    </row>
    <row r="56" spans="2:23" x14ac:dyDescent="0.2">
      <c r="C56" t="s">
        <v>160</v>
      </c>
      <c r="H56" s="90">
        <v>2.7</v>
      </c>
      <c r="I56" s="8"/>
      <c r="J56" s="116" t="s">
        <v>151</v>
      </c>
      <c r="L56" s="90">
        <v>2.1</v>
      </c>
      <c r="M56" s="67"/>
      <c r="N56" s="87"/>
      <c r="O56" s="67"/>
      <c r="P56" s="87">
        <f t="shared" si="0"/>
        <v>2.3434782608695652</v>
      </c>
      <c r="R56" s="98">
        <f t="shared" si="1"/>
        <v>-2.3434782608695652</v>
      </c>
      <c r="T56" s="90">
        <v>14</v>
      </c>
      <c r="U56">
        <v>4</v>
      </c>
      <c r="V56">
        <v>0.5</v>
      </c>
    </row>
    <row r="57" spans="2:23" x14ac:dyDescent="0.2">
      <c r="C57" t="s">
        <v>161</v>
      </c>
      <c r="H57" s="90">
        <v>2.7</v>
      </c>
      <c r="I57" s="8"/>
      <c r="J57" s="116" t="s">
        <v>151</v>
      </c>
      <c r="L57" s="90">
        <v>2.1</v>
      </c>
      <c r="N57" s="87"/>
      <c r="P57" s="87">
        <f t="shared" si="0"/>
        <v>1.8413043478260871</v>
      </c>
      <c r="R57" s="98">
        <f t="shared" si="1"/>
        <v>-1.8413043478260871</v>
      </c>
      <c r="T57" s="90">
        <v>11</v>
      </c>
      <c r="U57">
        <v>4</v>
      </c>
      <c r="V57">
        <v>0.5</v>
      </c>
    </row>
    <row r="58" spans="2:23" x14ac:dyDescent="0.2">
      <c r="C58" t="s">
        <v>162</v>
      </c>
      <c r="H58" s="90">
        <v>2.7</v>
      </c>
      <c r="I58" s="8"/>
      <c r="J58" s="116" t="s">
        <v>151</v>
      </c>
      <c r="L58" s="90">
        <v>2.5</v>
      </c>
      <c r="N58" s="87"/>
      <c r="P58" s="87">
        <f t="shared" si="0"/>
        <v>1.3391304347826087</v>
      </c>
      <c r="R58" s="98">
        <f t="shared" si="1"/>
        <v>-1.3391304347826087</v>
      </c>
      <c r="T58" s="90">
        <v>8</v>
      </c>
      <c r="U58">
        <v>5</v>
      </c>
      <c r="V58">
        <v>0.5</v>
      </c>
    </row>
    <row r="59" spans="2:23" x14ac:dyDescent="0.2">
      <c r="C59" t="s">
        <v>163</v>
      </c>
      <c r="H59" s="92">
        <v>3.3</v>
      </c>
      <c r="I59" s="8"/>
      <c r="J59" s="117" t="s">
        <v>151</v>
      </c>
      <c r="L59" s="92">
        <v>2.9</v>
      </c>
      <c r="N59" s="91"/>
      <c r="P59" s="87">
        <f t="shared" si="0"/>
        <v>2.3434782608695652</v>
      </c>
      <c r="R59" s="98">
        <f t="shared" si="1"/>
        <v>-2.3434782608695652</v>
      </c>
      <c r="T59" s="90">
        <v>14</v>
      </c>
      <c r="U59" s="122">
        <v>6</v>
      </c>
      <c r="V59">
        <v>0.05</v>
      </c>
    </row>
    <row r="60" spans="2:23" x14ac:dyDescent="0.2">
      <c r="C60" t="s">
        <v>220</v>
      </c>
      <c r="H60" s="90"/>
      <c r="I60" s="8"/>
      <c r="J60" s="116"/>
      <c r="L60" s="90"/>
      <c r="N60" s="87"/>
      <c r="P60" s="87">
        <f t="shared" si="0"/>
        <v>4.8543478260869568</v>
      </c>
      <c r="R60" s="98">
        <f t="shared" si="1"/>
        <v>-4.8543478260869568</v>
      </c>
      <c r="T60" s="90">
        <v>29</v>
      </c>
      <c r="U60" s="8"/>
    </row>
    <row r="61" spans="2:23" x14ac:dyDescent="0.2">
      <c r="C61" t="s">
        <v>221</v>
      </c>
      <c r="H61" s="90"/>
      <c r="I61" s="8"/>
      <c r="J61" s="116"/>
      <c r="L61" s="90"/>
      <c r="N61" s="87"/>
      <c r="P61" s="91">
        <f>(T61/$T$62)*$P$62+0.1</f>
        <v>0.43478260869565222</v>
      </c>
      <c r="R61" s="94">
        <f>G61-P61+0.06</f>
        <v>-0.37478260869565222</v>
      </c>
      <c r="T61" s="92">
        <v>2</v>
      </c>
      <c r="U61" s="8"/>
    </row>
    <row r="62" spans="2:23" x14ac:dyDescent="0.2">
      <c r="H62" s="100">
        <f>SUM(H52:H59)</f>
        <v>39.199999999999996</v>
      </c>
      <c r="I62" s="118"/>
      <c r="J62" s="99">
        <v>452</v>
      </c>
      <c r="L62" s="100">
        <f>SUM(L52:L59)</f>
        <v>29.900000000000002</v>
      </c>
      <c r="N62" s="99"/>
      <c r="P62" s="100">
        <v>30.8</v>
      </c>
      <c r="R62" s="98">
        <f>SUM(R52:R61)</f>
        <v>-30.840000000000003</v>
      </c>
      <c r="T62" s="99">
        <f>SUM(T52:T61)</f>
        <v>184</v>
      </c>
      <c r="U62">
        <v>178</v>
      </c>
      <c r="V62">
        <f>SUM(V52:V59)</f>
        <v>3.55</v>
      </c>
      <c r="W62" t="s">
        <v>164</v>
      </c>
    </row>
    <row r="63" spans="2:23" x14ac:dyDescent="0.2">
      <c r="H63" s="90"/>
      <c r="I63" s="8"/>
      <c r="J63" s="90"/>
      <c r="L63" s="90"/>
      <c r="N63" s="90"/>
      <c r="P63" s="90"/>
      <c r="R63" s="90"/>
      <c r="T63" s="90"/>
    </row>
    <row r="64" spans="2:23" x14ac:dyDescent="0.2">
      <c r="B64" t="s">
        <v>165</v>
      </c>
      <c r="H64" s="90">
        <v>10.7</v>
      </c>
      <c r="I64" s="8"/>
      <c r="J64" s="93">
        <v>39</v>
      </c>
      <c r="L64" s="90">
        <v>4.0999999999999996</v>
      </c>
      <c r="M64" t="s">
        <v>151</v>
      </c>
      <c r="N64" s="99">
        <v>105</v>
      </c>
      <c r="P64" s="87">
        <v>1.6</v>
      </c>
      <c r="R64" s="98">
        <f>G64-P64</f>
        <v>-1.6</v>
      </c>
      <c r="T64" s="99">
        <v>14</v>
      </c>
    </row>
    <row r="65" spans="2:22" x14ac:dyDescent="0.2">
      <c r="H65" s="90"/>
      <c r="I65" s="8"/>
      <c r="J65" s="90"/>
      <c r="L65" s="90"/>
      <c r="N65" s="90"/>
      <c r="P65" s="90"/>
      <c r="R65" s="90"/>
      <c r="T65" s="90"/>
    </row>
    <row r="66" spans="2:22" x14ac:dyDescent="0.2">
      <c r="B66" t="s">
        <v>182</v>
      </c>
      <c r="H66" s="90">
        <v>27.5</v>
      </c>
      <c r="I66" s="8"/>
      <c r="J66" s="93">
        <v>175</v>
      </c>
      <c r="L66" s="114">
        <v>29</v>
      </c>
      <c r="M66" t="s">
        <v>151</v>
      </c>
      <c r="N66" s="99"/>
      <c r="P66" s="87">
        <v>36</v>
      </c>
      <c r="R66" s="98">
        <f>G66-P66</f>
        <v>-36</v>
      </c>
      <c r="T66" s="99">
        <v>140</v>
      </c>
      <c r="U66" t="s">
        <v>151</v>
      </c>
      <c r="V66" t="s">
        <v>151</v>
      </c>
    </row>
    <row r="67" spans="2:22" x14ac:dyDescent="0.2">
      <c r="B67" t="s">
        <v>183</v>
      </c>
      <c r="H67" s="90">
        <v>48.9</v>
      </c>
      <c r="I67" s="8"/>
      <c r="J67" s="116" t="s">
        <v>151</v>
      </c>
      <c r="L67" s="114">
        <v>55</v>
      </c>
      <c r="N67" s="99"/>
      <c r="P67" s="87">
        <v>50.1</v>
      </c>
      <c r="R67" s="98">
        <f>G67-P67</f>
        <v>-50.1</v>
      </c>
      <c r="T67" s="99">
        <v>59</v>
      </c>
    </row>
    <row r="68" spans="2:22" hidden="1" x14ac:dyDescent="0.2">
      <c r="B68" t="s">
        <v>184</v>
      </c>
      <c r="H68" s="90">
        <v>1.1000000000000001</v>
      </c>
      <c r="I68" s="8"/>
      <c r="J68" s="116" t="s">
        <v>151</v>
      </c>
      <c r="L68" s="90">
        <v>7.7</v>
      </c>
      <c r="N68" s="99"/>
      <c r="P68" s="87">
        <v>0</v>
      </c>
      <c r="R68" s="98">
        <f>G68-P68</f>
        <v>0</v>
      </c>
      <c r="T68" s="99">
        <v>0</v>
      </c>
    </row>
    <row r="69" spans="2:22" x14ac:dyDescent="0.2">
      <c r="B69" t="s">
        <v>185</v>
      </c>
      <c r="H69" s="90">
        <v>0.8</v>
      </c>
      <c r="I69" s="8"/>
      <c r="J69" s="116" t="s">
        <v>151</v>
      </c>
      <c r="L69" s="90">
        <v>5.2</v>
      </c>
      <c r="N69" s="99"/>
      <c r="P69" s="87">
        <v>5.9</v>
      </c>
      <c r="R69" s="98">
        <f>G69-P69</f>
        <v>-5.9</v>
      </c>
      <c r="T69" s="99">
        <v>39</v>
      </c>
    </row>
    <row r="70" spans="2:22" x14ac:dyDescent="0.2">
      <c r="H70" s="90"/>
      <c r="I70" s="8"/>
      <c r="J70" s="99"/>
      <c r="L70" s="90"/>
      <c r="N70" s="99"/>
      <c r="P70" s="87"/>
      <c r="R70" s="98"/>
      <c r="T70" s="99"/>
    </row>
    <row r="71" spans="2:22" x14ac:dyDescent="0.2">
      <c r="H71" s="90"/>
      <c r="I71" s="8"/>
      <c r="J71" s="90"/>
      <c r="L71" s="90"/>
      <c r="N71" s="90"/>
      <c r="P71" s="93"/>
      <c r="R71" s="90"/>
      <c r="T71" s="90"/>
    </row>
    <row r="72" spans="2:22" x14ac:dyDescent="0.2">
      <c r="B72" t="s">
        <v>166</v>
      </c>
      <c r="H72" s="90">
        <v>2.8</v>
      </c>
      <c r="I72" s="8"/>
      <c r="J72" s="116">
        <v>0</v>
      </c>
      <c r="L72" s="90">
        <v>3.5</v>
      </c>
      <c r="M72" t="s">
        <v>151</v>
      </c>
      <c r="N72" s="99">
        <v>96</v>
      </c>
      <c r="P72" s="87">
        <v>4.8</v>
      </c>
      <c r="R72" s="98">
        <f>G72-P72</f>
        <v>-4.8</v>
      </c>
      <c r="T72" s="99">
        <v>33</v>
      </c>
    </row>
    <row r="73" spans="2:22" x14ac:dyDescent="0.2">
      <c r="H73" s="90"/>
      <c r="I73" s="8"/>
      <c r="J73" s="90"/>
      <c r="L73" s="90"/>
      <c r="N73" s="90"/>
      <c r="P73" s="93"/>
      <c r="R73" s="90"/>
      <c r="T73" s="90"/>
    </row>
    <row r="74" spans="2:22" x14ac:dyDescent="0.2">
      <c r="B74" t="s">
        <v>131</v>
      </c>
      <c r="H74" s="90">
        <v>39.299999999999997</v>
      </c>
      <c r="I74" s="8"/>
      <c r="J74" s="93">
        <v>90</v>
      </c>
      <c r="L74" s="90">
        <v>10.1</v>
      </c>
      <c r="M74" t="s">
        <v>151</v>
      </c>
      <c r="N74" s="99">
        <v>116</v>
      </c>
      <c r="P74" s="87">
        <v>9.5</v>
      </c>
      <c r="R74" s="98">
        <f>G74-P74</f>
        <v>-9.5</v>
      </c>
      <c r="T74" s="99">
        <v>21</v>
      </c>
      <c r="U74" t="s">
        <v>151</v>
      </c>
      <c r="V74" t="s">
        <v>151</v>
      </c>
    </row>
    <row r="75" spans="2:22" x14ac:dyDescent="0.2">
      <c r="H75" s="90"/>
      <c r="I75" s="8"/>
      <c r="J75" s="99"/>
      <c r="L75" s="90"/>
      <c r="N75" s="99"/>
      <c r="P75" s="87"/>
      <c r="R75" s="98"/>
      <c r="T75" s="99"/>
      <c r="V75" t="s">
        <v>151</v>
      </c>
    </row>
    <row r="76" spans="2:22" x14ac:dyDescent="0.2">
      <c r="B76" t="s">
        <v>167</v>
      </c>
      <c r="H76" s="90"/>
      <c r="I76" s="8"/>
      <c r="J76" s="99"/>
      <c r="L76" s="90"/>
      <c r="M76" t="s">
        <v>151</v>
      </c>
      <c r="N76" s="99"/>
      <c r="P76" s="87"/>
      <c r="R76" s="98"/>
      <c r="T76" s="99"/>
    </row>
    <row r="77" spans="2:22" x14ac:dyDescent="0.2">
      <c r="C77" t="s">
        <v>186</v>
      </c>
      <c r="H77" s="114">
        <f>15.3+0.7</f>
        <v>16</v>
      </c>
      <c r="I77" s="8"/>
      <c r="J77" s="99"/>
      <c r="L77" s="114">
        <v>6</v>
      </c>
      <c r="N77" s="99"/>
      <c r="P77" s="87">
        <v>5</v>
      </c>
      <c r="R77" s="98">
        <f>G77-P77</f>
        <v>-5</v>
      </c>
      <c r="T77" s="99"/>
    </row>
    <row r="78" spans="2:22" x14ac:dyDescent="0.2">
      <c r="C78" t="s">
        <v>187</v>
      </c>
      <c r="H78" s="114">
        <v>1</v>
      </c>
      <c r="I78" s="115"/>
      <c r="J78" s="99"/>
      <c r="L78" s="90">
        <v>0.8</v>
      </c>
      <c r="N78" s="99"/>
      <c r="P78" s="87">
        <v>1</v>
      </c>
      <c r="R78" s="98">
        <f>G78-P78</f>
        <v>-1</v>
      </c>
      <c r="T78" s="99"/>
    </row>
    <row r="79" spans="2:22" x14ac:dyDescent="0.2">
      <c r="C79" t="s">
        <v>164</v>
      </c>
      <c r="H79" s="114">
        <v>1</v>
      </c>
      <c r="I79" s="115"/>
      <c r="J79" s="99"/>
      <c r="L79" s="114">
        <v>0.1</v>
      </c>
      <c r="N79" s="99"/>
      <c r="P79" s="87">
        <v>1</v>
      </c>
      <c r="R79" s="98">
        <f>G79-P79</f>
        <v>-1</v>
      </c>
      <c r="T79" s="99"/>
    </row>
    <row r="80" spans="2:22" x14ac:dyDescent="0.2">
      <c r="C80" t="s">
        <v>70</v>
      </c>
      <c r="H80" s="90">
        <v>0.4</v>
      </c>
      <c r="I80" s="8"/>
      <c r="J80" s="99"/>
      <c r="L80" s="90">
        <v>0.1</v>
      </c>
      <c r="N80" s="99"/>
      <c r="P80" s="87">
        <v>0.6</v>
      </c>
      <c r="R80" s="98">
        <f>G80-P80</f>
        <v>-0.6</v>
      </c>
      <c r="T80" s="99"/>
    </row>
    <row r="81" spans="2:21" x14ac:dyDescent="0.2">
      <c r="H81" s="90"/>
      <c r="I81" s="8"/>
      <c r="J81" s="99"/>
      <c r="L81" s="90"/>
      <c r="N81" s="99"/>
      <c r="P81" s="87"/>
      <c r="R81" s="98"/>
      <c r="T81" s="99"/>
    </row>
    <row r="82" spans="2:21" hidden="1" x14ac:dyDescent="0.2">
      <c r="B82" t="s">
        <v>207</v>
      </c>
      <c r="H82" s="90">
        <f>7.3-0.4</f>
        <v>6.8999999999999995</v>
      </c>
      <c r="I82" s="8"/>
      <c r="J82" s="99"/>
      <c r="L82" s="90">
        <v>37.4</v>
      </c>
      <c r="N82" s="99"/>
      <c r="P82" s="87">
        <v>0</v>
      </c>
      <c r="R82" s="98"/>
      <c r="T82" s="99"/>
    </row>
    <row r="83" spans="2:21" hidden="1" x14ac:dyDescent="0.2">
      <c r="H83" s="90"/>
      <c r="I83" s="8"/>
      <c r="J83" s="99"/>
      <c r="L83" s="90"/>
      <c r="N83" s="99"/>
      <c r="P83" s="87"/>
      <c r="R83" s="98"/>
      <c r="T83" s="99"/>
    </row>
    <row r="84" spans="2:21" hidden="1" x14ac:dyDescent="0.2">
      <c r="B84" t="s">
        <v>16</v>
      </c>
      <c r="H84" s="101">
        <v>0</v>
      </c>
      <c r="I84" s="8"/>
      <c r="J84" s="99"/>
      <c r="L84" s="90">
        <v>20.9</v>
      </c>
      <c r="N84" s="99"/>
      <c r="P84" s="87"/>
      <c r="R84" s="98"/>
      <c r="T84" s="99"/>
    </row>
    <row r="85" spans="2:21" hidden="1" x14ac:dyDescent="0.2">
      <c r="H85" s="90"/>
      <c r="I85" s="8"/>
      <c r="J85" s="99"/>
      <c r="L85" s="90"/>
      <c r="N85" s="99"/>
      <c r="P85" s="87"/>
      <c r="R85" s="98"/>
      <c r="T85" s="99"/>
    </row>
    <row r="86" spans="2:21" x14ac:dyDescent="0.2">
      <c r="B86" t="s">
        <v>188</v>
      </c>
      <c r="H86" s="90">
        <v>0.1</v>
      </c>
      <c r="I86" s="8"/>
      <c r="J86" s="99">
        <v>0</v>
      </c>
      <c r="L86" s="114">
        <v>13.6</v>
      </c>
      <c r="N86" s="99">
        <f>29+29+10+37+24</f>
        <v>129</v>
      </c>
      <c r="P86" s="87">
        <f>4.3+1.1+1</f>
        <v>6.4</v>
      </c>
      <c r="R86" s="98">
        <f>G86-P86</f>
        <v>-6.4</v>
      </c>
      <c r="T86" s="99">
        <f>29+6+5</f>
        <v>40</v>
      </c>
    </row>
    <row r="87" spans="2:21" x14ac:dyDescent="0.2">
      <c r="H87" s="90"/>
      <c r="I87" s="8"/>
      <c r="J87" s="99"/>
      <c r="L87" s="90"/>
      <c r="N87" s="99"/>
      <c r="P87" s="87"/>
      <c r="R87" s="98"/>
      <c r="T87" s="99"/>
    </row>
    <row r="88" spans="2:21" x14ac:dyDescent="0.2">
      <c r="H88" s="90"/>
      <c r="I88" s="8"/>
      <c r="J88" s="99"/>
      <c r="L88" s="90"/>
      <c r="N88" s="99"/>
      <c r="P88" s="87"/>
      <c r="R88" s="98"/>
      <c r="T88" s="99"/>
    </row>
    <row r="89" spans="2:21" x14ac:dyDescent="0.2">
      <c r="B89" t="s">
        <v>189</v>
      </c>
      <c r="H89" s="90"/>
      <c r="I89" s="8"/>
      <c r="J89" s="99"/>
      <c r="L89" s="87"/>
      <c r="N89" s="99"/>
      <c r="P89" s="87">
        <f>9+2.4+2</f>
        <v>13.4</v>
      </c>
      <c r="R89" s="98">
        <f>G89-P89</f>
        <v>-13.4</v>
      </c>
      <c r="T89" s="99"/>
      <c r="U89" t="s">
        <v>208</v>
      </c>
    </row>
    <row r="90" spans="2:21" x14ac:dyDescent="0.2">
      <c r="H90" s="90"/>
      <c r="I90" s="8"/>
      <c r="J90" s="99"/>
      <c r="L90" s="90"/>
      <c r="N90" s="99"/>
      <c r="P90" s="87"/>
      <c r="R90" s="98"/>
      <c r="T90" s="99"/>
      <c r="U90" t="s">
        <v>209</v>
      </c>
    </row>
    <row r="91" spans="2:21" x14ac:dyDescent="0.2">
      <c r="B91" t="s">
        <v>168</v>
      </c>
      <c r="H91" s="90">
        <v>130.6</v>
      </c>
      <c r="I91" s="8"/>
      <c r="J91" s="90"/>
      <c r="L91" s="87">
        <v>61.2</v>
      </c>
      <c r="N91" s="90"/>
      <c r="P91" s="87">
        <v>0</v>
      </c>
      <c r="R91" s="101">
        <v>0</v>
      </c>
      <c r="T91" s="90"/>
    </row>
    <row r="92" spans="2:21" x14ac:dyDescent="0.2">
      <c r="H92" s="90"/>
      <c r="I92" s="8"/>
      <c r="J92" s="92"/>
      <c r="L92" s="90"/>
      <c r="N92" s="92"/>
      <c r="P92" s="87"/>
      <c r="Q92" s="8"/>
      <c r="R92" s="98"/>
      <c r="T92" s="92"/>
    </row>
    <row r="93" spans="2:21" x14ac:dyDescent="0.2">
      <c r="D93" s="33" t="s">
        <v>169</v>
      </c>
      <c r="H93" s="119">
        <f>+H39+H41+H43+H45+H47+H49+H62+H64+H66+H67+H68+H69+H72+H74+H77+H78+H79+H80+H86+H89+H82+H91</f>
        <v>371.1</v>
      </c>
      <c r="I93" s="104"/>
      <c r="J93" s="120">
        <f>+J39+J41+J62+J64+J66+J74</f>
        <v>914</v>
      </c>
      <c r="L93" s="119">
        <f>+L39+L41+L43+L45+L47+L49+L62+L64+L66+L67+L68+L69+L72+L74+L77+L78+L79+L80+L86+L89+L82+L91+L84</f>
        <v>313.19999999999993</v>
      </c>
      <c r="N93" s="120">
        <f>+N39+N41+N43+N45+N47+N49+N62+N64+N66+N67+N68+N69+N72+N74+N77+N78+N79+N80+N86+N89+N82+N91</f>
        <v>656</v>
      </c>
      <c r="P93" s="119">
        <f>P35+P37+P39+P41+P43+P45+P47+P49+P62+P64+P66+P67+P68+P69+P72+P74+P77+P78+P79+P80+P86+P89+P82+P91</f>
        <v>189.60000000000002</v>
      </c>
      <c r="Q93" s="103" t="s">
        <v>151</v>
      </c>
      <c r="R93" s="119">
        <f>R35+R37+R39+R41+R43+R45+R47+R49+R62+R64+R66+R67+R68+R69+R72+R74+R77+R78+R79+R80+R86+R89+R82+R91</f>
        <v>-189.64000000000001</v>
      </c>
      <c r="T93" s="119">
        <f>T35+T37+T39+T41+T43+T45+T47+T49+T62+T64+T66+T67+T68+T69+T72+T74+T77+T78+T79+T80+T86+T89+T82+T91</f>
        <v>688</v>
      </c>
    </row>
    <row r="94" spans="2:21" x14ac:dyDescent="0.2">
      <c r="E94" s="104"/>
      <c r="F94" s="8"/>
      <c r="G94" s="104"/>
      <c r="H94" s="87"/>
      <c r="I94" s="104"/>
      <c r="J94" s="102"/>
      <c r="K94" s="104"/>
      <c r="L94" s="87"/>
      <c r="N94" s="102"/>
      <c r="P94" s="102"/>
      <c r="R94" s="102"/>
      <c r="T94" s="102"/>
    </row>
    <row r="95" spans="2:21" x14ac:dyDescent="0.2">
      <c r="E95" s="104"/>
      <c r="F95" s="8"/>
      <c r="G95" s="104"/>
      <c r="H95" s="87"/>
      <c r="I95" s="104"/>
      <c r="J95" s="87"/>
      <c r="K95" s="104"/>
      <c r="L95" s="87"/>
      <c r="N95" s="87"/>
      <c r="P95" s="87"/>
      <c r="R95" s="87"/>
      <c r="T95" s="87"/>
    </row>
    <row r="96" spans="2:21" x14ac:dyDescent="0.2">
      <c r="D96" s="33" t="s">
        <v>210</v>
      </c>
      <c r="E96" s="105"/>
      <c r="F96" s="8"/>
      <c r="G96" s="95">
        <f>G33</f>
        <v>875</v>
      </c>
      <c r="H96" s="106">
        <f>H93+H33</f>
        <v>726</v>
      </c>
      <c r="I96" s="118"/>
      <c r="J96" s="107">
        <f>J93+J33</f>
        <v>1661</v>
      </c>
      <c r="K96" s="105"/>
      <c r="L96" s="106">
        <f>L93+L33</f>
        <v>837.99999999999989</v>
      </c>
      <c r="N96" s="107">
        <f>N93+N33</f>
        <v>1214</v>
      </c>
      <c r="P96" s="106">
        <f>P93+P33</f>
        <v>227.70000000000002</v>
      </c>
      <c r="R96" s="106">
        <f>G96-P96</f>
        <v>647.29999999999995</v>
      </c>
      <c r="T96" s="107">
        <f>T93+T33</f>
        <v>850</v>
      </c>
    </row>
    <row r="97" spans="2:20" x14ac:dyDescent="0.2">
      <c r="F97" s="8"/>
      <c r="G97" s="104"/>
      <c r="H97" s="104"/>
      <c r="I97" s="104"/>
      <c r="J97" s="104"/>
      <c r="K97" s="104"/>
      <c r="L97" s="104"/>
      <c r="P97" s="104"/>
      <c r="R97" s="104"/>
      <c r="T97" s="104"/>
    </row>
    <row r="98" spans="2:20" x14ac:dyDescent="0.2">
      <c r="B98" t="s">
        <v>213</v>
      </c>
      <c r="G98" s="8"/>
      <c r="H98" s="8"/>
      <c r="I98" s="8"/>
      <c r="J98" s="8"/>
      <c r="K98" s="8"/>
      <c r="L98" s="8"/>
      <c r="P98" s="8"/>
      <c r="Q98" s="8"/>
      <c r="R98" s="8"/>
      <c r="S98" s="8"/>
      <c r="T98" s="8"/>
    </row>
    <row r="99" spans="2:20" x14ac:dyDescent="0.2">
      <c r="B99" t="s">
        <v>214</v>
      </c>
      <c r="G99" s="8"/>
      <c r="H99" s="8"/>
      <c r="I99" s="8"/>
      <c r="J99" s="8"/>
      <c r="K99" s="8"/>
      <c r="L99" s="8"/>
    </row>
    <row r="100" spans="2:20" x14ac:dyDescent="0.2">
      <c r="B100" t="s">
        <v>215</v>
      </c>
      <c r="G100" s="8"/>
      <c r="H100" s="8"/>
      <c r="I100" s="8"/>
      <c r="J100" s="8"/>
      <c r="K100" s="8"/>
      <c r="L100" s="8"/>
    </row>
    <row r="101" spans="2:20" x14ac:dyDescent="0.2">
      <c r="B101" t="s">
        <v>216</v>
      </c>
      <c r="G101" s="8"/>
      <c r="H101" s="8"/>
      <c r="I101" s="8"/>
      <c r="J101" s="8"/>
      <c r="K101" s="8"/>
      <c r="L101" s="8"/>
    </row>
  </sheetData>
  <mergeCells count="1">
    <mergeCell ref="A3:T3"/>
  </mergeCells>
  <phoneticPr fontId="0" type="noConversion"/>
  <pageMargins left="0.52" right="0.46" top="1" bottom="1" header="0.5" footer="0.5"/>
  <pageSetup scale="6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1788000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2433600</v>
      </c>
      <c r="O8" s="15">
        <f t="shared" ref="O8:O22" si="1">+F8/$F$29*$O$29</f>
        <v>137538.46153846153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405600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13</v>
      </c>
      <c r="M11" s="18">
        <f>K11*L11</f>
        <v>411790.36470921978</v>
      </c>
      <c r="O11" s="15">
        <f t="shared" si="1"/>
        <v>31200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82087.30326241134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149636.88317730496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2845390.3647092199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5.6056737606512731E-2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13752.65463829787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781.8439716312057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60.141843971631211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42.380368794325733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71863.144397163123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11.532936170212768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0.88714893617021295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93438.984397163105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175.58150354609927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13.506269503546097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2605390.3647092199</v>
      </c>
      <c r="H23" s="30">
        <f>SUM(H8:H22)</f>
        <v>1</v>
      </c>
      <c r="J23" t="s">
        <v>49</v>
      </c>
      <c r="K23" s="25">
        <v>120000</v>
      </c>
      <c r="L23">
        <v>4</v>
      </c>
      <c r="M23" s="25">
        <f t="shared" si="4"/>
        <v>480000</v>
      </c>
      <c r="O23" s="58">
        <f>SUM(O8:O22)</f>
        <v>200414.64343917073</v>
      </c>
    </row>
    <row r="24" spans="1:15" x14ac:dyDescent="0.2">
      <c r="J24" t="s">
        <v>50</v>
      </c>
      <c r="K24" s="25">
        <v>156000</v>
      </c>
      <c r="L24">
        <v>7</v>
      </c>
      <c r="M24" s="25">
        <f t="shared" si="4"/>
        <v>1092000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13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1</v>
      </c>
      <c r="M26" s="25">
        <f t="shared" si="4"/>
        <v>216000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13</v>
      </c>
      <c r="M28" s="25">
        <f>SUM(M16:M27)</f>
        <v>2028000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13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13</v>
      </c>
      <c r="M34" s="37">
        <f>+K34*L34</f>
        <v>411790.36470921978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AV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5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237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1758240</v>
      </c>
      <c r="O8" s="15">
        <f t="shared" ref="O8:O22" si="1">+F8/$F$29*$O$29</f>
        <v>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86188.23529411765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293040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17</v>
      </c>
      <c r="M11" s="18">
        <f>K11*L11</f>
        <v>538495.09231205657</v>
      </c>
      <c r="O11" s="15">
        <f t="shared" si="1"/>
        <v>17237.647058823528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107344.93503546099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195679.0010780142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2296735.0923120566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7.3304964562362795E-2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17984.24068085106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1022.4113475177305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55.420482269502884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93974.881134751777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15.081531914893619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122189.44113475175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229.60658156028367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2296735.092312057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135102.06425365043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0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17</v>
      </c>
      <c r="M28" s="25">
        <f>SUM(M16:M27)</f>
        <v>1465200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17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17</v>
      </c>
      <c r="M34" s="37">
        <f>+K34*L34</f>
        <v>538495.09231205657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28" width="9.140625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238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105600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126720</v>
      </c>
      <c r="O8" s="15">
        <f t="shared" ref="O8:O22" si="1">+F8/$F$29*$O$29</f>
        <v>52800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21120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2</v>
      </c>
      <c r="M11" s="18">
        <f>K11*L11</f>
        <v>63352.363801418425</v>
      </c>
      <c r="O11" s="15">
        <f t="shared" si="1"/>
        <v>10560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12628.815886524822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23021.058950354611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190072.36380141843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8.6241134779250356E-3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2115.7930212765955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0</v>
      </c>
      <c r="M16" s="25">
        <f t="shared" ref="M16:M27" si="4">K16*L16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120.28368794326241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6.5200567375885745</v>
      </c>
      <c r="H18" s="16">
        <f t="shared" si="0"/>
        <v>2.2570336637150724E-5</v>
      </c>
      <c r="J18" t="s">
        <v>34</v>
      </c>
      <c r="K18" s="25">
        <v>54000</v>
      </c>
      <c r="L18">
        <v>0</v>
      </c>
      <c r="M18" s="25">
        <f t="shared" si="4"/>
        <v>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11055.868368794327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1.7742978723404257</v>
      </c>
      <c r="H20" s="16">
        <f t="shared" si="0"/>
        <v>6.1420478202947023E-6</v>
      </c>
      <c r="J20" t="s">
        <v>40</v>
      </c>
      <c r="K20" s="25">
        <v>78000</v>
      </c>
      <c r="L20">
        <v>0</v>
      </c>
      <c r="M20" s="25">
        <f t="shared" si="4"/>
        <v>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14375.228368794324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27.012539007092197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190072.36380141845</v>
      </c>
      <c r="H23" s="30">
        <f>SUM(H8:H22)</f>
        <v>1</v>
      </c>
      <c r="J23" t="s">
        <v>49</v>
      </c>
      <c r="K23" s="25">
        <v>120000</v>
      </c>
      <c r="L23">
        <v>0</v>
      </c>
      <c r="M23" s="25">
        <f t="shared" si="4"/>
        <v>0</v>
      </c>
      <c r="O23" s="58">
        <f>SUM(O8:O22)</f>
        <v>95036.181900709227</v>
      </c>
    </row>
    <row r="24" spans="1:15" x14ac:dyDescent="0.2">
      <c r="J24" t="s">
        <v>50</v>
      </c>
      <c r="K24" s="25">
        <v>156000</v>
      </c>
      <c r="L24">
        <v>0</v>
      </c>
      <c r="M24" s="25">
        <f t="shared" si="4"/>
        <v>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2</v>
      </c>
      <c r="J25" t="s">
        <v>52</v>
      </c>
      <c r="K25" s="25">
        <v>180000</v>
      </c>
      <c r="L25">
        <v>0</v>
      </c>
      <c r="M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v>0</v>
      </c>
      <c r="M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v>0</v>
      </c>
      <c r="M27" s="25">
        <f t="shared" si="4"/>
        <v>0</v>
      </c>
      <c r="O27" s="31">
        <f>SUM(U21:U22)</f>
        <v>0</v>
      </c>
    </row>
    <row r="28" spans="1:15" x14ac:dyDescent="0.2">
      <c r="B28" s="27"/>
      <c r="L28">
        <f>SUM(L16:L27)</f>
        <v>2</v>
      </c>
      <c r="M28" s="25">
        <f>SUM(M16:M27)</f>
        <v>105600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2</v>
      </c>
      <c r="M34" s="37">
        <f>+K34*L34</f>
        <v>63352.363801418425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72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4350600</v>
      </c>
      <c r="H8" s="15"/>
      <c r="I8" s="16">
        <f t="shared" ref="I8:I22" si="0">+G8/$G$23</f>
        <v>0.55153393305722309</v>
      </c>
      <c r="K8" s="7" t="s">
        <v>11</v>
      </c>
      <c r="L8" s="17">
        <v>0</v>
      </c>
      <c r="M8" s="8">
        <v>64</v>
      </c>
      <c r="N8" s="18">
        <f>N28</f>
        <v>5891760</v>
      </c>
      <c r="O8" s="15">
        <f>+G8/$G$29*$O$29</f>
        <v>103585.71428571429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1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7.0890859965429862E-2</v>
      </c>
      <c r="K10" s="7"/>
      <c r="L10" s="8"/>
      <c r="M10" s="8"/>
      <c r="N10" s="9"/>
      <c r="O10" s="15">
        <f t="shared" si="1"/>
        <v>13314.285714285714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981960</v>
      </c>
      <c r="H11" s="15"/>
      <c r="I11" s="16">
        <f t="shared" si="0"/>
        <v>0.12448495860453059</v>
      </c>
      <c r="K11" s="7" t="s">
        <v>16</v>
      </c>
      <c r="L11" s="19">
        <f>(E12+E13+E14+E15+E16+E17+E18+E19+E20+E21+E22)/E29</f>
        <v>47533.855280898868</v>
      </c>
      <c r="M11" s="8">
        <f>M28</f>
        <v>42</v>
      </c>
      <c r="N11" s="18">
        <f>L11*M11</f>
        <v>1996421.9217977524</v>
      </c>
      <c r="O11" s="15">
        <f t="shared" si="1"/>
        <v>23380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496915.82130337087</v>
      </c>
      <c r="H12" s="15"/>
      <c r="I12" s="16">
        <f t="shared" si="0"/>
        <v>6.2994974790099842E-2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543469.65573033702</v>
      </c>
      <c r="H13" s="15"/>
      <c r="I13" s="16">
        <f t="shared" si="0"/>
        <v>6.8896693955364269E-2</v>
      </c>
      <c r="K13" s="22" t="s">
        <v>21</v>
      </c>
      <c r="L13" s="23"/>
      <c r="M13" s="23"/>
      <c r="N13" s="24">
        <f>N8+N11</f>
        <v>7888181.9217977524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0.18121348296323514</v>
      </c>
      <c r="H14" s="15"/>
      <c r="I14" s="16">
        <f t="shared" si="0"/>
        <v>2.2972781910934393E-8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97319.296719101141</v>
      </c>
      <c r="H15" s="15"/>
      <c r="I15" s="16">
        <f t="shared" si="0"/>
        <v>1.2337354498655072E-2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8532.134831460673</v>
      </c>
      <c r="H17" s="15"/>
      <c r="I17" s="16">
        <f t="shared" si="0"/>
        <v>1.0816351493977917E-3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247241.43964044945</v>
      </c>
      <c r="H18" s="15"/>
      <c r="I18" s="16">
        <f t="shared" si="0"/>
        <v>3.1343273024324714E-2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117672.00970786516</v>
      </c>
      <c r="H19" s="15"/>
      <c r="I19" s="16">
        <f t="shared" si="0"/>
        <v>1.4917507085212754E-2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87.699775280898891</v>
      </c>
      <c r="H20" s="15"/>
      <c r="I20" s="16">
        <f t="shared" si="0"/>
        <v>1.1117869256863145E-5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428018.64377528103</v>
      </c>
      <c r="H21" s="15"/>
      <c r="I21" s="16">
        <f t="shared" si="0"/>
        <v>5.4260747028731501E-2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57165.03910112357</v>
      </c>
      <c r="H22" s="15"/>
      <c r="I22" s="16">
        <f t="shared" si="0"/>
        <v>7.2469219989915474E-3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>+G22/$G$29*$O$29</f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7888181.9217977542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f>5</f>
        <v>5</v>
      </c>
      <c r="N23" s="25">
        <f t="shared" si="4"/>
        <v>600000</v>
      </c>
      <c r="O23" s="28">
        <f>SUM(O8:O22)</f>
        <v>187813.85528089892</v>
      </c>
    </row>
    <row r="24" spans="1:15" x14ac:dyDescent="0.2">
      <c r="K24" t="s">
        <v>50</v>
      </c>
      <c r="L24" s="25">
        <v>156000</v>
      </c>
      <c r="M24">
        <f>11</f>
        <v>11</v>
      </c>
      <c r="N24" s="25">
        <f t="shared" si="4"/>
        <v>1716000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34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f>4</f>
        <v>4</v>
      </c>
      <c r="N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f>2</f>
        <v>2</v>
      </c>
      <c r="N27" s="25">
        <f t="shared" si="4"/>
        <v>480000</v>
      </c>
      <c r="O27" s="31">
        <f>+U21+U22</f>
        <v>0</v>
      </c>
    </row>
    <row r="28" spans="1:15" x14ac:dyDescent="0.2">
      <c r="M28">
        <f>SUM(M16:M27)</f>
        <v>42</v>
      </c>
      <c r="N28" s="25">
        <f>SUM(N16:N27)*1.2</f>
        <v>5891760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42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42</v>
      </c>
      <c r="N34" s="37">
        <f>+L34*M34</f>
        <v>1996421.9217977524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B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239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2517000</v>
      </c>
      <c r="H8" s="15"/>
      <c r="I8" s="16">
        <f t="shared" ref="I8:I22" si="0">+G8/$G$23</f>
        <v>0.64151198021934874</v>
      </c>
      <c r="K8" s="7" t="s">
        <v>11</v>
      </c>
      <c r="L8" s="17">
        <v>0</v>
      </c>
      <c r="M8" s="8">
        <v>64</v>
      </c>
      <c r="N8" s="18">
        <f>N28</f>
        <v>3020400</v>
      </c>
      <c r="O8" s="15">
        <f t="shared" ref="O8:O22" si="1">+G8/$G$29*$O$29</f>
        <v>132473.68421052632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503400</v>
      </c>
      <c r="H11" s="15"/>
      <c r="I11" s="16">
        <f t="shared" si="0"/>
        <v>0.12830239604386975</v>
      </c>
      <c r="K11" s="7" t="s">
        <v>16</v>
      </c>
      <c r="L11" s="19">
        <f>(E12+E13+E14+E15+E16+E17+E18+E19+E20+E21+E22)/E29</f>
        <v>47533.855280898868</v>
      </c>
      <c r="M11" s="8">
        <f>M28</f>
        <v>19</v>
      </c>
      <c r="N11" s="18">
        <f>L11*M11</f>
        <v>903143.25033707847</v>
      </c>
      <c r="O11" s="15">
        <f t="shared" si="1"/>
        <v>26494.736842105263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224795.25249438209</v>
      </c>
      <c r="H12" s="15"/>
      <c r="I12" s="16">
        <f t="shared" si="0"/>
        <v>5.7293940235033591E-2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245855.32044943818</v>
      </c>
      <c r="H13" s="15"/>
      <c r="I13" s="16">
        <f t="shared" si="0"/>
        <v>6.2661554814851667E-2</v>
      </c>
      <c r="K13" s="22" t="s">
        <v>21</v>
      </c>
      <c r="L13" s="23"/>
      <c r="M13" s="23"/>
      <c r="N13" s="24">
        <f>N8+N11</f>
        <v>3923543.2503370782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8.1977528007177808E-2</v>
      </c>
      <c r="H14" s="15"/>
      <c r="I14" s="16">
        <f t="shared" si="0"/>
        <v>2.0893749036699149E-8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44025.39613483147</v>
      </c>
      <c r="H15" s="15"/>
      <c r="I15" s="16">
        <f t="shared" si="0"/>
        <v>1.1220826004925308E-2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3859.7752808988762</v>
      </c>
      <c r="H17" s="15"/>
      <c r="I17" s="16">
        <f t="shared" si="0"/>
        <v>9.8374735147045331E-4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111847.31793258428</v>
      </c>
      <c r="H18" s="15"/>
      <c r="I18" s="16">
        <f t="shared" si="0"/>
        <v>2.8506712121237673E-2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53232.575820224716</v>
      </c>
      <c r="H19" s="15"/>
      <c r="I19" s="16">
        <f t="shared" si="0"/>
        <v>1.3567475219153351E-2</v>
      </c>
      <c r="K19" t="s">
        <v>37</v>
      </c>
      <c r="L19" s="25">
        <v>63000</v>
      </c>
      <c r="M19">
        <f>5</f>
        <v>5</v>
      </c>
      <c r="N19" s="25">
        <f t="shared" si="4"/>
        <v>315000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39.673707865168545</v>
      </c>
      <c r="H20" s="15"/>
      <c r="I20" s="16">
        <f t="shared" si="0"/>
        <v>1.0111703971087892E-5</v>
      </c>
      <c r="K20" t="s">
        <v>40</v>
      </c>
      <c r="L20" s="25">
        <v>78000</v>
      </c>
      <c r="M20">
        <f>1</f>
        <v>1</v>
      </c>
      <c r="N20" s="25">
        <f t="shared" si="4"/>
        <v>78000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193627.48170786526</v>
      </c>
      <c r="H21" s="15"/>
      <c r="I21" s="16">
        <f t="shared" si="0"/>
        <v>4.9350158607587749E-2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25860.374831460664</v>
      </c>
      <c r="H22" s="15"/>
      <c r="I22" s="16">
        <f t="shared" si="0"/>
        <v>6.5910767848013259E-3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3923543.2503370796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3</v>
      </c>
      <c r="N23" s="25">
        <f t="shared" si="4"/>
        <v>360000</v>
      </c>
      <c r="O23" s="28">
        <f>SUM(O8:O22)</f>
        <v>206502.27633353049</v>
      </c>
    </row>
    <row r="24" spans="1:15" x14ac:dyDescent="0.2">
      <c r="K24" t="s">
        <v>50</v>
      </c>
      <c r="L24" s="25">
        <v>156000</v>
      </c>
      <c r="M24">
        <v>7</v>
      </c>
      <c r="N24" s="25">
        <f t="shared" si="4"/>
        <v>1092000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19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19</v>
      </c>
      <c r="N28" s="25">
        <f>SUM(N16:N27)*1.2</f>
        <v>3020400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19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19</v>
      </c>
      <c r="N34" s="37">
        <f>+L34*M34</f>
        <v>903143.25033707847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240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1569600</v>
      </c>
      <c r="H8" s="15"/>
      <c r="I8" s="16">
        <f t="shared" ref="I8:I22" si="0">+G8/$G$23</f>
        <v>0.66540657901292155</v>
      </c>
      <c r="K8" s="7" t="s">
        <v>11</v>
      </c>
      <c r="L8" s="17">
        <v>0</v>
      </c>
      <c r="M8" s="8">
        <v>64</v>
      </c>
      <c r="N8" s="18">
        <f>N28</f>
        <v>1883520</v>
      </c>
      <c r="O8" s="15">
        <f t="shared" ref="O8:O22" si="1">+G8/$G$29*$O$29</f>
        <v>156960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313920</v>
      </c>
      <c r="H11" s="15"/>
      <c r="I11" s="16">
        <f t="shared" si="0"/>
        <v>0.13308131580258431</v>
      </c>
      <c r="K11" s="7" t="s">
        <v>16</v>
      </c>
      <c r="L11" s="19">
        <f>(E12+E13+E14+E15+E16+E17+E18+E19+E20+E21+E22)/E29</f>
        <v>47533.855280898868</v>
      </c>
      <c r="M11" s="8">
        <f>M28</f>
        <v>10</v>
      </c>
      <c r="N11" s="18">
        <f>L11*M11</f>
        <v>475338.55280898866</v>
      </c>
      <c r="O11" s="15">
        <f t="shared" si="1"/>
        <v>31392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118313.29078651688</v>
      </c>
      <c r="H12" s="15"/>
      <c r="I12" s="16">
        <f t="shared" si="0"/>
        <v>5.015700947631066E-2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129397.53707865167</v>
      </c>
      <c r="H13" s="15"/>
      <c r="I13" s="16">
        <f t="shared" si="0"/>
        <v>5.4855996738151939E-2</v>
      </c>
      <c r="K13" s="22" t="s">
        <v>21</v>
      </c>
      <c r="L13" s="23"/>
      <c r="M13" s="23"/>
      <c r="N13" s="24">
        <f>N8+N11</f>
        <v>2358858.5528089888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4.3146067372198844E-2</v>
      </c>
      <c r="H14" s="15"/>
      <c r="I14" s="16">
        <f t="shared" si="0"/>
        <v>1.8291078674818979E-8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23171.261123595508</v>
      </c>
      <c r="H15" s="15"/>
      <c r="I15" s="16">
        <f t="shared" si="0"/>
        <v>9.8230820563626354E-3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f>1</f>
        <v>1</v>
      </c>
      <c r="N16" s="25">
        <f t="shared" ref="N16:N27" si="4">L16*M16</f>
        <v>33600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2031.4606741573034</v>
      </c>
      <c r="H17" s="15"/>
      <c r="I17" s="16">
        <f t="shared" si="0"/>
        <v>8.6120495514162504E-4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58867.009438202251</v>
      </c>
      <c r="H18" s="15"/>
      <c r="I18" s="16">
        <f t="shared" si="0"/>
        <v>2.4955718251143941E-2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28017.145168539322</v>
      </c>
      <c r="H19" s="15"/>
      <c r="I19" s="16">
        <f t="shared" si="0"/>
        <v>1.1877416361051323E-2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20.880898876404498</v>
      </c>
      <c r="H20" s="15"/>
      <c r="I20" s="16">
        <f t="shared" si="0"/>
        <v>8.8521199592654665E-6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101909.20089887644</v>
      </c>
      <c r="H21" s="15"/>
      <c r="I21" s="16">
        <f t="shared" si="0"/>
        <v>4.3202760410335071E-2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13610.723595505613</v>
      </c>
      <c r="H22" s="15"/>
      <c r="I22" s="16">
        <f t="shared" si="0"/>
        <v>5.7700465249591248E-3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2358858.5528089884</v>
      </c>
      <c r="H23" s="29"/>
      <c r="I23" s="30">
        <f>SUM(I8:I22)</f>
        <v>1</v>
      </c>
      <c r="K23" t="s">
        <v>49</v>
      </c>
      <c r="L23" s="25">
        <v>120000</v>
      </c>
      <c r="M23">
        <v>2</v>
      </c>
      <c r="N23" s="25">
        <f t="shared" si="4"/>
        <v>240000</v>
      </c>
      <c r="O23" s="28">
        <f>SUM(O8:O22)</f>
        <v>235885.85528089892</v>
      </c>
    </row>
    <row r="24" spans="1:15" x14ac:dyDescent="0.2">
      <c r="K24" t="s">
        <v>50</v>
      </c>
      <c r="L24" s="25">
        <v>156000</v>
      </c>
      <c r="M24">
        <v>4</v>
      </c>
      <c r="N24" s="25">
        <f t="shared" si="4"/>
        <v>624000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2</v>
      </c>
      <c r="N26" s="25">
        <f t="shared" si="4"/>
        <v>432000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1</v>
      </c>
      <c r="N27" s="25">
        <f t="shared" si="4"/>
        <v>240000</v>
      </c>
      <c r="O27" s="31">
        <f>+U21+U22</f>
        <v>0</v>
      </c>
    </row>
    <row r="28" spans="1:15" x14ac:dyDescent="0.2">
      <c r="M28">
        <f>SUM(M16:M27)</f>
        <v>10</v>
      </c>
      <c r="N28" s="25">
        <f>SUM(N16:N27)*1.2</f>
        <v>1883520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10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10</v>
      </c>
      <c r="N34" s="37">
        <f>+L34*M34</f>
        <v>475338.55280898866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X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50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241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0</v>
      </c>
      <c r="H8" s="15"/>
      <c r="I8" s="16">
        <f t="shared" ref="I8:I22" si="0">+G8/$G$23</f>
        <v>0</v>
      </c>
      <c r="K8" s="7" t="s">
        <v>11</v>
      </c>
      <c r="L8" s="17">
        <v>0</v>
      </c>
      <c r="M8" s="8">
        <v>64</v>
      </c>
      <c r="N8" s="18">
        <f>N28</f>
        <v>671040</v>
      </c>
      <c r="O8" s="15">
        <f t="shared" ref="O8:O22" si="1">+G8/$G$29*$O$29</f>
        <v>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559200</v>
      </c>
      <c r="H10" s="15"/>
      <c r="I10" s="16">
        <f t="shared" si="0"/>
        <v>0.53190738412314154</v>
      </c>
      <c r="K10" s="7"/>
      <c r="L10" s="8"/>
      <c r="M10" s="8"/>
      <c r="N10" s="9"/>
      <c r="O10" s="15">
        <f t="shared" si="1"/>
        <v>69900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111840</v>
      </c>
      <c r="H11" s="15"/>
      <c r="I11" s="16">
        <f t="shared" si="0"/>
        <v>0.1063814768246283</v>
      </c>
      <c r="K11" s="7" t="s">
        <v>16</v>
      </c>
      <c r="L11" s="19">
        <f>(E12+E13+E14+E15+E16+E17+E18+E19+E20+E21+E22)/E29</f>
        <v>47533.855280898868</v>
      </c>
      <c r="M11" s="8">
        <f>M28</f>
        <v>8</v>
      </c>
      <c r="N11" s="18">
        <f>L11*M11</f>
        <v>380270.84224719094</v>
      </c>
      <c r="O11" s="15">
        <f t="shared" si="1"/>
        <v>13980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94650.632629213505</v>
      </c>
      <c r="H12" s="15"/>
      <c r="I12" s="16">
        <f t="shared" si="0"/>
        <v>9.0031062960310118E-2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103518.02966292134</v>
      </c>
      <c r="H13" s="15"/>
      <c r="I13" s="16">
        <f t="shared" si="0"/>
        <v>9.8465673046470428E-2</v>
      </c>
      <c r="K13" s="22" t="s">
        <v>21</v>
      </c>
      <c r="L13" s="23"/>
      <c r="M13" s="23"/>
      <c r="N13" s="24">
        <f>N8+N11</f>
        <v>1051310.8422471909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3.4516853897759076E-2</v>
      </c>
      <c r="H14" s="15"/>
      <c r="I14" s="16">
        <f t="shared" si="0"/>
        <v>3.2832205767020192E-8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18537.008898876407</v>
      </c>
      <c r="H15" s="15"/>
      <c r="I15" s="16">
        <f t="shared" si="0"/>
        <v>1.7632281675373295E-2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1625.1685393258426</v>
      </c>
      <c r="H17" s="15"/>
      <c r="I17" s="16">
        <f t="shared" si="0"/>
        <v>1.5458496897568594E-3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47093.607550561799</v>
      </c>
      <c r="H18" s="15"/>
      <c r="I18" s="16">
        <f t="shared" si="0"/>
        <v>4.4795131618635825E-2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22413.716134831458</v>
      </c>
      <c r="H19" s="15"/>
      <c r="I19" s="16">
        <f t="shared" si="0"/>
        <v>2.1319780253499378E-2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16.704719101123597</v>
      </c>
      <c r="H20" s="15"/>
      <c r="I20" s="16">
        <f t="shared" si="0"/>
        <v>1.5889419598695511E-5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81527.360719101154</v>
      </c>
      <c r="H21" s="15"/>
      <c r="I21" s="16">
        <f t="shared" si="0"/>
        <v>7.754829251530912E-2</v>
      </c>
      <c r="K21" t="s">
        <v>43</v>
      </c>
      <c r="L21" s="25">
        <v>66000</v>
      </c>
      <c r="M21">
        <f>7</f>
        <v>7</v>
      </c>
      <c r="N21" s="25">
        <f t="shared" si="4"/>
        <v>462000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10888.57887640449</v>
      </c>
      <c r="H22" s="15"/>
      <c r="I22" s="16">
        <f t="shared" si="0"/>
        <v>1.0357145041070829E-2</v>
      </c>
      <c r="K22" t="s">
        <v>46</v>
      </c>
      <c r="L22" s="25">
        <v>97200</v>
      </c>
      <c r="M22">
        <f>1</f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1051310.8422471909</v>
      </c>
      <c r="H23" s="29"/>
      <c r="I23" s="30">
        <f>SUM(I8:I22)</f>
        <v>1.0000000000000002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131413.85528089886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0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8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8</v>
      </c>
      <c r="N28" s="25">
        <f>SUM(N16:N27)*1.2</f>
        <v>671040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8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8</v>
      </c>
      <c r="N34" s="37">
        <f>+L34*M34</f>
        <v>380270.84224719094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hidden="1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13.28515625" hidden="1" customWidth="1"/>
    <col min="16" max="44" width="9.140625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242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264000</v>
      </c>
      <c r="H8" s="15"/>
      <c r="I8" s="16">
        <f t="shared" ref="I8:I22" si="0">+G8/$G$23</f>
        <v>0.47613098008230786</v>
      </c>
      <c r="K8" s="7" t="s">
        <v>11</v>
      </c>
      <c r="L8" s="17">
        <v>0</v>
      </c>
      <c r="M8" s="8">
        <v>64</v>
      </c>
      <c r="N8" s="18">
        <f>N28</f>
        <v>316800</v>
      </c>
      <c r="O8" s="15">
        <f t="shared" ref="O8:O22" si="1">+G8/$G$29*$O$29</f>
        <v>52800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0</v>
      </c>
      <c r="H10" s="15"/>
      <c r="I10" s="16">
        <f t="shared" si="0"/>
        <v>0</v>
      </c>
      <c r="K10" s="7"/>
      <c r="L10" s="8"/>
      <c r="M10" s="8"/>
      <c r="N10" s="9"/>
      <c r="O10" s="15">
        <f t="shared" si="1"/>
        <v>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52800</v>
      </c>
      <c r="H11" s="15"/>
      <c r="I11" s="16">
        <f t="shared" si="0"/>
        <v>9.5226196016461581E-2</v>
      </c>
      <c r="K11" s="7" t="s">
        <v>16</v>
      </c>
      <c r="L11" s="19">
        <f>(E12+E13+E14+E15+E16+E17+E18+E19+E20+E21+E22)/E29</f>
        <v>47533.855280898868</v>
      </c>
      <c r="M11" s="8">
        <f>M28</f>
        <v>5</v>
      </c>
      <c r="N11" s="18">
        <f>L11*M11</f>
        <v>237669.27640449433</v>
      </c>
      <c r="O11" s="15">
        <f t="shared" si="1"/>
        <v>10560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59156.645393258441</v>
      </c>
      <c r="H12" s="15"/>
      <c r="I12" s="16">
        <f t="shared" si="0"/>
        <v>0.10669057405103669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64698.768539325836</v>
      </c>
      <c r="H13" s="15"/>
      <c r="I13" s="16">
        <f t="shared" si="0"/>
        <v>0.11668593967707423</v>
      </c>
      <c r="K13" s="22" t="s">
        <v>21</v>
      </c>
      <c r="L13" s="23"/>
      <c r="M13" s="23"/>
      <c r="N13" s="24">
        <f>N8+N11</f>
        <v>554469.2764044943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2.1573033686099422E-2</v>
      </c>
      <c r="H14" s="15"/>
      <c r="I14" s="16">
        <f t="shared" si="0"/>
        <v>3.8907536637542275E-8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11585.630561797754</v>
      </c>
      <c r="H15" s="15"/>
      <c r="I15" s="16">
        <f t="shared" si="0"/>
        <v>2.0894991038864788E-2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1015.7303370786517</v>
      </c>
      <c r="H17" s="15"/>
      <c r="I17" s="16">
        <f t="shared" si="0"/>
        <v>1.8318965185325433E-3</v>
      </c>
      <c r="K17" t="s">
        <v>31</v>
      </c>
      <c r="L17" s="25">
        <v>52800</v>
      </c>
      <c r="M17">
        <f>5</f>
        <v>5</v>
      </c>
      <c r="N17" s="25">
        <f t="shared" si="4"/>
        <v>264000</v>
      </c>
      <c r="O17" s="15">
        <f t="shared" si="1"/>
        <v>203.14606741573033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29433.504719101125</v>
      </c>
      <c r="H18" s="15"/>
      <c r="I18" s="16">
        <f t="shared" si="0"/>
        <v>5.3084103974101716E-2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14008.572584269661</v>
      </c>
      <c r="H19" s="15"/>
      <c r="I19" s="16">
        <f t="shared" si="0"/>
        <v>2.5264831038266902E-2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10.440449438202249</v>
      </c>
      <c r="H20" s="15"/>
      <c r="I20" s="16">
        <f t="shared" si="0"/>
        <v>1.8829626604208399E-5</v>
      </c>
      <c r="K20" t="s">
        <v>40</v>
      </c>
      <c r="L20" s="25">
        <v>78000</v>
      </c>
      <c r="M20"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50954.600449438221</v>
      </c>
      <c r="H21" s="15"/>
      <c r="I21" s="16">
        <f t="shared" si="0"/>
        <v>9.1897969135202373E-2</v>
      </c>
      <c r="K21" t="s">
        <v>43</v>
      </c>
      <c r="L21" s="25">
        <v>66000</v>
      </c>
      <c r="M21">
        <v>0</v>
      </c>
      <c r="N21" s="25">
        <f t="shared" si="4"/>
        <v>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6805.3617977528065</v>
      </c>
      <c r="H22" s="15"/>
      <c r="I22" s="16">
        <f t="shared" si="0"/>
        <v>1.2273649934010381E-2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554469.27640449442</v>
      </c>
      <c r="H23" s="29"/>
      <c r="I23" s="30">
        <f>SUM(I8:I22)</f>
        <v>0.99999999999999978</v>
      </c>
      <c r="K23" t="s">
        <v>49</v>
      </c>
      <c r="L23" s="25">
        <v>120000</v>
      </c>
      <c r="M23">
        <v>0</v>
      </c>
      <c r="N23" s="25">
        <f t="shared" si="4"/>
        <v>0</v>
      </c>
      <c r="O23" s="28">
        <f>SUM(O8:O22)</f>
        <v>110893.85528089885</v>
      </c>
    </row>
    <row r="24" spans="1:15" x14ac:dyDescent="0.2">
      <c r="K24" t="s">
        <v>50</v>
      </c>
      <c r="L24" s="25">
        <v>156000</v>
      </c>
      <c r="M24"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0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5</v>
      </c>
      <c r="N28" s="25">
        <f>SUM(N16:N27)*1.2</f>
        <v>316800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5</v>
      </c>
      <c r="H29" s="32"/>
      <c r="I29" s="25"/>
      <c r="O29" s="31"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5</v>
      </c>
      <c r="N34" s="37">
        <f>+L34*M34</f>
        <v>237669.27640449433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Q49"/>
  <sheetViews>
    <sheetView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90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2197008</v>
      </c>
      <c r="H8" s="7" t="s">
        <v>11</v>
      </c>
      <c r="I8" s="17">
        <v>0</v>
      </c>
      <c r="J8" s="8"/>
      <c r="K8" s="18">
        <f>K28</f>
        <v>3912480</v>
      </c>
      <c r="O8" s="15">
        <f>+G8/$G$29*$O$29</f>
        <v>81370.666666666672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ref="O9:O21" si="0">+G9/$G$29*$O$29</f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29200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927072</v>
      </c>
      <c r="H11" s="7" t="s">
        <v>16</v>
      </c>
      <c r="I11" s="19">
        <f>(E12+E13+E14+E15+E16+E17+E18+E19+E20+E21+E22)/E29</f>
        <v>31253.507839999998</v>
      </c>
      <c r="J11" s="8">
        <f>J28</f>
        <v>27</v>
      </c>
      <c r="K11" s="18">
        <f>I11*J11</f>
        <v>843844.71167999995</v>
      </c>
      <c r="O11" s="15">
        <f t="shared" si="0"/>
        <v>34336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58164.592319999996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257361.26975999997</v>
      </c>
      <c r="H13" s="22" t="s">
        <v>21</v>
      </c>
      <c r="I13" s="47"/>
      <c r="J13" s="23"/>
      <c r="K13" s="24">
        <f>K8+K11</f>
        <v>4756324.7116799997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436959.34272000002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5553.2908799999987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1627.4476800000002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16596.07488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45225.941760000002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1675.0348800000002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17080.562880000038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5276.1888000000081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>+G22/$G$29*$O$29</f>
        <v>195.41440000000031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4756324.7116799997</v>
      </c>
      <c r="H23" t="s">
        <v>49</v>
      </c>
      <c r="I23" s="25">
        <v>120000</v>
      </c>
      <c r="J23">
        <f>6+1+1</f>
        <v>8</v>
      </c>
      <c r="K23">
        <f t="shared" si="2"/>
        <v>960000</v>
      </c>
      <c r="O23" s="28">
        <f>SUM(O8:O22)</f>
        <v>176160.17450666669</v>
      </c>
      <c r="AK23" s="29"/>
    </row>
    <row r="24" spans="1:37" x14ac:dyDescent="0.2">
      <c r="H24" t="s">
        <v>50</v>
      </c>
      <c r="I24" s="25">
        <v>156000</v>
      </c>
      <c r="J24">
        <v>4</v>
      </c>
      <c r="K24">
        <f t="shared" si="2"/>
        <v>624000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16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f>1+1+1</f>
        <v>3</v>
      </c>
      <c r="K26">
        <f t="shared" si="2"/>
        <v>648000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27</v>
      </c>
      <c r="K28">
        <f>SUM(K16:K27)*1.2</f>
        <v>3912480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27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27</v>
      </c>
      <c r="K34" s="37">
        <f>+I34*J34</f>
        <v>843844.71167999995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2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243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990504</v>
      </c>
      <c r="H8" s="7" t="s">
        <v>11</v>
      </c>
      <c r="I8" s="17">
        <v>0</v>
      </c>
      <c r="J8" s="8"/>
      <c r="K8" s="18">
        <f>K28</f>
        <v>1128000</v>
      </c>
      <c r="O8" s="15">
        <f t="shared" ref="O8:O22" si="0">+G8/$G$29*$O$29</f>
        <v>141500.57142857142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307603.49199999997</v>
      </c>
      <c r="H11" s="7" t="s">
        <v>16</v>
      </c>
      <c r="I11" s="19">
        <f>(E12+E13+E14+E15+E16+E17+E18+E19+E20+E21+E22)/E29</f>
        <v>31253.507839999998</v>
      </c>
      <c r="J11" s="8">
        <f>J28</f>
        <v>7</v>
      </c>
      <c r="K11" s="18">
        <f>I11*J11</f>
        <v>218774.55487999998</v>
      </c>
      <c r="O11" s="15">
        <f t="shared" si="0"/>
        <v>43943.355999999992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15079.709119999998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66723.292159999997</v>
      </c>
      <c r="H13" s="22" t="s">
        <v>21</v>
      </c>
      <c r="I13" s="47"/>
      <c r="J13" s="23"/>
      <c r="K13" s="24">
        <f>K8+K11</f>
        <v>1346774.55488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113285.75552000001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1439.7420799999998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421.93088000000006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4302.6860800000004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11725.24416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4428.2940800000106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632.61344000000156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1367.9008000000019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1516882.04688</v>
      </c>
      <c r="H23" t="s">
        <v>49</v>
      </c>
      <c r="I23" s="25">
        <v>120000</v>
      </c>
      <c r="J23">
        <v>3</v>
      </c>
      <c r="K23">
        <f t="shared" si="2"/>
        <v>360000</v>
      </c>
      <c r="O23" s="28">
        <f>SUM(O8:O22)</f>
        <v>216697.43526857143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7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1</v>
      </c>
      <c r="K26">
        <f t="shared" si="2"/>
        <v>216000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1</v>
      </c>
      <c r="K27">
        <f t="shared" si="2"/>
        <v>240000</v>
      </c>
      <c r="O27" s="31">
        <f>+U21+U22</f>
        <v>0</v>
      </c>
      <c r="AK27" s="32"/>
    </row>
    <row r="28" spans="1:37" x14ac:dyDescent="0.2">
      <c r="J28">
        <f>SUM(J16:J27)</f>
        <v>7</v>
      </c>
      <c r="K28">
        <f>SUM(K16:K27)</f>
        <v>1128000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7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7</v>
      </c>
      <c r="K34" s="37">
        <f>+I34*J34</f>
        <v>218774.55487999998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88"/>
  <sheetViews>
    <sheetView zoomScaleNormal="100" workbookViewId="0">
      <selection activeCell="Q30" sqref="Q30"/>
    </sheetView>
  </sheetViews>
  <sheetFormatPr defaultRowHeight="12.75" x14ac:dyDescent="0.2"/>
  <cols>
    <col min="4" max="4" width="29.28515625" customWidth="1"/>
    <col min="5" max="5" width="18.5703125" customWidth="1"/>
    <col min="6" max="6" width="2.7109375" customWidth="1"/>
    <col min="7" max="7" width="18.5703125" customWidth="1"/>
    <col min="8" max="8" width="15.5703125" hidden="1" customWidth="1"/>
    <col min="9" max="9" width="2.5703125" hidden="1" customWidth="1"/>
    <col min="10" max="10" width="10.7109375" hidden="1" customWidth="1"/>
    <col min="11" max="11" width="2.85546875" hidden="1" customWidth="1"/>
    <col min="12" max="12" width="15.5703125" hidden="1" customWidth="1"/>
    <col min="13" max="13" width="2.7109375" hidden="1" customWidth="1"/>
    <col min="14" max="14" width="10.7109375" hidden="1" customWidth="1"/>
    <col min="15" max="15" width="2.7109375" customWidth="1"/>
    <col min="16" max="16" width="15.5703125" bestFit="1" customWidth="1"/>
    <col min="17" max="17" width="2.7109375" customWidth="1"/>
    <col min="18" max="18" width="10" customWidth="1"/>
    <col min="19" max="19" width="2.7109375" customWidth="1"/>
    <col min="20" max="20" width="10.7109375" bestFit="1" customWidth="1"/>
    <col min="21" max="21" width="49.42578125" bestFit="1" customWidth="1"/>
  </cols>
  <sheetData>
    <row r="1" spans="1:22" x14ac:dyDescent="0.2">
      <c r="A1" s="83" t="s">
        <v>146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22" x14ac:dyDescent="0.2">
      <c r="A2" s="83" t="s">
        <v>212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22" ht="13.5" thickBot="1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spans="1:22" ht="13.5" thickBot="1" x14ac:dyDescent="0.25">
      <c r="A4" s="60"/>
      <c r="H4" s="84" t="s">
        <v>201</v>
      </c>
      <c r="I4" s="111"/>
      <c r="J4" s="84">
        <v>2000</v>
      </c>
      <c r="L4" s="84" t="s">
        <v>202</v>
      </c>
      <c r="N4" s="84">
        <v>2001</v>
      </c>
      <c r="P4" s="84" t="s">
        <v>1</v>
      </c>
      <c r="T4" s="84" t="s">
        <v>1</v>
      </c>
    </row>
    <row r="5" spans="1:22" ht="13.5" thickBot="1" x14ac:dyDescent="0.25">
      <c r="E5" s="84" t="s">
        <v>147</v>
      </c>
      <c r="G5" s="121" t="s">
        <v>148</v>
      </c>
      <c r="H5" s="112" t="s">
        <v>149</v>
      </c>
      <c r="I5" s="111"/>
      <c r="J5" s="112" t="s">
        <v>51</v>
      </c>
      <c r="K5" s="111"/>
      <c r="L5" s="112" t="s">
        <v>149</v>
      </c>
      <c r="M5" s="2"/>
      <c r="N5" s="112" t="s">
        <v>51</v>
      </c>
      <c r="O5" s="2"/>
      <c r="P5" s="112" t="s">
        <v>149</v>
      </c>
      <c r="R5" s="84" t="s">
        <v>150</v>
      </c>
      <c r="T5" s="112" t="s">
        <v>51</v>
      </c>
    </row>
    <row r="6" spans="1:22" x14ac:dyDescent="0.2">
      <c r="E6" s="85"/>
      <c r="G6" s="85"/>
      <c r="H6" s="86"/>
      <c r="I6" s="110"/>
      <c r="J6" s="86"/>
      <c r="K6" s="110"/>
      <c r="L6" s="86"/>
      <c r="M6" s="2"/>
      <c r="N6" s="86"/>
      <c r="O6" s="2"/>
      <c r="P6" s="86"/>
      <c r="R6" s="85"/>
      <c r="T6" s="86"/>
    </row>
    <row r="7" spans="1:22" x14ac:dyDescent="0.2">
      <c r="E7" s="86"/>
      <c r="G7" s="86"/>
      <c r="H7" s="86"/>
      <c r="I7" s="110"/>
      <c r="J7" s="86"/>
      <c r="K7" s="110"/>
      <c r="L7" s="86"/>
      <c r="M7" s="2"/>
      <c r="N7" s="86"/>
      <c r="O7" s="2"/>
      <c r="P7" s="86"/>
      <c r="R7" s="86"/>
      <c r="T7" s="86"/>
    </row>
    <row r="8" spans="1:22" x14ac:dyDescent="0.2">
      <c r="B8" t="s">
        <v>211</v>
      </c>
      <c r="E8" s="87">
        <v>0</v>
      </c>
      <c r="F8" s="88"/>
      <c r="G8" s="87">
        <v>425</v>
      </c>
      <c r="H8" s="87">
        <f>67.7-0.7+4.6</f>
        <v>71.599999999999994</v>
      </c>
      <c r="I8" s="104"/>
      <c r="J8" s="113">
        <f>151+12</f>
        <v>163</v>
      </c>
      <c r="K8" s="104"/>
      <c r="L8" s="87">
        <f>29.1+5+4.1</f>
        <v>38.200000000000003</v>
      </c>
      <c r="M8" s="89" t="s">
        <v>151</v>
      </c>
      <c r="N8" s="90">
        <f>164-37+16</f>
        <v>143</v>
      </c>
      <c r="O8" s="89"/>
      <c r="P8" s="87">
        <v>20.6</v>
      </c>
      <c r="Q8" s="88"/>
      <c r="R8" s="87">
        <f>G8-P8</f>
        <v>404.4</v>
      </c>
      <c r="T8" s="90">
        <v>90</v>
      </c>
    </row>
    <row r="9" spans="1:22" x14ac:dyDescent="0.2">
      <c r="E9" s="87"/>
      <c r="F9" s="88"/>
      <c r="G9" s="87"/>
      <c r="H9" s="87"/>
      <c r="I9" s="104"/>
      <c r="J9" s="101"/>
      <c r="K9" s="104"/>
      <c r="L9" s="103" t="s">
        <v>151</v>
      </c>
      <c r="M9" s="88"/>
      <c r="N9" s="90"/>
      <c r="O9" s="88"/>
      <c r="P9" s="87"/>
      <c r="Q9" s="88"/>
      <c r="R9" s="87"/>
      <c r="T9" s="90"/>
    </row>
    <row r="10" spans="1:22" x14ac:dyDescent="0.2">
      <c r="B10" t="s">
        <v>180</v>
      </c>
      <c r="E10" s="87">
        <v>0</v>
      </c>
      <c r="F10" s="88"/>
      <c r="G10" s="87">
        <v>250</v>
      </c>
      <c r="H10" s="87">
        <v>29.9</v>
      </c>
      <c r="I10" s="104"/>
      <c r="J10" s="93">
        <v>147</v>
      </c>
      <c r="K10" s="104"/>
      <c r="L10" s="87">
        <f>32.8+6.4+0.5</f>
        <v>39.699999999999996</v>
      </c>
      <c r="M10" s="88"/>
      <c r="N10" s="90">
        <f>216-29</f>
        <v>187</v>
      </c>
      <c r="O10" s="88"/>
      <c r="P10" s="87">
        <v>10.6</v>
      </c>
      <c r="Q10" s="88"/>
      <c r="R10" s="87">
        <f>G10-P10</f>
        <v>239.4</v>
      </c>
      <c r="T10" s="90">
        <v>64</v>
      </c>
    </row>
    <row r="11" spans="1:22" x14ac:dyDescent="0.2">
      <c r="E11" s="87"/>
      <c r="F11" s="88"/>
      <c r="G11" s="87"/>
      <c r="H11" s="87"/>
      <c r="I11" s="104"/>
      <c r="J11" s="101"/>
      <c r="K11" s="104"/>
      <c r="L11" s="87"/>
      <c r="M11" s="88"/>
      <c r="N11" s="90"/>
      <c r="O11" s="88"/>
      <c r="P11" s="87"/>
      <c r="Q11" s="88"/>
      <c r="R11" s="87"/>
      <c r="T11" s="90"/>
    </row>
    <row r="12" spans="1:22" x14ac:dyDescent="0.2">
      <c r="B12" t="s">
        <v>152</v>
      </c>
      <c r="E12" s="87">
        <v>0</v>
      </c>
      <c r="F12" s="88"/>
      <c r="G12" s="87">
        <v>150</v>
      </c>
      <c r="H12" s="87">
        <v>18.100000000000001</v>
      </c>
      <c r="I12" s="104"/>
      <c r="J12" s="93">
        <v>67</v>
      </c>
      <c r="K12" s="104"/>
      <c r="L12" s="87">
        <f>27.3+6.5</f>
        <v>33.799999999999997</v>
      </c>
      <c r="M12" s="88"/>
      <c r="N12" s="90">
        <f>106-10</f>
        <v>96</v>
      </c>
      <c r="O12" s="88"/>
      <c r="P12" s="87">
        <v>7.9</v>
      </c>
      <c r="Q12" s="88"/>
      <c r="R12" s="87">
        <f>G12-P12</f>
        <v>142.1</v>
      </c>
      <c r="T12" s="90">
        <v>42</v>
      </c>
    </row>
    <row r="13" spans="1:22" x14ac:dyDescent="0.2">
      <c r="E13" s="87"/>
      <c r="F13" s="88"/>
      <c r="G13" s="87"/>
      <c r="H13" s="87"/>
      <c r="I13" s="104"/>
      <c r="J13" s="101"/>
      <c r="K13" s="104"/>
      <c r="L13" s="87"/>
      <c r="M13" s="88"/>
      <c r="N13" s="90"/>
      <c r="O13" s="88"/>
      <c r="P13" s="87"/>
      <c r="Q13" s="88"/>
      <c r="R13" s="87"/>
      <c r="T13" s="90"/>
    </row>
    <row r="14" spans="1:22" x14ac:dyDescent="0.2">
      <c r="B14" t="s">
        <v>181</v>
      </c>
      <c r="E14" s="87">
        <v>0</v>
      </c>
      <c r="F14" s="88"/>
      <c r="G14" s="87">
        <v>50</v>
      </c>
      <c r="H14" s="87">
        <v>8</v>
      </c>
      <c r="I14" s="104"/>
      <c r="J14" s="93">
        <v>47</v>
      </c>
      <c r="K14" s="104"/>
      <c r="L14" s="87">
        <v>9</v>
      </c>
      <c r="M14" s="88"/>
      <c r="N14" s="90">
        <v>49</v>
      </c>
      <c r="O14" s="88"/>
      <c r="P14" s="87">
        <v>4.8</v>
      </c>
      <c r="Q14" s="88"/>
      <c r="R14" s="87">
        <f>G14-P14</f>
        <v>45.2</v>
      </c>
      <c r="T14" s="90">
        <v>27</v>
      </c>
      <c r="V14" s="8"/>
    </row>
    <row r="15" spans="1:22" hidden="1" x14ac:dyDescent="0.2">
      <c r="E15" s="87"/>
      <c r="F15" s="88"/>
      <c r="G15" s="87"/>
      <c r="H15" s="87"/>
      <c r="I15" s="104"/>
      <c r="J15" s="101"/>
      <c r="K15" s="104"/>
      <c r="L15" s="87"/>
      <c r="M15" s="88"/>
      <c r="N15" s="90"/>
      <c r="O15" s="88"/>
      <c r="P15" s="87"/>
      <c r="Q15" s="88"/>
      <c r="R15" s="87"/>
      <c r="T15" s="90"/>
      <c r="V15" s="8"/>
    </row>
    <row r="16" spans="1:22" hidden="1" x14ac:dyDescent="0.2">
      <c r="B16" t="s">
        <v>70</v>
      </c>
      <c r="E16" s="87"/>
      <c r="F16" s="88"/>
      <c r="G16" s="87">
        <v>0</v>
      </c>
      <c r="H16" s="87">
        <v>0</v>
      </c>
      <c r="I16" s="104"/>
      <c r="J16" s="93">
        <v>0</v>
      </c>
      <c r="K16" s="104"/>
      <c r="L16" s="87">
        <v>0</v>
      </c>
      <c r="M16" s="88"/>
      <c r="N16" s="90">
        <v>0</v>
      </c>
      <c r="O16" s="88"/>
      <c r="P16" s="87">
        <v>0</v>
      </c>
      <c r="Q16" s="88"/>
      <c r="R16" s="87">
        <f>G16-P16</f>
        <v>0</v>
      </c>
      <c r="T16" s="90">
        <v>0</v>
      </c>
      <c r="V16" s="8"/>
    </row>
    <row r="17" spans="2:24" x14ac:dyDescent="0.2">
      <c r="E17" s="87"/>
      <c r="F17" s="88"/>
      <c r="G17" s="87"/>
      <c r="H17" s="87"/>
      <c r="I17" s="104"/>
      <c r="J17" s="101"/>
      <c r="K17" s="104"/>
      <c r="L17" s="87"/>
      <c r="M17" s="88"/>
      <c r="N17" s="90"/>
      <c r="O17" s="88"/>
      <c r="P17" s="87"/>
      <c r="Q17" s="88"/>
      <c r="R17" s="87"/>
      <c r="T17" s="90"/>
      <c r="V17" s="8"/>
    </row>
    <row r="18" spans="2:24" hidden="1" x14ac:dyDescent="0.2">
      <c r="B18" t="s">
        <v>203</v>
      </c>
      <c r="E18" s="87"/>
      <c r="F18" s="88"/>
      <c r="G18" s="87"/>
      <c r="H18" s="87">
        <v>162</v>
      </c>
      <c r="I18" s="104"/>
      <c r="J18" s="93">
        <v>151</v>
      </c>
      <c r="K18" s="104"/>
      <c r="L18" s="87">
        <v>140</v>
      </c>
      <c r="M18" s="88"/>
      <c r="N18" s="113">
        <f>25+17</f>
        <v>42</v>
      </c>
      <c r="O18" s="88"/>
      <c r="P18" s="87">
        <v>0</v>
      </c>
      <c r="Q18" s="88"/>
      <c r="R18" s="87"/>
      <c r="T18" s="101">
        <v>0</v>
      </c>
      <c r="V18" s="8"/>
    </row>
    <row r="19" spans="2:24" hidden="1" x14ac:dyDescent="0.2">
      <c r="E19" s="87"/>
      <c r="F19" s="88"/>
      <c r="G19" s="87"/>
      <c r="H19" s="87"/>
      <c r="I19" s="104"/>
      <c r="J19" s="101" t="s">
        <v>151</v>
      </c>
      <c r="K19" s="104"/>
      <c r="L19" s="87"/>
      <c r="M19" s="88"/>
      <c r="N19" s="90" t="s">
        <v>151</v>
      </c>
      <c r="O19" s="88"/>
      <c r="P19" s="87"/>
      <c r="Q19" s="88"/>
      <c r="R19" s="87"/>
      <c r="T19" s="90" t="s">
        <v>151</v>
      </c>
      <c r="V19" s="8"/>
    </row>
    <row r="20" spans="2:24" hidden="1" x14ac:dyDescent="0.2">
      <c r="B20" t="s">
        <v>204</v>
      </c>
      <c r="E20" s="87"/>
      <c r="F20" s="88"/>
      <c r="G20" s="87"/>
      <c r="H20" s="87">
        <v>31</v>
      </c>
      <c r="I20" s="104"/>
      <c r="J20" s="93">
        <v>107</v>
      </c>
      <c r="K20" s="104"/>
      <c r="L20" s="87">
        <v>7</v>
      </c>
      <c r="M20" s="88"/>
      <c r="N20" s="93">
        <v>36</v>
      </c>
      <c r="O20" s="88"/>
      <c r="P20" s="87">
        <v>0</v>
      </c>
      <c r="Q20" s="88"/>
      <c r="R20" s="87"/>
      <c r="T20" s="101">
        <v>0</v>
      </c>
      <c r="V20" s="8"/>
    </row>
    <row r="21" spans="2:24" hidden="1" x14ac:dyDescent="0.2">
      <c r="E21" s="87"/>
      <c r="F21" s="88"/>
      <c r="G21" s="87"/>
      <c r="H21" s="87"/>
      <c r="I21" s="104"/>
      <c r="J21" s="101"/>
      <c r="K21" s="104"/>
      <c r="L21" s="87"/>
      <c r="M21" s="88"/>
      <c r="N21" s="90"/>
      <c r="O21" s="88"/>
      <c r="P21" s="87"/>
      <c r="Q21" s="88"/>
      <c r="R21" s="87"/>
      <c r="T21" s="90"/>
      <c r="V21" s="8"/>
    </row>
    <row r="22" spans="2:24" x14ac:dyDescent="0.2">
      <c r="B22" t="s">
        <v>205</v>
      </c>
      <c r="E22" s="90"/>
      <c r="G22" s="90"/>
      <c r="H22" s="90">
        <v>34.299999999999997</v>
      </c>
      <c r="I22" s="8"/>
      <c r="J22" s="93">
        <v>65</v>
      </c>
      <c r="K22" s="8"/>
      <c r="L22" s="90">
        <v>257.10000000000002</v>
      </c>
      <c r="N22" s="90">
        <v>5</v>
      </c>
      <c r="P22" s="87">
        <v>2.1</v>
      </c>
      <c r="R22" s="87">
        <f>G22-P22</f>
        <v>-2.1</v>
      </c>
      <c r="T22" s="90">
        <v>6</v>
      </c>
    </row>
    <row r="23" spans="2:24" x14ac:dyDescent="0.2">
      <c r="E23" s="92"/>
      <c r="G23" s="92"/>
      <c r="H23" s="90"/>
      <c r="I23" s="8"/>
      <c r="J23" s="92"/>
      <c r="K23" s="8"/>
      <c r="L23" s="90"/>
      <c r="N23" s="92"/>
      <c r="P23" s="91"/>
      <c r="R23" s="92"/>
      <c r="T23" s="92"/>
    </row>
    <row r="24" spans="2:24" x14ac:dyDescent="0.2">
      <c r="D24" s="33" t="s">
        <v>153</v>
      </c>
      <c r="E24" s="94">
        <v>60</v>
      </c>
      <c r="G24" s="95">
        <f>G14+G12+G10+G8</f>
        <v>875</v>
      </c>
      <c r="H24" s="95">
        <f>+H8+H10+H12+H14+H16+H22+H18+H20</f>
        <v>354.9</v>
      </c>
      <c r="I24" s="105"/>
      <c r="J24" s="96">
        <f>+J8+J10+J12+J14+J16+J18+J20+J22</f>
        <v>747</v>
      </c>
      <c r="K24" s="105"/>
      <c r="L24" s="95">
        <f>+L8+L10+L12+L14+L16+L22+L18+L20</f>
        <v>524.79999999999995</v>
      </c>
      <c r="N24" s="96">
        <f>+N8+N10+N12+N14+N16+N22+N18+N20</f>
        <v>558</v>
      </c>
      <c r="P24" s="95">
        <f>+P8+P10+P12+P14+P16+P22+P18+P20</f>
        <v>46</v>
      </c>
      <c r="R24" s="87">
        <f>G24-P24</f>
        <v>829</v>
      </c>
      <c r="T24" s="96">
        <f>+T8+T10+T12+T14+T16+T22+T18+T20</f>
        <v>229</v>
      </c>
    </row>
    <row r="25" spans="2:24" x14ac:dyDescent="0.2">
      <c r="H25" s="90"/>
      <c r="I25" s="8"/>
      <c r="J25" s="97"/>
      <c r="L25" s="90"/>
      <c r="N25" s="97"/>
      <c r="P25" s="87"/>
      <c r="R25" s="97"/>
      <c r="T25" s="97"/>
    </row>
    <row r="26" spans="2:24" x14ac:dyDescent="0.2">
      <c r="B26" t="s">
        <v>154</v>
      </c>
      <c r="H26" s="114">
        <v>14</v>
      </c>
      <c r="I26" s="115"/>
      <c r="J26" s="93">
        <v>128</v>
      </c>
      <c r="L26" s="90">
        <v>7.9</v>
      </c>
      <c r="M26" t="s">
        <v>151</v>
      </c>
      <c r="N26" s="90">
        <v>122</v>
      </c>
      <c r="P26" s="87">
        <v>6.8</v>
      </c>
      <c r="R26" s="98">
        <f>G26-P26</f>
        <v>-6.8</v>
      </c>
      <c r="T26" s="90">
        <v>45</v>
      </c>
      <c r="U26" t="s">
        <v>151</v>
      </c>
      <c r="V26" t="s">
        <v>151</v>
      </c>
      <c r="W26" t="s">
        <v>151</v>
      </c>
      <c r="X26" t="s">
        <v>151</v>
      </c>
    </row>
    <row r="27" spans="2:24" x14ac:dyDescent="0.2">
      <c r="H27" s="90"/>
      <c r="I27" s="8"/>
      <c r="J27" s="90"/>
      <c r="L27" s="90"/>
      <c r="N27" s="90"/>
      <c r="P27" s="87"/>
      <c r="R27" s="98"/>
      <c r="T27" s="90"/>
    </row>
    <row r="28" spans="2:24" x14ac:dyDescent="0.2">
      <c r="B28" t="s">
        <v>206</v>
      </c>
      <c r="E28" t="s">
        <v>151</v>
      </c>
      <c r="H28" s="90">
        <v>5.7</v>
      </c>
      <c r="I28" s="8"/>
      <c r="J28" s="93">
        <v>30</v>
      </c>
      <c r="L28" s="90">
        <v>2.5</v>
      </c>
      <c r="M28" t="s">
        <v>151</v>
      </c>
      <c r="N28" s="90">
        <f>28+7</f>
        <v>35</v>
      </c>
      <c r="P28" s="87">
        <f>1.1+1</f>
        <v>2.1</v>
      </c>
      <c r="R28" s="98">
        <f>G28-P28</f>
        <v>-2.1</v>
      </c>
      <c r="T28" s="90">
        <f>6+4</f>
        <v>10</v>
      </c>
    </row>
    <row r="29" spans="2:24" x14ac:dyDescent="0.2">
      <c r="H29" s="90"/>
      <c r="I29" s="8"/>
      <c r="J29" s="90"/>
      <c r="L29" s="90" t="s">
        <v>151</v>
      </c>
      <c r="N29" s="90"/>
      <c r="P29" s="87"/>
      <c r="R29" s="98"/>
      <c r="T29" s="90"/>
    </row>
    <row r="30" spans="2:24" x14ac:dyDescent="0.2">
      <c r="B30" t="s">
        <v>118</v>
      </c>
      <c r="H30" s="90">
        <v>11.4</v>
      </c>
      <c r="I30" s="8"/>
      <c r="J30" s="116" t="s">
        <v>151</v>
      </c>
      <c r="L30" s="90">
        <v>9.5</v>
      </c>
      <c r="M30" t="s">
        <v>151</v>
      </c>
      <c r="N30" s="93"/>
      <c r="P30" s="87">
        <v>2.2000000000000002</v>
      </c>
      <c r="R30" s="98">
        <f>G30-P30</f>
        <v>-2.2000000000000002</v>
      </c>
      <c r="T30" s="90">
        <v>10</v>
      </c>
    </row>
    <row r="31" spans="2:24" x14ac:dyDescent="0.2">
      <c r="H31" s="90"/>
      <c r="I31" s="8"/>
      <c r="J31" s="90"/>
      <c r="L31" s="90"/>
      <c r="M31" t="s">
        <v>151</v>
      </c>
      <c r="N31" s="90"/>
      <c r="P31" s="87"/>
      <c r="R31" s="90"/>
      <c r="T31" s="90"/>
    </row>
    <row r="32" spans="2:24" x14ac:dyDescent="0.2">
      <c r="B32" t="s">
        <v>123</v>
      </c>
      <c r="H32" s="90">
        <v>11.4</v>
      </c>
      <c r="I32" s="8"/>
      <c r="J32" s="116" t="s">
        <v>151</v>
      </c>
      <c r="L32" s="114">
        <v>7.3</v>
      </c>
      <c r="N32" s="101"/>
      <c r="P32" s="87">
        <v>2.2999999999999998</v>
      </c>
      <c r="R32" s="98">
        <f>G32-P32</f>
        <v>-2.2999999999999998</v>
      </c>
      <c r="T32" s="90">
        <v>15</v>
      </c>
    </row>
    <row r="33" spans="2:22" x14ac:dyDescent="0.2">
      <c r="H33" s="90"/>
      <c r="I33" s="8"/>
      <c r="J33" s="90"/>
      <c r="L33" s="90"/>
      <c r="N33" s="90"/>
      <c r="P33" s="87"/>
      <c r="R33" s="90"/>
      <c r="T33" s="90"/>
    </row>
    <row r="34" spans="2:22" x14ac:dyDescent="0.2">
      <c r="B34" t="s">
        <v>219</v>
      </c>
      <c r="H34" s="90">
        <v>1.2</v>
      </c>
      <c r="I34" s="8"/>
      <c r="J34" s="116">
        <v>0</v>
      </c>
      <c r="L34" s="90">
        <v>0.7</v>
      </c>
      <c r="M34" t="s">
        <v>151</v>
      </c>
      <c r="N34" s="90">
        <v>26</v>
      </c>
      <c r="P34" s="87">
        <v>2.2000000000000002</v>
      </c>
      <c r="R34" s="98">
        <f>G34-P34</f>
        <v>-2.2000000000000002</v>
      </c>
      <c r="T34" s="90">
        <v>11</v>
      </c>
    </row>
    <row r="35" spans="2:22" x14ac:dyDescent="0.2">
      <c r="H35" s="90"/>
      <c r="I35" s="8"/>
      <c r="J35" s="90"/>
      <c r="L35" s="90"/>
      <c r="N35" s="90"/>
      <c r="P35" s="87"/>
      <c r="R35" s="98"/>
      <c r="T35" s="90"/>
    </row>
    <row r="36" spans="2:22" hidden="1" x14ac:dyDescent="0.2">
      <c r="B36" t="s">
        <v>179</v>
      </c>
      <c r="H36" s="90">
        <v>1.1000000000000001</v>
      </c>
      <c r="I36" s="8"/>
      <c r="J36" s="116">
        <v>0</v>
      </c>
      <c r="L36" s="90">
        <v>0.7</v>
      </c>
      <c r="N36" s="90">
        <v>27</v>
      </c>
      <c r="P36" s="87">
        <v>0</v>
      </c>
      <c r="R36" s="98">
        <f>G36-P36</f>
        <v>0</v>
      </c>
      <c r="T36" s="90">
        <v>0</v>
      </c>
    </row>
    <row r="37" spans="2:22" hidden="1" x14ac:dyDescent="0.2">
      <c r="H37" s="90"/>
      <c r="I37" s="8"/>
      <c r="J37" s="90" t="s">
        <v>151</v>
      </c>
      <c r="L37" s="90"/>
      <c r="N37" s="90" t="s">
        <v>151</v>
      </c>
      <c r="P37" s="87"/>
      <c r="R37" s="90"/>
      <c r="T37" s="90" t="s">
        <v>151</v>
      </c>
    </row>
    <row r="38" spans="2:22" x14ac:dyDescent="0.2">
      <c r="B38" t="s">
        <v>155</v>
      </c>
      <c r="H38" s="90"/>
      <c r="I38" s="8"/>
      <c r="J38" s="116" t="s">
        <v>151</v>
      </c>
      <c r="L38" s="90"/>
      <c r="M38" t="s">
        <v>151</v>
      </c>
      <c r="N38" s="90"/>
      <c r="P38" s="87"/>
      <c r="R38" s="98"/>
      <c r="T38" s="90"/>
    </row>
    <row r="39" spans="2:22" x14ac:dyDescent="0.2">
      <c r="C39" t="s">
        <v>156</v>
      </c>
      <c r="H39" s="90">
        <v>10.199999999999999</v>
      </c>
      <c r="I39" s="8"/>
      <c r="J39" s="113" t="s">
        <v>151</v>
      </c>
      <c r="L39" s="114">
        <v>7.6</v>
      </c>
      <c r="N39" s="87"/>
      <c r="P39" s="87">
        <f>(T39/$T$49)*$P$49</f>
        <v>5.3565217391304349</v>
      </c>
      <c r="R39" s="98">
        <f t="shared" ref="R39:R47" si="0">G39-P39</f>
        <v>-5.3565217391304349</v>
      </c>
      <c r="T39" s="90">
        <v>32</v>
      </c>
      <c r="U39">
        <v>5</v>
      </c>
      <c r="V39">
        <v>0.5</v>
      </c>
    </row>
    <row r="40" spans="2:22" x14ac:dyDescent="0.2">
      <c r="C40" t="s">
        <v>157</v>
      </c>
      <c r="H40" s="90">
        <v>8.6</v>
      </c>
      <c r="I40" s="8"/>
      <c r="J40" s="113" t="s">
        <v>151</v>
      </c>
      <c r="L40" s="114">
        <v>6</v>
      </c>
      <c r="N40" s="87"/>
      <c r="P40" s="87">
        <f t="shared" ref="P40:P47" si="1">(T40/$T$49)*$P$49</f>
        <v>6.5282608695652176</v>
      </c>
      <c r="R40" s="98">
        <f t="shared" si="0"/>
        <v>-6.5282608695652176</v>
      </c>
      <c r="T40" s="90">
        <v>39</v>
      </c>
      <c r="U40">
        <v>4</v>
      </c>
      <c r="V40">
        <v>0.5</v>
      </c>
    </row>
    <row r="41" spans="2:22" x14ac:dyDescent="0.2">
      <c r="C41" t="s">
        <v>158</v>
      </c>
      <c r="H41" s="90">
        <v>5.9</v>
      </c>
      <c r="I41" s="8"/>
      <c r="J41" s="113" t="s">
        <v>151</v>
      </c>
      <c r="L41" s="114">
        <v>4</v>
      </c>
      <c r="N41" s="87"/>
      <c r="P41" s="87">
        <f t="shared" si="1"/>
        <v>4.8543478260869568</v>
      </c>
      <c r="R41" s="98">
        <f t="shared" si="0"/>
        <v>-4.8543478260869568</v>
      </c>
      <c r="T41" s="90">
        <f>21+8</f>
        <v>29</v>
      </c>
      <c r="U41">
        <v>4</v>
      </c>
      <c r="V41">
        <v>0.5</v>
      </c>
    </row>
    <row r="42" spans="2:22" x14ac:dyDescent="0.2">
      <c r="C42" t="s">
        <v>159</v>
      </c>
      <c r="H42" s="90">
        <v>3.1</v>
      </c>
      <c r="I42" s="8"/>
      <c r="J42" s="116" t="s">
        <v>151</v>
      </c>
      <c r="L42" s="90">
        <v>2.7</v>
      </c>
      <c r="N42" s="87"/>
      <c r="P42" s="87">
        <f t="shared" si="1"/>
        <v>1.0043478260869565</v>
      </c>
      <c r="R42" s="98">
        <f t="shared" si="0"/>
        <v>-1.0043478260869565</v>
      </c>
      <c r="T42" s="90">
        <v>6</v>
      </c>
      <c r="U42">
        <v>4</v>
      </c>
      <c r="V42">
        <v>0.5</v>
      </c>
    </row>
    <row r="43" spans="2:22" x14ac:dyDescent="0.2">
      <c r="C43" t="s">
        <v>160</v>
      </c>
      <c r="H43" s="90">
        <v>2.7</v>
      </c>
      <c r="I43" s="8"/>
      <c r="J43" s="116" t="s">
        <v>151</v>
      </c>
      <c r="L43" s="90">
        <v>2.1</v>
      </c>
      <c r="M43" s="67"/>
      <c r="N43" s="87"/>
      <c r="O43" s="67"/>
      <c r="P43" s="87">
        <f t="shared" si="1"/>
        <v>2.3434782608695652</v>
      </c>
      <c r="R43" s="98">
        <f t="shared" si="0"/>
        <v>-2.3434782608695652</v>
      </c>
      <c r="T43" s="90">
        <v>14</v>
      </c>
      <c r="U43">
        <v>4</v>
      </c>
      <c r="V43">
        <v>0.5</v>
      </c>
    </row>
    <row r="44" spans="2:22" x14ac:dyDescent="0.2">
      <c r="C44" t="s">
        <v>161</v>
      </c>
      <c r="H44" s="90">
        <v>2.7</v>
      </c>
      <c r="I44" s="8"/>
      <c r="J44" s="116" t="s">
        <v>151</v>
      </c>
      <c r="L44" s="90">
        <v>2.1</v>
      </c>
      <c r="N44" s="87"/>
      <c r="P44" s="87">
        <f t="shared" si="1"/>
        <v>1.8413043478260871</v>
      </c>
      <c r="R44" s="98">
        <f t="shared" si="0"/>
        <v>-1.8413043478260871</v>
      </c>
      <c r="T44" s="90">
        <v>11</v>
      </c>
      <c r="U44">
        <v>4</v>
      </c>
      <c r="V44">
        <v>0.5</v>
      </c>
    </row>
    <row r="45" spans="2:22" x14ac:dyDescent="0.2">
      <c r="C45" t="s">
        <v>162</v>
      </c>
      <c r="H45" s="90">
        <v>2.7</v>
      </c>
      <c r="I45" s="8"/>
      <c r="J45" s="116" t="s">
        <v>151</v>
      </c>
      <c r="L45" s="90">
        <v>2.5</v>
      </c>
      <c r="N45" s="87"/>
      <c r="P45" s="87">
        <f t="shared" si="1"/>
        <v>1.3391304347826087</v>
      </c>
      <c r="R45" s="98">
        <f t="shared" si="0"/>
        <v>-1.3391304347826087</v>
      </c>
      <c r="T45" s="90">
        <v>8</v>
      </c>
      <c r="U45">
        <v>5</v>
      </c>
      <c r="V45">
        <v>0.5</v>
      </c>
    </row>
    <row r="46" spans="2:22" x14ac:dyDescent="0.2">
      <c r="C46" t="s">
        <v>163</v>
      </c>
      <c r="H46" s="92">
        <v>3.3</v>
      </c>
      <c r="I46" s="8"/>
      <c r="J46" s="117" t="s">
        <v>151</v>
      </c>
      <c r="L46" s="92">
        <v>2.9</v>
      </c>
      <c r="N46" s="91"/>
      <c r="P46" s="87">
        <f t="shared" si="1"/>
        <v>2.3434782608695652</v>
      </c>
      <c r="R46" s="98">
        <f t="shared" si="0"/>
        <v>-2.3434782608695652</v>
      </c>
      <c r="T46" s="90">
        <v>14</v>
      </c>
      <c r="U46" s="122">
        <v>6</v>
      </c>
      <c r="V46">
        <v>0.05</v>
      </c>
    </row>
    <row r="47" spans="2:22" x14ac:dyDescent="0.2">
      <c r="C47" t="s">
        <v>220</v>
      </c>
      <c r="H47" s="90"/>
      <c r="I47" s="8"/>
      <c r="J47" s="116"/>
      <c r="L47" s="90"/>
      <c r="N47" s="87"/>
      <c r="P47" s="87">
        <f t="shared" si="1"/>
        <v>4.8543478260869568</v>
      </c>
      <c r="R47" s="98">
        <f t="shared" si="0"/>
        <v>-4.8543478260869568</v>
      </c>
      <c r="T47" s="90">
        <v>29</v>
      </c>
      <c r="U47" s="8"/>
    </row>
    <row r="48" spans="2:22" x14ac:dyDescent="0.2">
      <c r="C48" t="s">
        <v>221</v>
      </c>
      <c r="H48" s="90"/>
      <c r="I48" s="8"/>
      <c r="J48" s="116"/>
      <c r="L48" s="90"/>
      <c r="N48" s="87"/>
      <c r="P48" s="91">
        <f>(T48/$T$49)*$P$49+0.1</f>
        <v>0.43478260869565222</v>
      </c>
      <c r="R48" s="94">
        <f>G48-P48+0.06</f>
        <v>-0.37478260869565222</v>
      </c>
      <c r="T48" s="92">
        <v>2</v>
      </c>
      <c r="U48" s="8"/>
    </row>
    <row r="49" spans="2:23" x14ac:dyDescent="0.2">
      <c r="H49" s="100">
        <f>SUM(H39:H46)</f>
        <v>39.199999999999996</v>
      </c>
      <c r="I49" s="118"/>
      <c r="J49" s="99">
        <v>452</v>
      </c>
      <c r="L49" s="100">
        <f>SUM(L39:L46)</f>
        <v>29.900000000000002</v>
      </c>
      <c r="N49" s="99"/>
      <c r="P49" s="100">
        <v>30.8</v>
      </c>
      <c r="R49" s="98">
        <f>SUM(R39:R48)</f>
        <v>-30.840000000000003</v>
      </c>
      <c r="T49" s="99">
        <f>SUM(T39:T48)</f>
        <v>184</v>
      </c>
      <c r="U49">
        <v>178</v>
      </c>
      <c r="V49">
        <f>SUM(V39:V46)</f>
        <v>3.55</v>
      </c>
      <c r="W49" t="s">
        <v>164</v>
      </c>
    </row>
    <row r="50" spans="2:23" x14ac:dyDescent="0.2">
      <c r="H50" s="90"/>
      <c r="I50" s="8"/>
      <c r="J50" s="90"/>
      <c r="L50" s="90"/>
      <c r="N50" s="90"/>
      <c r="P50" s="90"/>
      <c r="R50" s="90"/>
      <c r="T50" s="90"/>
    </row>
    <row r="51" spans="2:23" x14ac:dyDescent="0.2">
      <c r="B51" t="s">
        <v>165</v>
      </c>
      <c r="H51" s="90">
        <v>10.7</v>
      </c>
      <c r="I51" s="8"/>
      <c r="J51" s="93">
        <v>39</v>
      </c>
      <c r="L51" s="90">
        <v>4.0999999999999996</v>
      </c>
      <c r="M51" t="s">
        <v>151</v>
      </c>
      <c r="N51" s="99">
        <v>105</v>
      </c>
      <c r="P51" s="87">
        <v>1.6</v>
      </c>
      <c r="R51" s="98">
        <f>G51-P51</f>
        <v>-1.6</v>
      </c>
      <c r="T51" s="99">
        <v>14</v>
      </c>
    </row>
    <row r="52" spans="2:23" x14ac:dyDescent="0.2">
      <c r="H52" s="90"/>
      <c r="I52" s="8"/>
      <c r="J52" s="90"/>
      <c r="L52" s="90"/>
      <c r="N52" s="90"/>
      <c r="P52" s="90"/>
      <c r="R52" s="90"/>
      <c r="T52" s="90"/>
    </row>
    <row r="53" spans="2:23" x14ac:dyDescent="0.2">
      <c r="B53" t="s">
        <v>182</v>
      </c>
      <c r="H53" s="90">
        <v>27.5</v>
      </c>
      <c r="I53" s="8"/>
      <c r="J53" s="93">
        <v>175</v>
      </c>
      <c r="L53" s="114">
        <v>29</v>
      </c>
      <c r="M53" t="s">
        <v>151</v>
      </c>
      <c r="N53" s="99"/>
      <c r="P53" s="87">
        <v>36</v>
      </c>
      <c r="R53" s="98">
        <f>G53-P53</f>
        <v>-36</v>
      </c>
      <c r="T53" s="99">
        <v>140</v>
      </c>
      <c r="U53" t="s">
        <v>151</v>
      </c>
      <c r="V53" t="s">
        <v>151</v>
      </c>
    </row>
    <row r="54" spans="2:23" x14ac:dyDescent="0.2">
      <c r="B54" t="s">
        <v>183</v>
      </c>
      <c r="H54" s="90">
        <v>48.9</v>
      </c>
      <c r="I54" s="8"/>
      <c r="J54" s="116" t="s">
        <v>151</v>
      </c>
      <c r="L54" s="114">
        <v>55</v>
      </c>
      <c r="N54" s="99"/>
      <c r="P54" s="87">
        <v>50.1</v>
      </c>
      <c r="R54" s="98">
        <f>G54-P54</f>
        <v>-50.1</v>
      </c>
      <c r="T54" s="99">
        <v>59</v>
      </c>
    </row>
    <row r="55" spans="2:23" hidden="1" x14ac:dyDescent="0.2">
      <c r="B55" t="s">
        <v>184</v>
      </c>
      <c r="H55" s="90">
        <v>1.1000000000000001</v>
      </c>
      <c r="I55" s="8"/>
      <c r="J55" s="116" t="s">
        <v>151</v>
      </c>
      <c r="L55" s="90">
        <v>7.7</v>
      </c>
      <c r="N55" s="99"/>
      <c r="P55" s="87">
        <v>0</v>
      </c>
      <c r="R55" s="98">
        <f>G55-P55</f>
        <v>0</v>
      </c>
      <c r="T55" s="99">
        <v>0</v>
      </c>
    </row>
    <row r="56" spans="2:23" x14ac:dyDescent="0.2">
      <c r="B56" t="s">
        <v>185</v>
      </c>
      <c r="H56" s="90">
        <v>0.8</v>
      </c>
      <c r="I56" s="8"/>
      <c r="J56" s="116" t="s">
        <v>151</v>
      </c>
      <c r="L56" s="90">
        <v>5.2</v>
      </c>
      <c r="N56" s="99"/>
      <c r="P56" s="87">
        <v>5.9</v>
      </c>
      <c r="R56" s="98">
        <f>G56-P56</f>
        <v>-5.9</v>
      </c>
      <c r="T56" s="99">
        <v>39</v>
      </c>
    </row>
    <row r="57" spans="2:23" x14ac:dyDescent="0.2">
      <c r="H57" s="90"/>
      <c r="I57" s="8"/>
      <c r="J57" s="99"/>
      <c r="L57" s="90"/>
      <c r="N57" s="99"/>
      <c r="P57" s="87"/>
      <c r="R57" s="98"/>
      <c r="T57" s="99"/>
    </row>
    <row r="58" spans="2:23" x14ac:dyDescent="0.2">
      <c r="H58" s="90"/>
      <c r="I58" s="8"/>
      <c r="J58" s="90"/>
      <c r="L58" s="90"/>
      <c r="N58" s="90"/>
      <c r="P58" s="93"/>
      <c r="R58" s="90"/>
      <c r="T58" s="90"/>
    </row>
    <row r="59" spans="2:23" x14ac:dyDescent="0.2">
      <c r="B59" t="s">
        <v>166</v>
      </c>
      <c r="H59" s="90">
        <v>2.8</v>
      </c>
      <c r="I59" s="8"/>
      <c r="J59" s="116">
        <v>0</v>
      </c>
      <c r="L59" s="90">
        <v>3.5</v>
      </c>
      <c r="M59" t="s">
        <v>151</v>
      </c>
      <c r="N59" s="99">
        <v>96</v>
      </c>
      <c r="P59" s="87">
        <v>4.8</v>
      </c>
      <c r="R59" s="98">
        <f>G59-P59</f>
        <v>-4.8</v>
      </c>
      <c r="T59" s="99">
        <v>33</v>
      </c>
    </row>
    <row r="60" spans="2:23" x14ac:dyDescent="0.2">
      <c r="H60" s="90"/>
      <c r="I60" s="8"/>
      <c r="J60" s="90"/>
      <c r="L60" s="90"/>
      <c r="N60" s="90"/>
      <c r="P60" s="93"/>
      <c r="R60" s="90"/>
      <c r="T60" s="90"/>
    </row>
    <row r="61" spans="2:23" x14ac:dyDescent="0.2">
      <c r="B61" t="s">
        <v>131</v>
      </c>
      <c r="H61" s="90">
        <v>39.299999999999997</v>
      </c>
      <c r="I61" s="8"/>
      <c r="J61" s="93">
        <v>90</v>
      </c>
      <c r="L61" s="90">
        <v>10.1</v>
      </c>
      <c r="M61" t="s">
        <v>151</v>
      </c>
      <c r="N61" s="99">
        <v>116</v>
      </c>
      <c r="P61" s="87">
        <v>9.5</v>
      </c>
      <c r="R61" s="98">
        <f>G61-P61</f>
        <v>-9.5</v>
      </c>
      <c r="T61" s="99">
        <v>21</v>
      </c>
      <c r="U61" t="s">
        <v>151</v>
      </c>
      <c r="V61" t="s">
        <v>151</v>
      </c>
    </row>
    <row r="62" spans="2:23" x14ac:dyDescent="0.2">
      <c r="H62" s="90"/>
      <c r="I62" s="8"/>
      <c r="J62" s="99"/>
      <c r="L62" s="90"/>
      <c r="N62" s="99"/>
      <c r="P62" s="87"/>
      <c r="R62" s="98"/>
      <c r="T62" s="99"/>
      <c r="V62" t="s">
        <v>151</v>
      </c>
    </row>
    <row r="63" spans="2:23" x14ac:dyDescent="0.2">
      <c r="B63" t="s">
        <v>167</v>
      </c>
      <c r="H63" s="90"/>
      <c r="I63" s="8"/>
      <c r="J63" s="99"/>
      <c r="L63" s="90"/>
      <c r="M63" t="s">
        <v>151</v>
      </c>
      <c r="N63" s="99"/>
      <c r="P63" s="87"/>
      <c r="R63" s="98"/>
      <c r="T63" s="99"/>
    </row>
    <row r="64" spans="2:23" x14ac:dyDescent="0.2">
      <c r="C64" t="s">
        <v>186</v>
      </c>
      <c r="H64" s="114">
        <f>15.3+0.7</f>
        <v>16</v>
      </c>
      <c r="I64" s="8"/>
      <c r="J64" s="99"/>
      <c r="L64" s="114">
        <v>6</v>
      </c>
      <c r="N64" s="99"/>
      <c r="P64" s="87">
        <v>5</v>
      </c>
      <c r="R64" s="98">
        <f>G64-P64</f>
        <v>-5</v>
      </c>
      <c r="T64" s="99"/>
    </row>
    <row r="65" spans="2:21" x14ac:dyDescent="0.2">
      <c r="C65" t="s">
        <v>187</v>
      </c>
      <c r="H65" s="114">
        <v>1</v>
      </c>
      <c r="I65" s="115"/>
      <c r="J65" s="99"/>
      <c r="L65" s="90">
        <v>0.8</v>
      </c>
      <c r="N65" s="99"/>
      <c r="P65" s="87">
        <v>1</v>
      </c>
      <c r="R65" s="98">
        <f>G65-P65</f>
        <v>-1</v>
      </c>
      <c r="T65" s="99"/>
    </row>
    <row r="66" spans="2:21" x14ac:dyDescent="0.2">
      <c r="C66" t="s">
        <v>164</v>
      </c>
      <c r="H66" s="114">
        <v>1</v>
      </c>
      <c r="I66" s="115"/>
      <c r="J66" s="99"/>
      <c r="L66" s="114">
        <v>0.1</v>
      </c>
      <c r="N66" s="99"/>
      <c r="P66" s="87">
        <v>1</v>
      </c>
      <c r="R66" s="98">
        <f>G66-P66</f>
        <v>-1</v>
      </c>
      <c r="T66" s="99"/>
    </row>
    <row r="67" spans="2:21" x14ac:dyDescent="0.2">
      <c r="C67" t="s">
        <v>70</v>
      </c>
      <c r="H67" s="90">
        <v>0.4</v>
      </c>
      <c r="I67" s="8"/>
      <c r="J67" s="99"/>
      <c r="L67" s="90">
        <v>0.1</v>
      </c>
      <c r="N67" s="99"/>
      <c r="P67" s="87">
        <v>0.6</v>
      </c>
      <c r="R67" s="98">
        <f>G67-P67</f>
        <v>-0.6</v>
      </c>
      <c r="T67" s="99"/>
    </row>
    <row r="68" spans="2:21" x14ac:dyDescent="0.2">
      <c r="H68" s="90"/>
      <c r="I68" s="8"/>
      <c r="J68" s="99"/>
      <c r="L68" s="90"/>
      <c r="N68" s="99"/>
      <c r="P68" s="87"/>
      <c r="R68" s="98"/>
      <c r="T68" s="99"/>
    </row>
    <row r="69" spans="2:21" hidden="1" x14ac:dyDescent="0.2">
      <c r="B69" t="s">
        <v>207</v>
      </c>
      <c r="H69" s="90">
        <f>7.3-0.4</f>
        <v>6.8999999999999995</v>
      </c>
      <c r="I69" s="8"/>
      <c r="J69" s="99"/>
      <c r="L69" s="90">
        <v>37.4</v>
      </c>
      <c r="N69" s="99"/>
      <c r="P69" s="87">
        <v>0</v>
      </c>
      <c r="R69" s="98"/>
      <c r="T69" s="99"/>
    </row>
    <row r="70" spans="2:21" hidden="1" x14ac:dyDescent="0.2">
      <c r="H70" s="90"/>
      <c r="I70" s="8"/>
      <c r="J70" s="99"/>
      <c r="L70" s="90"/>
      <c r="N70" s="99"/>
      <c r="P70" s="87"/>
      <c r="R70" s="98"/>
      <c r="T70" s="99"/>
    </row>
    <row r="71" spans="2:21" hidden="1" x14ac:dyDescent="0.2">
      <c r="B71" t="s">
        <v>16</v>
      </c>
      <c r="H71" s="101">
        <v>0</v>
      </c>
      <c r="I71" s="8"/>
      <c r="J71" s="99"/>
      <c r="L71" s="90">
        <v>20.9</v>
      </c>
      <c r="N71" s="99"/>
      <c r="P71" s="87"/>
      <c r="R71" s="98"/>
      <c r="T71" s="99"/>
    </row>
    <row r="72" spans="2:21" hidden="1" x14ac:dyDescent="0.2">
      <c r="H72" s="90"/>
      <c r="I72" s="8"/>
      <c r="J72" s="99"/>
      <c r="L72" s="90"/>
      <c r="N72" s="99"/>
      <c r="P72" s="87"/>
      <c r="R72" s="98"/>
      <c r="T72" s="99"/>
    </row>
    <row r="73" spans="2:21" x14ac:dyDescent="0.2">
      <c r="B73" t="s">
        <v>188</v>
      </c>
      <c r="H73" s="90">
        <v>0.1</v>
      </c>
      <c r="I73" s="8"/>
      <c r="J73" s="99">
        <v>0</v>
      </c>
      <c r="L73" s="114">
        <v>13.6</v>
      </c>
      <c r="N73" s="99">
        <f>29+29+10+37+24</f>
        <v>129</v>
      </c>
      <c r="P73" s="87">
        <f>4.3+1.1+1</f>
        <v>6.4</v>
      </c>
      <c r="R73" s="98">
        <f>G73-P73</f>
        <v>-6.4</v>
      </c>
      <c r="T73" s="99">
        <f>29+6+5</f>
        <v>40</v>
      </c>
    </row>
    <row r="74" spans="2:21" x14ac:dyDescent="0.2">
      <c r="H74" s="90"/>
      <c r="I74" s="8"/>
      <c r="J74" s="99"/>
      <c r="L74" s="90"/>
      <c r="N74" s="99"/>
      <c r="P74" s="87"/>
      <c r="R74" s="98"/>
      <c r="T74" s="99"/>
    </row>
    <row r="75" spans="2:21" x14ac:dyDescent="0.2">
      <c r="H75" s="90"/>
      <c r="I75" s="8"/>
      <c r="J75" s="99"/>
      <c r="L75" s="90"/>
      <c r="N75" s="99"/>
      <c r="P75" s="87"/>
      <c r="R75" s="98"/>
      <c r="T75" s="99"/>
    </row>
    <row r="76" spans="2:21" x14ac:dyDescent="0.2">
      <c r="B76" t="s">
        <v>189</v>
      </c>
      <c r="H76" s="90"/>
      <c r="I76" s="8"/>
      <c r="J76" s="99"/>
      <c r="L76" s="87"/>
      <c r="N76" s="99"/>
      <c r="P76" s="87">
        <f>9+2.4+2</f>
        <v>13.4</v>
      </c>
      <c r="R76" s="98">
        <f>G76-P76</f>
        <v>-13.4</v>
      </c>
      <c r="T76" s="99"/>
      <c r="U76" t="s">
        <v>208</v>
      </c>
    </row>
    <row r="77" spans="2:21" x14ac:dyDescent="0.2">
      <c r="H77" s="90"/>
      <c r="I77" s="8"/>
      <c r="J77" s="99"/>
      <c r="L77" s="90"/>
      <c r="N77" s="99"/>
      <c r="P77" s="87"/>
      <c r="R77" s="98"/>
      <c r="T77" s="99"/>
      <c r="U77" t="s">
        <v>209</v>
      </c>
    </row>
    <row r="78" spans="2:21" x14ac:dyDescent="0.2">
      <c r="B78" t="s">
        <v>168</v>
      </c>
      <c r="H78" s="90">
        <v>130.6</v>
      </c>
      <c r="I78" s="8"/>
      <c r="J78" s="90"/>
      <c r="L78" s="87">
        <v>61.2</v>
      </c>
      <c r="N78" s="90"/>
      <c r="P78" s="87">
        <v>0</v>
      </c>
      <c r="R78" s="101">
        <v>0</v>
      </c>
      <c r="T78" s="90"/>
    </row>
    <row r="79" spans="2:21" x14ac:dyDescent="0.2">
      <c r="H79" s="90"/>
      <c r="I79" s="8"/>
      <c r="J79" s="92"/>
      <c r="L79" s="90"/>
      <c r="N79" s="92"/>
      <c r="P79" s="87"/>
      <c r="Q79" s="8"/>
      <c r="R79" s="98"/>
      <c r="T79" s="92"/>
    </row>
    <row r="80" spans="2:21" x14ac:dyDescent="0.2">
      <c r="D80" s="33" t="s">
        <v>169</v>
      </c>
      <c r="H80" s="119">
        <f>+H26+H28+H30+H32+H34+H36+H49+H51+H53+H54+H55+H56+H59+H61+H64+H65+H66+H67+H73+H76+H69+H78</f>
        <v>371.1</v>
      </c>
      <c r="I80" s="104"/>
      <c r="J80" s="120">
        <f>+J26+J28+J49+J51+J53+J61</f>
        <v>914</v>
      </c>
      <c r="L80" s="119">
        <f>+L26+L28+L30+L32+L34+L36+L49+L51+L53+L54+L55+L56+L59+L61+L64+L65+L66+L67+L73+L76+L69+L78+L71</f>
        <v>313.19999999999993</v>
      </c>
      <c r="N80" s="120">
        <f>+N26+N28+N30+N32+N34+N36+N49+N51+N53+N54+N55+N56+N59+N61+N64+N65+N66+N67+N73+N76+N69+N78</f>
        <v>656</v>
      </c>
      <c r="P80" s="119">
        <f>+P26+P28+P30+P32+P34+P36+P49+P51+P53+P54+P55+P56+P59+P61+P64+P65+P66+P67+P73+P76+P69+P78</f>
        <v>181.70000000000002</v>
      </c>
      <c r="Q80" s="103" t="s">
        <v>151</v>
      </c>
      <c r="R80" s="102">
        <f>+R26+R28+R30+R32+R34+R36+R49+R51+R53+R54+R55+R56+R59+R61+R64+R65+R66+R67+R73+R76</f>
        <v>-181.74000000000004</v>
      </c>
      <c r="T80" s="120">
        <f>+T26+T28+T30+T32+T34+T36+T49+T51+T53+T54+T55+T56+T59+T61+T64+T65+T66+T67+T73+T76+T69+T78</f>
        <v>621</v>
      </c>
    </row>
    <row r="81" spans="2:20" x14ac:dyDescent="0.2">
      <c r="E81" s="104"/>
      <c r="F81" s="8"/>
      <c r="G81" s="104"/>
      <c r="H81" s="87"/>
      <c r="I81" s="104"/>
      <c r="J81" s="102"/>
      <c r="K81" s="104"/>
      <c r="L81" s="87"/>
      <c r="N81" s="102"/>
      <c r="P81" s="102"/>
      <c r="R81" s="102"/>
      <c r="T81" s="102"/>
    </row>
    <row r="82" spans="2:20" x14ac:dyDescent="0.2">
      <c r="E82" s="104"/>
      <c r="F82" s="8"/>
      <c r="G82" s="104"/>
      <c r="H82" s="87"/>
      <c r="I82" s="104"/>
      <c r="J82" s="87"/>
      <c r="K82" s="104"/>
      <c r="L82" s="87"/>
      <c r="N82" s="87"/>
      <c r="P82" s="87"/>
      <c r="R82" s="87"/>
      <c r="T82" s="87"/>
    </row>
    <row r="83" spans="2:20" x14ac:dyDescent="0.2">
      <c r="D83" s="33" t="s">
        <v>210</v>
      </c>
      <c r="E83" s="105"/>
      <c r="F83" s="8"/>
      <c r="G83" s="95">
        <f>G24</f>
        <v>875</v>
      </c>
      <c r="H83" s="106">
        <f>H80+H24</f>
        <v>726</v>
      </c>
      <c r="I83" s="118"/>
      <c r="J83" s="107">
        <f>J80+J24</f>
        <v>1661</v>
      </c>
      <c r="K83" s="105"/>
      <c r="L83" s="106">
        <f>L80+L24</f>
        <v>837.99999999999989</v>
      </c>
      <c r="N83" s="107">
        <f>N80+N24</f>
        <v>1214</v>
      </c>
      <c r="P83" s="106">
        <f>P80+P24</f>
        <v>227.70000000000002</v>
      </c>
      <c r="R83" s="106">
        <f>G83-P83</f>
        <v>647.29999999999995</v>
      </c>
      <c r="T83" s="107">
        <f>T80+T24</f>
        <v>850</v>
      </c>
    </row>
    <row r="84" spans="2:20" x14ac:dyDescent="0.2">
      <c r="F84" s="8"/>
      <c r="G84" s="104"/>
      <c r="H84" s="104"/>
      <c r="I84" s="104"/>
      <c r="J84" s="104"/>
      <c r="K84" s="104"/>
      <c r="L84" s="104"/>
      <c r="P84" s="104"/>
      <c r="R84" s="104"/>
      <c r="T84" s="104"/>
    </row>
    <row r="85" spans="2:20" x14ac:dyDescent="0.2">
      <c r="B85" t="s">
        <v>213</v>
      </c>
      <c r="G85" s="8"/>
      <c r="H85" s="8"/>
      <c r="I85" s="8"/>
      <c r="J85" s="8"/>
      <c r="K85" s="8"/>
      <c r="L85" s="8"/>
      <c r="P85" s="8"/>
      <c r="Q85" s="8"/>
      <c r="R85" s="8"/>
      <c r="S85" s="8"/>
      <c r="T85" s="8"/>
    </row>
    <row r="86" spans="2:20" x14ac:dyDescent="0.2">
      <c r="B86" t="s">
        <v>214</v>
      </c>
      <c r="G86" s="8"/>
      <c r="H86" s="8"/>
      <c r="I86" s="8"/>
      <c r="J86" s="8"/>
      <c r="K86" s="8"/>
      <c r="L86" s="8"/>
    </row>
    <row r="87" spans="2:20" x14ac:dyDescent="0.2">
      <c r="B87" t="s">
        <v>215</v>
      </c>
      <c r="G87" s="8"/>
      <c r="H87" s="8"/>
      <c r="I87" s="8"/>
      <c r="J87" s="8"/>
      <c r="K87" s="8"/>
      <c r="L87" s="8"/>
    </row>
    <row r="88" spans="2:20" x14ac:dyDescent="0.2">
      <c r="B88" t="s">
        <v>216</v>
      </c>
      <c r="G88" s="8"/>
      <c r="H88" s="8"/>
      <c r="I88" s="8"/>
      <c r="J88" s="8"/>
      <c r="K88" s="8"/>
      <c r="L88" s="8"/>
    </row>
  </sheetData>
  <phoneticPr fontId="0" type="noConversion"/>
  <pageMargins left="0.52" right="0.46" top="1" bottom="1" header="0.5" footer="0.5"/>
  <pageSetup scale="68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4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244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K28-G10-137496</f>
        <v>1206504</v>
      </c>
      <c r="H8" s="7" t="s">
        <v>11</v>
      </c>
      <c r="I8" s="17">
        <v>0</v>
      </c>
      <c r="J8" s="8"/>
      <c r="K8" s="18">
        <f>K28</f>
        <v>1344000</v>
      </c>
      <c r="O8" s="15">
        <f t="shared" ref="O8:O22" si="0">+G8/$G$29*$O$29</f>
        <v>134056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>
        <f t="shared" si="0"/>
        <v>0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G8*0.3105+52</f>
        <v>374671.49199999997</v>
      </c>
      <c r="H11" s="7" t="s">
        <v>16</v>
      </c>
      <c r="I11" s="19">
        <f>(E12+E13+E14+E15+E16+E17+E18+E19+E20+E21+E22)/E29</f>
        <v>31253.507839999998</v>
      </c>
      <c r="J11" s="8">
        <f>J28</f>
        <v>9</v>
      </c>
      <c r="K11" s="18">
        <f>I11*J11</f>
        <v>281281.57055999996</v>
      </c>
      <c r="O11" s="15">
        <f t="shared" si="0"/>
        <v>41630.165777777773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>(E12/$E$29)*$G$29</f>
        <v>19388.197439999996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ref="G13:G22" si="1">(E13/$E$29)*$G$29</f>
        <v>85787.089919999984</v>
      </c>
      <c r="H13" s="22" t="s">
        <v>21</v>
      </c>
      <c r="I13" s="47"/>
      <c r="J13" s="23"/>
      <c r="K13" s="24">
        <f>K8+K11</f>
        <v>1625281.5705599999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145653.11424</v>
      </c>
      <c r="O14" s="15">
        <f t="shared" si="0"/>
        <v>16183.67936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1851.0969599999996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542.48256000000003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60.275840000000002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5532.0249599999997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15075.313919999999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5693.5209600000126</v>
      </c>
      <c r="H21" t="s">
        <v>43</v>
      </c>
      <c r="I21" s="25">
        <v>66000</v>
      </c>
      <c r="J21">
        <v>0</v>
      </c>
      <c r="K21">
        <f t="shared" si="2"/>
        <v>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1758.7296000000026</v>
      </c>
      <c r="H22" t="s">
        <v>46</v>
      </c>
      <c r="I22" s="25">
        <v>97200</v>
      </c>
      <c r="J22">
        <v>0</v>
      </c>
      <c r="K22">
        <f t="shared" si="2"/>
        <v>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1862457.0625600002</v>
      </c>
      <c r="H23" t="s">
        <v>49</v>
      </c>
      <c r="I23" s="25">
        <v>120000</v>
      </c>
      <c r="J23">
        <v>5</v>
      </c>
      <c r="K23">
        <f t="shared" si="2"/>
        <v>600000</v>
      </c>
      <c r="O23" s="28">
        <f>SUM(O8:O22)</f>
        <v>206939.67361777779</v>
      </c>
      <c r="AK23" s="29"/>
    </row>
    <row r="24" spans="1:37" x14ac:dyDescent="0.2">
      <c r="H24" t="s">
        <v>50</v>
      </c>
      <c r="I24" s="25">
        <v>156000</v>
      </c>
      <c r="J24">
        <v>2</v>
      </c>
      <c r="K24">
        <f t="shared" si="2"/>
        <v>312000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9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2</v>
      </c>
      <c r="K26">
        <f t="shared" si="2"/>
        <v>432000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9</v>
      </c>
      <c r="K28">
        <f>SUM(K16:K27)</f>
        <v>1344000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9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9</v>
      </c>
      <c r="K34" s="37">
        <f>+I34*J34</f>
        <v>281281.57055999996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34" width="9.140625" hidden="1" customWidth="1"/>
    <col min="35" max="40" width="9.140625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245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v>0</v>
      </c>
      <c r="H8" s="7" t="s">
        <v>11</v>
      </c>
      <c r="I8" s="17">
        <v>0</v>
      </c>
      <c r="J8" s="8"/>
      <c r="K8" s="18">
        <f>K28</f>
        <v>946080</v>
      </c>
      <c r="O8" s="15">
        <f t="shared" ref="O8:O22" si="0">+G8/$G$29*$O$29</f>
        <v>0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>
        <f t="shared" si="0"/>
        <v>0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788400</v>
      </c>
      <c r="H10" s="7"/>
      <c r="I10" s="17"/>
      <c r="J10" s="8"/>
      <c r="K10" s="9"/>
      <c r="O10" s="15">
        <f t="shared" si="0"/>
        <v>71672.727272727279</v>
      </c>
      <c r="AK10" s="123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f>G10*0.3105</f>
        <v>244798.2</v>
      </c>
      <c r="H11" s="7" t="s">
        <v>16</v>
      </c>
      <c r="I11" s="19">
        <f>(E12+E13+E14+E15+E16+E17+E18+E19+E20+E21+E22)/E29</f>
        <v>31253.507839999998</v>
      </c>
      <c r="J11" s="8">
        <f>J28</f>
        <v>11</v>
      </c>
      <c r="K11" s="18">
        <f>I11*J11</f>
        <v>343788.58623999998</v>
      </c>
      <c r="O11" s="15">
        <f t="shared" si="0"/>
        <v>22254.381818181821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23696.685759999997</v>
      </c>
      <c r="H12" s="7"/>
      <c r="I12" s="17"/>
      <c r="J12" s="8"/>
      <c r="K12" s="9"/>
      <c r="O12" s="15">
        <f t="shared" si="0"/>
        <v>2154.2441599999997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104850.88767999999</v>
      </c>
      <c r="H13" s="22" t="s">
        <v>21</v>
      </c>
      <c r="I13" s="47"/>
      <c r="J13" s="23"/>
      <c r="K13" s="24">
        <f>K8+K11</f>
        <v>1289868.5862400001</v>
      </c>
      <c r="O13" s="15">
        <f t="shared" si="0"/>
        <v>9531.8988799999988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178020.47296000001</v>
      </c>
      <c r="O14" s="15">
        <f t="shared" si="0"/>
        <v>16183.679360000002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2262.4518399999997</v>
      </c>
      <c r="O15" s="15">
        <f t="shared" si="0"/>
        <v>205.67743999999996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>
        <f t="shared" si="0"/>
        <v>0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663.03424000000007</v>
      </c>
      <c r="H17" t="s">
        <v>31</v>
      </c>
      <c r="I17" s="25">
        <v>52800</v>
      </c>
      <c r="J17">
        <v>0</v>
      </c>
      <c r="K17">
        <f t="shared" si="2"/>
        <v>0</v>
      </c>
      <c r="O17" s="15">
        <f t="shared" si="0"/>
        <v>60.275840000000009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6761.36384</v>
      </c>
      <c r="H18" t="s">
        <v>34</v>
      </c>
      <c r="I18" s="25">
        <v>54000</v>
      </c>
      <c r="J18">
        <v>0</v>
      </c>
      <c r="K18">
        <f t="shared" si="2"/>
        <v>0</v>
      </c>
      <c r="O18" s="15">
        <f t="shared" si="0"/>
        <v>614.66944000000001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18425.383679999999</v>
      </c>
      <c r="H19" t="s">
        <v>37</v>
      </c>
      <c r="I19" s="25">
        <v>63000</v>
      </c>
      <c r="J19">
        <v>0</v>
      </c>
      <c r="K19">
        <f t="shared" si="2"/>
        <v>0</v>
      </c>
      <c r="O19" s="15">
        <f t="shared" si="0"/>
        <v>1675.0348799999999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>
        <f t="shared" si="0"/>
        <v>0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6958.7478400000164</v>
      </c>
      <c r="H21" t="s">
        <v>43</v>
      </c>
      <c r="I21" s="25">
        <v>66000</v>
      </c>
      <c r="J21">
        <f>3+5+1</f>
        <v>9</v>
      </c>
      <c r="K21">
        <f t="shared" si="2"/>
        <v>594000</v>
      </c>
      <c r="O21" s="15">
        <f t="shared" si="0"/>
        <v>632.61344000000145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2149.5584000000031</v>
      </c>
      <c r="H22" t="s">
        <v>46</v>
      </c>
      <c r="I22" s="25">
        <v>97200</v>
      </c>
      <c r="J22">
        <v>2</v>
      </c>
      <c r="K22">
        <f t="shared" si="2"/>
        <v>194400</v>
      </c>
      <c r="O22" s="15">
        <f t="shared" si="0"/>
        <v>195.41440000000028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1376986.7862399998</v>
      </c>
      <c r="H23" t="s">
        <v>49</v>
      </c>
      <c r="I23" s="25">
        <v>120000</v>
      </c>
      <c r="J23">
        <v>0</v>
      </c>
      <c r="K23">
        <f t="shared" si="2"/>
        <v>0</v>
      </c>
      <c r="O23" s="28">
        <f>SUM(O8:O22)</f>
        <v>125180.61693090911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11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11</v>
      </c>
      <c r="K28">
        <f>SUM(K16:K27)*1.2</f>
        <v>946080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11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11</v>
      </c>
      <c r="K34" s="37">
        <f>+I34*J34</f>
        <v>343788.58623999998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AQ49"/>
  <sheetViews>
    <sheetView topLeftCell="A2" zoomScaleNormal="100" workbookViewId="0">
      <selection activeCell="T83" sqref="T83"/>
    </sheetView>
  </sheetViews>
  <sheetFormatPr defaultColWidth="9.140625" defaultRowHeight="12.75" x14ac:dyDescent="0.2"/>
  <cols>
    <col min="2" max="2" width="23.42578125" bestFit="1" customWidth="1"/>
    <col min="3" max="3" width="14" hidden="1" customWidth="1"/>
    <col min="4" max="4" width="2.5703125" customWidth="1"/>
    <col min="5" max="5" width="14" hidden="1" customWidth="1"/>
    <col min="6" max="6" width="2.42578125" hidden="1" customWidth="1"/>
    <col min="7" max="7" width="13.140625" customWidth="1"/>
    <col min="8" max="8" width="13.140625" hidden="1" customWidth="1"/>
    <col min="9" max="9" width="10.140625" style="25" hidden="1" customWidth="1"/>
    <col min="10" max="10" width="10" hidden="1" customWidth="1"/>
    <col min="11" max="11" width="11.85546875" hidden="1" customWidth="1"/>
    <col min="12" max="40" width="9.140625" hidden="1" customWidth="1"/>
    <col min="41" max="46" width="0" hidden="1" customWidth="1"/>
  </cols>
  <sheetData>
    <row r="1" spans="1:43" ht="18" x14ac:dyDescent="0.25">
      <c r="B1" s="125" t="str">
        <f>'[3]Team Report'!B1</f>
        <v>Enron North America</v>
      </c>
      <c r="C1" s="125"/>
      <c r="D1" s="125"/>
      <c r="E1" s="125"/>
      <c r="F1" s="125"/>
      <c r="G1" s="125"/>
      <c r="H1" s="1"/>
      <c r="I1" s="3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" x14ac:dyDescent="0.25">
      <c r="B2" s="125" t="s">
        <v>246</v>
      </c>
      <c r="C2" s="125"/>
      <c r="D2" s="125"/>
      <c r="E2" s="125"/>
      <c r="F2" s="125"/>
      <c r="G2" s="125"/>
      <c r="H2" s="1"/>
      <c r="I2" s="3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H4" s="4"/>
      <c r="I4" s="40"/>
      <c r="J4" s="5"/>
      <c r="K4" s="6"/>
    </row>
    <row r="5" spans="1:43" x14ac:dyDescent="0.2">
      <c r="H5" s="7"/>
      <c r="I5" s="17" t="s">
        <v>2</v>
      </c>
      <c r="J5" s="8" t="s">
        <v>3</v>
      </c>
      <c r="K5" s="9" t="s">
        <v>4</v>
      </c>
    </row>
    <row r="6" spans="1:43" x14ac:dyDescent="0.2">
      <c r="C6" s="10">
        <v>37135</v>
      </c>
      <c r="E6" s="44" t="s">
        <v>65</v>
      </c>
      <c r="G6" s="44" t="s">
        <v>65</v>
      </c>
      <c r="H6" s="7"/>
      <c r="I6" s="17"/>
      <c r="J6" s="8"/>
      <c r="K6" s="9"/>
      <c r="O6" s="11">
        <v>2002</v>
      </c>
      <c r="AK6" s="11"/>
    </row>
    <row r="7" spans="1:43" x14ac:dyDescent="0.2">
      <c r="C7" s="12" t="s">
        <v>6</v>
      </c>
      <c r="E7" s="12" t="s">
        <v>7</v>
      </c>
      <c r="G7" s="12" t="s">
        <v>8</v>
      </c>
      <c r="H7" s="7"/>
      <c r="I7" s="17"/>
      <c r="J7" s="8"/>
      <c r="K7" s="9"/>
      <c r="O7" s="12" t="s">
        <v>8</v>
      </c>
      <c r="AK7" s="12"/>
    </row>
    <row r="8" spans="1:43" x14ac:dyDescent="0.2">
      <c r="A8" s="13" t="s">
        <v>10</v>
      </c>
      <c r="B8" s="14" t="s">
        <v>11</v>
      </c>
      <c r="C8" s="15">
        <f>+'[2]Natural Gas'!C8+[2]Ontario!C8+[2]Finance!C8+[2]Executive!C8+[2]Alberta!C8</f>
        <v>2855922.0300000003</v>
      </c>
      <c r="E8" s="15">
        <f>+'[2]Natural Gas'!E8+[2]Ontario!E8+[2]Finance!E8+[2]Executive!E8+[2]Alberta!E8</f>
        <v>3807896.0399999991</v>
      </c>
      <c r="G8" s="15">
        <f>K28-G11-G10</f>
        <v>0</v>
      </c>
      <c r="H8" s="7" t="s">
        <v>11</v>
      </c>
      <c r="I8" s="17">
        <v>0</v>
      </c>
      <c r="J8" s="8"/>
      <c r="K8" s="18">
        <f>K28</f>
        <v>0</v>
      </c>
      <c r="O8" s="15" t="e">
        <f t="shared" ref="O8:O22" si="0">+G8/$G$29*$O$29</f>
        <v>#DIV/0!</v>
      </c>
      <c r="AK8" s="32"/>
    </row>
    <row r="9" spans="1:43" x14ac:dyDescent="0.2">
      <c r="A9" s="13"/>
      <c r="B9" s="14" t="s">
        <v>12</v>
      </c>
      <c r="C9" s="15">
        <f>+'[2]Natural Gas'!C9+[2]Ontario!C9+[2]Finance!C9+[2]Executive!C9+[2]Alberta!C9</f>
        <v>0</v>
      </c>
      <c r="E9" s="15">
        <f>+'[2]Natural Gas'!E9+[2]Ontario!E9+[2]Finance!E9+[2]Executive!E9+[2]Alberta!E9</f>
        <v>0</v>
      </c>
      <c r="G9" s="15">
        <v>0</v>
      </c>
      <c r="H9" s="7"/>
      <c r="I9" s="17"/>
      <c r="J9" s="8"/>
      <c r="K9" s="9"/>
      <c r="O9" s="15" t="e">
        <f t="shared" si="0"/>
        <v>#DIV/0!</v>
      </c>
      <c r="AK9" s="32"/>
    </row>
    <row r="10" spans="1:43" x14ac:dyDescent="0.2">
      <c r="A10" s="13"/>
      <c r="B10" s="14" t="s">
        <v>91</v>
      </c>
      <c r="C10" s="15">
        <v>0</v>
      </c>
      <c r="E10" s="15">
        <v>0</v>
      </c>
      <c r="G10" s="15">
        <f>K22+K21</f>
        <v>0</v>
      </c>
      <c r="H10" s="7"/>
      <c r="I10" s="17"/>
      <c r="J10" s="8"/>
      <c r="K10" s="9"/>
      <c r="O10" s="15" t="e">
        <f t="shared" si="0"/>
        <v>#DIV/0!</v>
      </c>
      <c r="AK10" s="32"/>
    </row>
    <row r="11" spans="1:43" x14ac:dyDescent="0.2">
      <c r="A11" s="13" t="s">
        <v>14</v>
      </c>
      <c r="B11" s="14" t="s">
        <v>15</v>
      </c>
      <c r="C11" s="15">
        <f>+'[2]Natural Gas'!C11+[2]Ontario!C11+[2]Finance!C11+[2]Executive!C10+[2]Alberta!C11</f>
        <v>312682.37</v>
      </c>
      <c r="E11" s="15">
        <f>+'[2]Natural Gas'!E11+[2]Ontario!E11+[2]Finance!E11+[2]Executive!E10+[2]Alberta!E11</f>
        <v>416909.82666666666</v>
      </c>
      <c r="G11" s="15">
        <v>0</v>
      </c>
      <c r="H11" s="7" t="s">
        <v>16</v>
      </c>
      <c r="I11" s="19">
        <f>(E12+E13+E14+E15+E16+E17+E18+E19+E20+E21+E22)/E29</f>
        <v>31253.507839999998</v>
      </c>
      <c r="J11" s="8">
        <f>J28</f>
        <v>0</v>
      </c>
      <c r="K11" s="18">
        <f>I11*J11</f>
        <v>0</v>
      </c>
      <c r="O11" s="15" t="e">
        <f t="shared" si="0"/>
        <v>#DIV/0!</v>
      </c>
      <c r="AK11" s="32"/>
    </row>
    <row r="12" spans="1:43" x14ac:dyDescent="0.2">
      <c r="A12" s="13" t="s">
        <v>17</v>
      </c>
      <c r="B12" s="14" t="s">
        <v>18</v>
      </c>
      <c r="C12" s="15">
        <f>+'[2]Natural Gas'!C12+[2]Ontario!C12+[2]Finance!C12+[2]Executive!C12+[2]Alberta!C12</f>
        <v>67320.12999999999</v>
      </c>
      <c r="E12" s="20">
        <f>(+'[2]Natural Gas'!E12+[2]Ontario!E12+[2]Finance!E12+[2]Executive!E12+[2]Alberta!E12)*1.2</f>
        <v>107712.20799999998</v>
      </c>
      <c r="G12" s="21">
        <f t="shared" ref="G12:G22" si="1">(E12/$E$29)*$G$29</f>
        <v>0</v>
      </c>
      <c r="H12" s="7"/>
      <c r="I12" s="17"/>
      <c r="J12" s="8"/>
      <c r="K12" s="9"/>
      <c r="O12" s="15" t="e">
        <f t="shared" si="0"/>
        <v>#DIV/0!</v>
      </c>
      <c r="AK12" s="32"/>
    </row>
    <row r="13" spans="1:43" ht="13.5" thickBot="1" x14ac:dyDescent="0.25">
      <c r="A13" s="13" t="s">
        <v>19</v>
      </c>
      <c r="B13" s="14" t="s">
        <v>20</v>
      </c>
      <c r="C13" s="15">
        <f>+'[2]Natural Gas'!C13+[2]Ontario!C13+[2]Finance!C13+[2]Executive!C13+[2]Alberta!C13</f>
        <v>297871.83999999997</v>
      </c>
      <c r="E13" s="20">
        <f>(+'[2]Natural Gas'!E13+[2]Ontario!E13+[2]Finance!E13+[2]Executive!E13+[2]Alberta!E13)*1.2</f>
        <v>476594.94399999996</v>
      </c>
      <c r="G13" s="21">
        <f t="shared" si="1"/>
        <v>0</v>
      </c>
      <c r="H13" s="22" t="s">
        <v>21</v>
      </c>
      <c r="I13" s="47"/>
      <c r="J13" s="23"/>
      <c r="K13" s="24">
        <f>K8+K11</f>
        <v>0</v>
      </c>
      <c r="O13" s="15" t="e">
        <f t="shared" si="0"/>
        <v>#DIV/0!</v>
      </c>
      <c r="AK13" s="32"/>
    </row>
    <row r="14" spans="1:43" x14ac:dyDescent="0.2">
      <c r="A14" s="13" t="s">
        <v>22</v>
      </c>
      <c r="B14" s="14" t="s">
        <v>23</v>
      </c>
      <c r="C14" s="15">
        <f>+'[2]Natural Gas'!C14+[2]Ontario!C14+[2]Finance!C14+[2]Executive!C14+[2]Alberta!C14</f>
        <v>505739.98</v>
      </c>
      <c r="E14" s="20">
        <f>(+'[2]Natural Gas'!E14+[2]Ontario!E14+[2]Finance!E14+[2]Executive!E14+[2]Alberta!E14)*1.2</f>
        <v>809183.96799999999</v>
      </c>
      <c r="G14" s="21">
        <f t="shared" si="1"/>
        <v>0</v>
      </c>
      <c r="O14" s="15" t="e">
        <f t="shared" si="0"/>
        <v>#DIV/0!</v>
      </c>
      <c r="AK14" s="32"/>
    </row>
    <row r="15" spans="1:43" x14ac:dyDescent="0.2">
      <c r="A15" s="13" t="s">
        <v>24</v>
      </c>
      <c r="B15" s="14" t="s">
        <v>25</v>
      </c>
      <c r="C15" s="15">
        <f>+'[2]Natural Gas'!C15+[2]Ontario!C15+[2]Finance!C15+[2]Executive!C15+[2]Alberta!C15</f>
        <v>6427.4199999999992</v>
      </c>
      <c r="E15" s="20">
        <f>(+'[2]Natural Gas'!E15+[2]Ontario!E15+[2]Finance!E15+[2]Executive!E15+[2]Alberta!E15)*1.2</f>
        <v>10283.871999999998</v>
      </c>
      <c r="G15" s="21">
        <f t="shared" si="1"/>
        <v>0</v>
      </c>
      <c r="O15" s="15" t="e">
        <f t="shared" si="0"/>
        <v>#DIV/0!</v>
      </c>
      <c r="AK15" s="32"/>
    </row>
    <row r="16" spans="1:43" x14ac:dyDescent="0.2">
      <c r="A16" s="13" t="s">
        <v>26</v>
      </c>
      <c r="B16" s="14" t="s">
        <v>27</v>
      </c>
      <c r="C16" s="15">
        <f>+'[2]Natural Gas'!C16+[2]Ontario!C16+[2]Finance!C16+[2]Executive!C16+[2]Alberta!C16</f>
        <v>0</v>
      </c>
      <c r="E16" s="20">
        <f>(+'[2]Natural Gas'!E16+[2]Ontario!E16+[2]Finance!E16+[2]Executive!E16+[2]Alberta!E16)*1.2</f>
        <v>0</v>
      </c>
      <c r="G16" s="21">
        <f t="shared" si="1"/>
        <v>0</v>
      </c>
      <c r="H16" t="s">
        <v>28</v>
      </c>
      <c r="I16" s="25">
        <v>33600</v>
      </c>
      <c r="J16">
        <v>0</v>
      </c>
      <c r="K16">
        <f t="shared" ref="K16:K27" si="2">I16*J16</f>
        <v>0</v>
      </c>
      <c r="O16" s="15" t="e">
        <f t="shared" si="0"/>
        <v>#DIV/0!</v>
      </c>
      <c r="AK16" s="32"/>
    </row>
    <row r="17" spans="1:37" x14ac:dyDescent="0.2">
      <c r="A17" s="13" t="s">
        <v>29</v>
      </c>
      <c r="B17" s="14" t="s">
        <v>30</v>
      </c>
      <c r="C17" s="15">
        <f>+'[2]Natural Gas'!C17+[2]Ontario!C17+[2]Finance!C17+[2]Executive!C17+[2]Alberta!C17</f>
        <v>1883.62</v>
      </c>
      <c r="E17" s="20">
        <f>(+'[2]Natural Gas'!E17+[2]Ontario!E17+[2]Finance!E17+[2]Executive!E17+[2]Alberta!E17)*1.2</f>
        <v>3013.7920000000004</v>
      </c>
      <c r="G17" s="21">
        <f t="shared" si="1"/>
        <v>0</v>
      </c>
      <c r="H17" t="s">
        <v>31</v>
      </c>
      <c r="I17" s="25">
        <v>52800</v>
      </c>
      <c r="J17">
        <v>0</v>
      </c>
      <c r="K17">
        <f t="shared" si="2"/>
        <v>0</v>
      </c>
      <c r="O17" s="15" t="e">
        <f t="shared" si="0"/>
        <v>#DIV/0!</v>
      </c>
      <c r="AK17" s="32"/>
    </row>
    <row r="18" spans="1:37" x14ac:dyDescent="0.2">
      <c r="A18" s="13" t="s">
        <v>32</v>
      </c>
      <c r="B18" s="14" t="s">
        <v>33</v>
      </c>
      <c r="C18" s="15">
        <f>+'[2]Natural Gas'!C18+[2]Ontario!C18+[2]Finance!C18+[2]Executive!C18+[2]Alberta!C18</f>
        <v>19208.419999999998</v>
      </c>
      <c r="E18" s="20">
        <f>(+'[2]Natural Gas'!E18+[2]Ontario!E18+[2]Finance!E18+[2]Executive!E18+[2]Alberta!E18)*1.2</f>
        <v>30733.471999999998</v>
      </c>
      <c r="G18" s="21">
        <f t="shared" si="1"/>
        <v>0</v>
      </c>
      <c r="H18" t="s">
        <v>34</v>
      </c>
      <c r="I18" s="25">
        <v>54000</v>
      </c>
      <c r="J18">
        <v>0</v>
      </c>
      <c r="K18">
        <f t="shared" si="2"/>
        <v>0</v>
      </c>
      <c r="O18" s="15" t="e">
        <f t="shared" si="0"/>
        <v>#DIV/0!</v>
      </c>
      <c r="AK18" s="32"/>
    </row>
    <row r="19" spans="1:37" x14ac:dyDescent="0.2">
      <c r="A19" s="13" t="s">
        <v>35</v>
      </c>
      <c r="B19" s="14" t="s">
        <v>36</v>
      </c>
      <c r="C19" s="15">
        <f>+'[2]Natural Gas'!C19+[2]Ontario!C19+[2]Finance!C19+[2]Executive!C19+[2]Alberta!C19</f>
        <v>52344.84</v>
      </c>
      <c r="E19" s="20">
        <f>(+'[2]Natural Gas'!E19+[2]Ontario!E19+[2]Finance!E19+[2]Executive!E19+[2]Alberta!E19)*1.2</f>
        <v>83751.743999999992</v>
      </c>
      <c r="G19" s="21">
        <f t="shared" si="1"/>
        <v>0</v>
      </c>
      <c r="H19" t="s">
        <v>37</v>
      </c>
      <c r="I19" s="25">
        <v>63000</v>
      </c>
      <c r="J19">
        <v>0</v>
      </c>
      <c r="K19">
        <f t="shared" si="2"/>
        <v>0</v>
      </c>
      <c r="O19" s="15" t="e">
        <f t="shared" si="0"/>
        <v>#DIV/0!</v>
      </c>
      <c r="AK19" s="32"/>
    </row>
    <row r="20" spans="1:37" x14ac:dyDescent="0.2">
      <c r="A20" s="13" t="s">
        <v>38</v>
      </c>
      <c r="B20" s="14" t="s">
        <v>39</v>
      </c>
      <c r="C20" s="15">
        <f>+'[2]Natural Gas'!C20+[2]Ontario!C20+[2]Finance!C20+[2]Executive!C20+[2]Alberta!C20</f>
        <v>0</v>
      </c>
      <c r="E20" s="20">
        <f>(+'[2]Natural Gas'!E20+[2]Ontario!E20+[2]Finance!E20+[2]Executive!E20+[2]Alberta!E20)*1.2</f>
        <v>0</v>
      </c>
      <c r="G20" s="21">
        <f t="shared" si="1"/>
        <v>0</v>
      </c>
      <c r="H20" t="s">
        <v>40</v>
      </c>
      <c r="I20" s="25">
        <v>78000</v>
      </c>
      <c r="J20">
        <v>0</v>
      </c>
      <c r="K20">
        <f t="shared" si="2"/>
        <v>0</v>
      </c>
      <c r="O20" s="15" t="e">
        <f t="shared" si="0"/>
        <v>#DIV/0!</v>
      </c>
      <c r="AK20" s="32"/>
    </row>
    <row r="21" spans="1:37" x14ac:dyDescent="0.2">
      <c r="A21" s="13" t="s">
        <v>41</v>
      </c>
      <c r="B21" s="14" t="s">
        <v>42</v>
      </c>
      <c r="C21" s="15">
        <f>+'[2]Natural Gas'!C21+[2]Ontario!C21+[2]Finance!C21+[2]Executive!C21+[2]Alberta!C21</f>
        <v>19769.170000000046</v>
      </c>
      <c r="E21" s="20">
        <f>(+'[2]Natural Gas'!E21+[2]Ontario!E21+[2]Finance!E21+[2]Executive!E21+[2]Alberta!E21)*1.2</f>
        <v>31630.672000000071</v>
      </c>
      <c r="G21" s="21">
        <f t="shared" si="1"/>
        <v>0</v>
      </c>
      <c r="H21" t="s">
        <v>43</v>
      </c>
      <c r="I21" s="25">
        <v>66000</v>
      </c>
      <c r="J21">
        <v>0</v>
      </c>
      <c r="K21">
        <f t="shared" si="2"/>
        <v>0</v>
      </c>
      <c r="O21" s="15" t="e">
        <f t="shared" si="0"/>
        <v>#DIV/0!</v>
      </c>
      <c r="AK21" s="32"/>
    </row>
    <row r="22" spans="1:37" x14ac:dyDescent="0.2">
      <c r="A22" s="13" t="s">
        <v>44</v>
      </c>
      <c r="B22" s="14" t="s">
        <v>45</v>
      </c>
      <c r="C22" s="15">
        <f>+'[2]Natural Gas'!C22+[2]Ontario!C22+[2]Finance!C22+[2]Executive!C22+[2]Alberta!C22</f>
        <v>6106.7000000000089</v>
      </c>
      <c r="E22" s="20">
        <f>(+'[2]Natural Gas'!E22+[2]Ontario!E22+[2]Finance!E22+[2]Executive!E22+[2]Alberta!E22)*1.2</f>
        <v>9770.7200000000139</v>
      </c>
      <c r="G22" s="21">
        <f t="shared" si="1"/>
        <v>0</v>
      </c>
      <c r="H22" t="s">
        <v>46</v>
      </c>
      <c r="I22" s="25">
        <v>97200</v>
      </c>
      <c r="J22">
        <v>0</v>
      </c>
      <c r="K22">
        <f t="shared" si="2"/>
        <v>0</v>
      </c>
      <c r="O22" s="15" t="e">
        <f t="shared" si="0"/>
        <v>#DIV/0!</v>
      </c>
      <c r="AK22" s="32"/>
    </row>
    <row r="23" spans="1:37" x14ac:dyDescent="0.2">
      <c r="A23" s="26" t="s">
        <v>47</v>
      </c>
      <c r="B23" s="27" t="s">
        <v>48</v>
      </c>
      <c r="C23" s="28">
        <f>SUM(C8:C22)</f>
        <v>4145276.52</v>
      </c>
      <c r="E23" s="28">
        <f>SUM(E8:E22)</f>
        <v>5787481.2586666662</v>
      </c>
      <c r="G23" s="28">
        <f>SUM(G8:G22)</f>
        <v>0</v>
      </c>
      <c r="H23" t="s">
        <v>49</v>
      </c>
      <c r="I23" s="25">
        <v>120000</v>
      </c>
      <c r="J23">
        <v>0</v>
      </c>
      <c r="K23">
        <f t="shared" si="2"/>
        <v>0</v>
      </c>
      <c r="O23" s="28" t="e">
        <f>SUM(O8:O22)</f>
        <v>#DIV/0!</v>
      </c>
      <c r="AK23" s="29"/>
    </row>
    <row r="24" spans="1:37" x14ac:dyDescent="0.2">
      <c r="H24" t="s">
        <v>50</v>
      </c>
      <c r="I24" s="25">
        <v>156000</v>
      </c>
      <c r="J24">
        <v>0</v>
      </c>
      <c r="K24">
        <f t="shared" si="2"/>
        <v>0</v>
      </c>
      <c r="AK24" s="8"/>
    </row>
    <row r="25" spans="1:37" x14ac:dyDescent="0.2">
      <c r="B25" s="27" t="s">
        <v>51</v>
      </c>
      <c r="C25" s="60"/>
      <c r="E25" s="61">
        <f>+'[2]Natural Gas'!E25+[2]Ontario!E25+[2]Finance!E25+[2]Executive!E25+[2]Alberta!E25</f>
        <v>30</v>
      </c>
      <c r="G25" s="61">
        <f>SUM(J16:J20,J23:J27)</f>
        <v>0</v>
      </c>
      <c r="H25" t="s">
        <v>52</v>
      </c>
      <c r="I25" s="25">
        <v>180000</v>
      </c>
      <c r="J25">
        <v>0</v>
      </c>
      <c r="K25">
        <f t="shared" si="2"/>
        <v>0</v>
      </c>
      <c r="O25" s="31">
        <f>SUM(U16:U20,U23:U27)</f>
        <v>0</v>
      </c>
      <c r="AK25" s="32"/>
    </row>
    <row r="26" spans="1:37" x14ac:dyDescent="0.2">
      <c r="C26" s="15"/>
      <c r="E26" s="14"/>
      <c r="G26" s="14"/>
      <c r="H26" t="s">
        <v>53</v>
      </c>
      <c r="I26" s="25">
        <v>216000</v>
      </c>
      <c r="J26">
        <v>0</v>
      </c>
      <c r="K26">
        <f t="shared" si="2"/>
        <v>0</v>
      </c>
      <c r="O26" s="15"/>
      <c r="AK26" s="32"/>
    </row>
    <row r="27" spans="1:37" x14ac:dyDescent="0.2">
      <c r="B27" s="27" t="s">
        <v>54</v>
      </c>
      <c r="C27" s="15"/>
      <c r="E27" s="61">
        <f>+'[2]Natural Gas'!E27+[2]Ontario!E27+[2]Finance!E27+[2]Executive!E27+[2]Alberta!E27</f>
        <v>20</v>
      </c>
      <c r="G27" s="61">
        <f>SUM(J21:J22)</f>
        <v>0</v>
      </c>
      <c r="H27" t="s">
        <v>92</v>
      </c>
      <c r="I27" s="25">
        <v>240000</v>
      </c>
      <c r="J27">
        <v>0</v>
      </c>
      <c r="K27">
        <f t="shared" si="2"/>
        <v>0</v>
      </c>
      <c r="O27" s="31">
        <f>+U21+U22</f>
        <v>0</v>
      </c>
      <c r="AK27" s="32"/>
    </row>
    <row r="28" spans="1:37" x14ac:dyDescent="0.2">
      <c r="J28">
        <f>SUM(J16:J27)</f>
        <v>0</v>
      </c>
      <c r="K28">
        <f>SUM(K16:K27)*1.2</f>
        <v>0</v>
      </c>
      <c r="AK28" s="8"/>
    </row>
    <row r="29" spans="1:37" x14ac:dyDescent="0.2">
      <c r="B29" s="27" t="s">
        <v>56</v>
      </c>
      <c r="C29" s="15"/>
      <c r="E29" s="31">
        <f>+E27+E25</f>
        <v>50</v>
      </c>
      <c r="F29" s="32"/>
      <c r="G29" s="31">
        <f>+G27+G25</f>
        <v>0</v>
      </c>
      <c r="H29" s="49"/>
      <c r="O29" s="31">
        <v>1</v>
      </c>
      <c r="AK29" s="32"/>
    </row>
    <row r="30" spans="1:37" hidden="1" x14ac:dyDescent="0.2"/>
    <row r="31" spans="1:37" hidden="1" x14ac:dyDescent="0.2">
      <c r="A31" s="13" t="s">
        <v>73</v>
      </c>
      <c r="B31" s="14" t="s">
        <v>93</v>
      </c>
      <c r="C31" s="15"/>
      <c r="E31" s="15"/>
      <c r="G31" s="33" t="s">
        <v>57</v>
      </c>
      <c r="H31" s="25"/>
      <c r="J31" s="25"/>
    </row>
    <row r="32" spans="1:37" hidden="1" x14ac:dyDescent="0.2">
      <c r="A32" s="13" t="s">
        <v>75</v>
      </c>
      <c r="B32" s="14"/>
      <c r="C32" s="15"/>
      <c r="E32" s="15"/>
      <c r="H32" s="25"/>
      <c r="J32" s="25"/>
    </row>
    <row r="33" spans="1:11" hidden="1" x14ac:dyDescent="0.2">
      <c r="A33" s="13" t="s">
        <v>77</v>
      </c>
      <c r="B33" s="14"/>
      <c r="C33" s="15"/>
      <c r="E33" s="15"/>
      <c r="G33" s="34" t="s">
        <v>58</v>
      </c>
      <c r="H33" s="35" t="s">
        <v>59</v>
      </c>
      <c r="I33" s="35" t="s">
        <v>60</v>
      </c>
      <c r="J33" s="35" t="s">
        <v>3</v>
      </c>
      <c r="K33" s="35" t="s">
        <v>61</v>
      </c>
    </row>
    <row r="34" spans="1:11" hidden="1" x14ac:dyDescent="0.2">
      <c r="A34" s="13" t="s">
        <v>79</v>
      </c>
      <c r="B34" s="14"/>
      <c r="C34" s="15"/>
      <c r="E34" s="15"/>
      <c r="G34" s="36">
        <f>SUM(E12:E22)</f>
        <v>1562675.392</v>
      </c>
      <c r="H34" s="37">
        <f>+E29</f>
        <v>50</v>
      </c>
      <c r="I34" s="37">
        <f>+G34/H34</f>
        <v>31253.507839999998</v>
      </c>
      <c r="J34" s="37">
        <f>+J11</f>
        <v>0</v>
      </c>
      <c r="K34" s="37">
        <f>+I34*J34</f>
        <v>0</v>
      </c>
    </row>
    <row r="35" spans="1:11" hidden="1" x14ac:dyDescent="0.2">
      <c r="A35" s="13" t="s">
        <v>81</v>
      </c>
      <c r="B35" s="14"/>
      <c r="C35" s="15"/>
      <c r="E35" s="15"/>
    </row>
    <row r="36" spans="1:11" hidden="1" x14ac:dyDescent="0.2">
      <c r="A36" s="13" t="s">
        <v>83</v>
      </c>
      <c r="B36" s="14"/>
      <c r="C36" s="15"/>
      <c r="E36" s="15"/>
    </row>
    <row r="37" spans="1:11" hidden="1" x14ac:dyDescent="0.2">
      <c r="A37" s="13" t="s">
        <v>85</v>
      </c>
      <c r="B37" s="14"/>
      <c r="C37" s="15"/>
      <c r="E37" s="15"/>
    </row>
    <row r="38" spans="1:11" hidden="1" x14ac:dyDescent="0.2">
      <c r="A38" s="13" t="s">
        <v>87</v>
      </c>
      <c r="B38" s="14"/>
      <c r="C38" s="15"/>
      <c r="E38" s="15"/>
    </row>
    <row r="39" spans="1:11" hidden="1" x14ac:dyDescent="0.2">
      <c r="B39" s="14"/>
      <c r="C39" s="15"/>
      <c r="E39" s="15"/>
    </row>
    <row r="40" spans="1:11" hidden="1" x14ac:dyDescent="0.2">
      <c r="B40" s="14"/>
      <c r="C40" s="15"/>
      <c r="E40" s="15"/>
    </row>
    <row r="41" spans="1:11" hidden="1" x14ac:dyDescent="0.2">
      <c r="B41" s="14"/>
      <c r="C41" s="15"/>
      <c r="E41" s="15"/>
    </row>
    <row r="42" spans="1:11" hidden="1" x14ac:dyDescent="0.2"/>
    <row r="43" spans="1:11" hidden="1" x14ac:dyDescent="0.2"/>
    <row r="44" spans="1:11" hidden="1" x14ac:dyDescent="0.2">
      <c r="C44" s="54"/>
    </row>
    <row r="45" spans="1:11" hidden="1" x14ac:dyDescent="0.2"/>
    <row r="46" spans="1:11" hidden="1" x14ac:dyDescent="0.2"/>
    <row r="47" spans="1:11" hidden="1" x14ac:dyDescent="0.2"/>
    <row r="48" spans="1:11" hidden="1" x14ac:dyDescent="0.2"/>
    <row r="49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44"/>
  <sheetViews>
    <sheetView zoomScaleNormal="100" workbookViewId="0">
      <selection activeCell="F8" sqref="F8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0" width="9.140625" hidden="1" customWidth="1"/>
    <col min="21" max="31" width="0" hidden="1" customWidth="1"/>
  </cols>
  <sheetData>
    <row r="1" spans="1:45" ht="18" x14ac:dyDescent="0.25">
      <c r="B1" s="125" t="str">
        <f>'[16]Team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'[16]Pull Sheet'!E9</f>
        <v>Office of the Chair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5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>
        <v>2002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'[16]Team Report'!BA25</f>
        <v>888807.72</v>
      </c>
      <c r="E8" s="15">
        <f t="shared" ref="E8:E22" si="0">(C8/9)*12</f>
        <v>1185076.96</v>
      </c>
      <c r="F8" s="15">
        <f>+M21</f>
        <v>1098000</v>
      </c>
      <c r="J8" s="7"/>
      <c r="K8" s="17"/>
      <c r="L8" s="17"/>
      <c r="M8" s="43"/>
      <c r="O8" s="15">
        <f>+F8/$F$29*$O$29</f>
        <v>183000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J9" s="7" t="s">
        <v>11</v>
      </c>
      <c r="K9" s="17">
        <v>0</v>
      </c>
      <c r="L9" s="17">
        <f>+L21</f>
        <v>6</v>
      </c>
      <c r="M9" s="43">
        <f>M21</f>
        <v>1098000</v>
      </c>
      <c r="O9" s="15">
        <f t="shared" ref="O9:O22" si="1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'[16]Team Report'!BA26</f>
        <v>249788.37</v>
      </c>
      <c r="E11" s="15">
        <f t="shared" si="0"/>
        <v>333051.15999999997</v>
      </c>
      <c r="F11" s="15">
        <f>+F8*0.2</f>
        <v>219600</v>
      </c>
      <c r="J11" s="7"/>
      <c r="K11" s="17"/>
      <c r="L11" s="17"/>
      <c r="M11" s="43"/>
      <c r="O11" s="15">
        <f t="shared" si="1"/>
        <v>36600</v>
      </c>
    </row>
    <row r="12" spans="1:45" x14ac:dyDescent="0.2">
      <c r="A12" s="13" t="s">
        <v>17</v>
      </c>
      <c r="B12" s="14" t="s">
        <v>18</v>
      </c>
      <c r="C12" s="15">
        <f>'[16]Team Report'!BA27</f>
        <v>180082.12999999998</v>
      </c>
      <c r="E12" s="21">
        <f t="shared" si="0"/>
        <v>240109.50666666665</v>
      </c>
      <c r="F12" s="21">
        <f>+E12/$E$29*$F$29</f>
        <v>288131.40799999994</v>
      </c>
      <c r="J12" s="7" t="s">
        <v>16</v>
      </c>
      <c r="K12" s="17">
        <f>(E12+E13+E14+E15+E16+E17+E18+E19+E20+E21+E22)/E29</f>
        <v>123221.09066666474</v>
      </c>
      <c r="L12" s="17">
        <f>+L21</f>
        <v>6</v>
      </c>
      <c r="M12" s="43">
        <f>K12*L12</f>
        <v>739326.54399998835</v>
      </c>
      <c r="O12" s="15">
        <f t="shared" si="1"/>
        <v>48021.901333333321</v>
      </c>
    </row>
    <row r="13" spans="1:45" x14ac:dyDescent="0.2">
      <c r="A13" s="13" t="s">
        <v>19</v>
      </c>
      <c r="B13" s="14" t="s">
        <v>20</v>
      </c>
      <c r="C13" s="15">
        <f>'[16]Team Report'!BA28</f>
        <v>201416.5</v>
      </c>
      <c r="E13" s="21">
        <f t="shared" si="0"/>
        <v>268555.33333333331</v>
      </c>
      <c r="F13" s="21">
        <f t="shared" ref="F13:F22" si="2">+E13/$E$29*$F$29</f>
        <v>322266.40000000002</v>
      </c>
      <c r="J13" s="7"/>
      <c r="K13" s="17"/>
      <c r="L13" s="17"/>
      <c r="M13" s="43"/>
      <c r="O13" s="15">
        <f t="shared" si="1"/>
        <v>53711.066666666673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f t="shared" si="0"/>
        <v>0</v>
      </c>
      <c r="F14" s="21">
        <f t="shared" si="2"/>
        <v>0</v>
      </c>
      <c r="J14" s="22" t="s">
        <v>21</v>
      </c>
      <c r="K14" s="47"/>
      <c r="L14" s="47"/>
      <c r="M14" s="48">
        <f>SUM(M9:M12)</f>
        <v>1837326.5439999884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'[16]Team Report'!BA33</f>
        <v>10998.160000000003</v>
      </c>
      <c r="E15" s="21">
        <f t="shared" si="0"/>
        <v>14664.213333333337</v>
      </c>
      <c r="F15" s="21">
        <f t="shared" si="2"/>
        <v>17597.056000000004</v>
      </c>
      <c r="J15" s="8"/>
      <c r="K15" s="17"/>
      <c r="L15" s="17"/>
      <c r="M15" s="17"/>
      <c r="O15" s="15">
        <f t="shared" si="1"/>
        <v>2932.8426666666674</v>
      </c>
    </row>
    <row r="16" spans="1:45" x14ac:dyDescent="0.2">
      <c r="A16" s="13" t="s">
        <v>26</v>
      </c>
      <c r="B16" s="14" t="s">
        <v>27</v>
      </c>
      <c r="C16" s="15">
        <f>'[16]Team Report'!BA34</f>
        <v>0</v>
      </c>
      <c r="E16" s="21">
        <f t="shared" si="0"/>
        <v>0</v>
      </c>
      <c r="F16" s="21">
        <f t="shared" si="2"/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'[16]Team Report'!BA35</f>
        <v>25000</v>
      </c>
      <c r="E17" s="21">
        <f t="shared" si="0"/>
        <v>33333.333333333336</v>
      </c>
      <c r="F17" s="21">
        <f t="shared" si="2"/>
        <v>40000</v>
      </c>
      <c r="M17" s="17"/>
      <c r="O17" s="15">
        <f t="shared" si="1"/>
        <v>6666.666666666667</v>
      </c>
    </row>
    <row r="18" spans="1:15" x14ac:dyDescent="0.2">
      <c r="A18" s="13" t="s">
        <v>32</v>
      </c>
      <c r="B18" s="14" t="s">
        <v>33</v>
      </c>
      <c r="C18" s="15">
        <f>'[16]Team Report'!BA36</f>
        <v>2602.3200000000002</v>
      </c>
      <c r="E18" s="21">
        <f t="shared" si="0"/>
        <v>3469.76</v>
      </c>
      <c r="F18" s="21">
        <f t="shared" si="2"/>
        <v>4163.7119999999995</v>
      </c>
      <c r="J18" t="s">
        <v>31</v>
      </c>
      <c r="K18" s="25">
        <v>55000</v>
      </c>
      <c r="L18" s="25">
        <v>3</v>
      </c>
      <c r="M18" s="17">
        <f>K18*L18</f>
        <v>165000</v>
      </c>
      <c r="O18" s="15">
        <f t="shared" si="1"/>
        <v>693.95199999999988</v>
      </c>
    </row>
    <row r="19" spans="1:15" x14ac:dyDescent="0.2">
      <c r="A19" s="13" t="s">
        <v>35</v>
      </c>
      <c r="B19" s="14" t="s">
        <v>36</v>
      </c>
      <c r="C19" s="15">
        <f>'[16]Team Report'!BA37</f>
        <v>40643.17</v>
      </c>
      <c r="E19" s="21">
        <f t="shared" si="0"/>
        <v>54190.893333333326</v>
      </c>
      <c r="F19" s="21">
        <f t="shared" si="2"/>
        <v>65029.071999999986</v>
      </c>
      <c r="J19" t="s">
        <v>145</v>
      </c>
      <c r="K19" s="25">
        <v>250000</v>
      </c>
      <c r="L19" s="25">
        <v>1</v>
      </c>
      <c r="M19" s="17">
        <f>K19*L19</f>
        <v>250000</v>
      </c>
      <c r="O19" s="15">
        <f t="shared" si="1"/>
        <v>10838.178666666665</v>
      </c>
    </row>
    <row r="20" spans="1:15" x14ac:dyDescent="0.2">
      <c r="A20" s="13" t="s">
        <v>38</v>
      </c>
      <c r="B20" s="14" t="s">
        <v>39</v>
      </c>
      <c r="C20" s="15">
        <f>'[16]Team Report'!BA38</f>
        <v>1258.2</v>
      </c>
      <c r="E20" s="21">
        <f t="shared" si="0"/>
        <v>1677.6000000000001</v>
      </c>
      <c r="F20" s="21">
        <f t="shared" si="2"/>
        <v>2013.1200000000003</v>
      </c>
      <c r="J20" t="s">
        <v>92</v>
      </c>
      <c r="K20" s="25">
        <v>250000</v>
      </c>
      <c r="L20" s="25">
        <v>2</v>
      </c>
      <c r="M20" s="17">
        <f>K20*L20</f>
        <v>500000</v>
      </c>
      <c r="O20" s="15">
        <f t="shared" si="1"/>
        <v>335.52000000000004</v>
      </c>
    </row>
    <row r="21" spans="1:15" x14ac:dyDescent="0.2">
      <c r="A21" s="13" t="s">
        <v>41</v>
      </c>
      <c r="B21" s="14" t="s">
        <v>42</v>
      </c>
      <c r="C21" s="15">
        <f>'[16]Team Report'!BA42-C40</f>
        <v>-0.18000000715255737</v>
      </c>
      <c r="E21" s="21">
        <f t="shared" si="0"/>
        <v>-0.24000000953674316</v>
      </c>
      <c r="F21" s="21">
        <f t="shared" si="2"/>
        <v>-0.28800001144409182</v>
      </c>
      <c r="L21" s="25">
        <f>SUM(L18:L20)</f>
        <v>6</v>
      </c>
      <c r="M21" s="25">
        <f>SUM(M18:M20)*1.2</f>
        <v>1098000</v>
      </c>
      <c r="O21" s="15">
        <f t="shared" si="1"/>
        <v>-4.8000001907348634E-2</v>
      </c>
    </row>
    <row r="22" spans="1:15" x14ac:dyDescent="0.2">
      <c r="A22" s="13" t="s">
        <v>44</v>
      </c>
      <c r="B22" s="14" t="s">
        <v>45</v>
      </c>
      <c r="C22" s="15">
        <f>'[16]Team Report'!BA44</f>
        <v>78.789999999999992</v>
      </c>
      <c r="E22" s="21">
        <f t="shared" si="0"/>
        <v>105.05333333333331</v>
      </c>
      <c r="F22" s="21">
        <f t="shared" si="2"/>
        <v>126.06399999999996</v>
      </c>
      <c r="L22" s="52"/>
      <c r="M22" s="52"/>
      <c r="O22" s="15">
        <f t="shared" si="1"/>
        <v>21.010666666666662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1600675.1799999925</v>
      </c>
      <c r="E23" s="28">
        <f>SUM(E8:E22)</f>
        <v>2134233.5733333235</v>
      </c>
      <c r="F23" s="28">
        <f>SUM(F8:F22)</f>
        <v>2056926.5439999886</v>
      </c>
      <c r="O23" s="58">
        <f>SUM(O8:O22)</f>
        <v>342821.09066666476</v>
      </c>
    </row>
    <row r="25" spans="1:15" x14ac:dyDescent="0.2">
      <c r="B25" s="27" t="s">
        <v>51</v>
      </c>
      <c r="C25" s="55"/>
      <c r="E25" s="55">
        <v>5</v>
      </c>
      <c r="F25" s="79">
        <v>6</v>
      </c>
      <c r="I25" s="33" t="s">
        <v>57</v>
      </c>
      <c r="J25" s="25"/>
      <c r="M25"/>
      <c r="O25" s="31">
        <f>SUM(U16:U20,U23:U27)</f>
        <v>0</v>
      </c>
    </row>
    <row r="26" spans="1:15" x14ac:dyDescent="0.2">
      <c r="J26" s="25"/>
      <c r="M26"/>
      <c r="O26" s="15"/>
    </row>
    <row r="27" spans="1:15" x14ac:dyDescent="0.2">
      <c r="B27" s="27" t="s">
        <v>69</v>
      </c>
      <c r="C27" s="55"/>
      <c r="E27" s="55"/>
      <c r="F27" s="55"/>
      <c r="I27" s="34" t="s">
        <v>58</v>
      </c>
      <c r="J27" s="35" t="s">
        <v>59</v>
      </c>
      <c r="K27" s="35" t="s">
        <v>60</v>
      </c>
      <c r="L27" s="35" t="s">
        <v>3</v>
      </c>
      <c r="M27" s="35" t="s">
        <v>61</v>
      </c>
      <c r="O27" s="31">
        <f>SUM(U21:U22)</f>
        <v>0</v>
      </c>
    </row>
    <row r="28" spans="1:15" x14ac:dyDescent="0.2">
      <c r="I28" s="36">
        <f>SUM(E12:E22)</f>
        <v>616105.45333332371</v>
      </c>
      <c r="J28" s="56">
        <f>+E29</f>
        <v>5</v>
      </c>
      <c r="K28" s="37">
        <f>+I28/J28</f>
        <v>123221.09066666474</v>
      </c>
      <c r="L28" s="37">
        <f>+L12</f>
        <v>6</v>
      </c>
      <c r="M28" s="37">
        <f>+K28*L28</f>
        <v>739326.54399998835</v>
      </c>
    </row>
    <row r="29" spans="1:15" x14ac:dyDescent="0.2">
      <c r="B29" s="27" t="s">
        <v>56</v>
      </c>
      <c r="C29" s="55"/>
      <c r="E29" s="55">
        <f>SUM(E25:E28)</f>
        <v>5</v>
      </c>
      <c r="F29" s="55">
        <f>SUM(F25:F28)</f>
        <v>6</v>
      </c>
      <c r="K29"/>
      <c r="M29"/>
      <c r="O29" s="31">
        <v>1</v>
      </c>
    </row>
    <row r="30" spans="1:15" x14ac:dyDescent="0.2">
      <c r="B30" s="27"/>
      <c r="K30"/>
      <c r="M30"/>
    </row>
    <row r="31" spans="1:15" hidden="1" x14ac:dyDescent="0.2">
      <c r="A31" s="13" t="s">
        <v>73</v>
      </c>
      <c r="B31" s="14" t="s">
        <v>74</v>
      </c>
      <c r="C31" s="15">
        <f>'[16]Team Report'!BA29</f>
        <v>143473.75</v>
      </c>
      <c r="E31" s="15">
        <f t="shared" ref="E31:E38" si="3">(C31/9)*12</f>
        <v>191298.33333333331</v>
      </c>
      <c r="F31" s="15"/>
    </row>
    <row r="32" spans="1:15" hidden="1" x14ac:dyDescent="0.2">
      <c r="A32" s="13" t="s">
        <v>75</v>
      </c>
      <c r="B32" s="14" t="s">
        <v>76</v>
      </c>
      <c r="C32" s="15">
        <f>'[16]Team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'[16]Team Report'!BA31</f>
        <v>0</v>
      </c>
      <c r="E33" s="15">
        <f t="shared" si="3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'[16]Team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'[16]Team Report'!BA40</f>
        <v>47150.06</v>
      </c>
      <c r="E35" s="15">
        <f t="shared" si="3"/>
        <v>62866.746666666659</v>
      </c>
      <c r="F35" s="15"/>
    </row>
    <row r="36" spans="1:14" hidden="1" x14ac:dyDescent="0.2">
      <c r="A36" s="13" t="s">
        <v>83</v>
      </c>
      <c r="B36" s="14" t="s">
        <v>84</v>
      </c>
      <c r="C36" s="15">
        <f>'[16]Team Report'!BA41</f>
        <v>150417.00999999998</v>
      </c>
      <c r="E36" s="15">
        <f t="shared" si="3"/>
        <v>200556.01333333331</v>
      </c>
      <c r="F36" s="15"/>
    </row>
    <row r="37" spans="1:14" hidden="1" x14ac:dyDescent="0.2">
      <c r="A37" s="13" t="s">
        <v>85</v>
      </c>
      <c r="B37" s="14" t="s">
        <v>86</v>
      </c>
      <c r="C37" s="15">
        <f>'[16]Team Report'!BA43</f>
        <v>7417.54</v>
      </c>
      <c r="E37" s="15">
        <f t="shared" si="3"/>
        <v>9890.0533333333333</v>
      </c>
      <c r="F37" s="15"/>
    </row>
    <row r="38" spans="1:14" hidden="1" x14ac:dyDescent="0.2">
      <c r="A38" s="13" t="s">
        <v>87</v>
      </c>
      <c r="B38" s="14" t="s">
        <v>88</v>
      </c>
      <c r="C38" s="15">
        <f>'[16]Team Report'!BA45</f>
        <v>11194108.379999999</v>
      </c>
      <c r="E38" s="15">
        <f t="shared" si="3"/>
        <v>14925477.839999998</v>
      </c>
      <c r="F38" s="15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</row>
    <row r="40" spans="1:14" hidden="1" x14ac:dyDescent="0.2">
      <c r="B40" s="14" t="s">
        <v>42</v>
      </c>
      <c r="C40" s="15">
        <v>243106037</v>
      </c>
      <c r="E40" s="15"/>
      <c r="F40" s="15"/>
      <c r="N40" s="25"/>
    </row>
    <row r="44" spans="1:14" x14ac:dyDescent="0.2">
      <c r="C44" s="54">
        <f>C23+C31+C32+C33+C34+C35+C36+C37+C38</f>
        <v>13143241.919999991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63" bottom="0.48" header="0.76" footer="0.5"/>
  <pageSetup orientation="portrait" verticalDpi="196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46"/>
  <sheetViews>
    <sheetView zoomScaleNormal="100" workbookViewId="0">
      <selection activeCell="AQ21" sqref="AQ21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9" width="9.14062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42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106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4339200</v>
      </c>
      <c r="F8" s="15">
        <f>+M17+M18+M19+M21+M22+M23+M24+M25+M26+M27</f>
        <v>4224000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93866.666666666672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v>0</v>
      </c>
      <c r="J9" s="7" t="s">
        <v>11</v>
      </c>
      <c r="K9" s="17">
        <v>0</v>
      </c>
      <c r="L9" s="17">
        <f>L28</f>
        <v>45</v>
      </c>
      <c r="M9" s="43">
        <f>+M32</f>
        <v>5207040</v>
      </c>
      <c r="N9" s="8"/>
      <c r="O9" s="7" t="s">
        <v>11</v>
      </c>
      <c r="P9" s="17">
        <v>0</v>
      </c>
      <c r="Q9" s="17">
        <f>Q28</f>
        <v>7</v>
      </c>
      <c r="R9" s="43">
        <f>+R32</f>
        <v>740160</v>
      </c>
      <c r="V9" s="15">
        <f t="shared" ref="V9:V22" si="0">+F9/$F$29*$V$29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F10" s="15">
        <f>M20</f>
        <v>115200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2560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5207040</v>
      </c>
      <c r="F11" s="15">
        <f>(F8+F10)*0.2</f>
        <v>867840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19285.333333333332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5">
        <f>(E12/$E$29*46)+220000</f>
        <v>333157.00478964404</v>
      </c>
      <c r="J12" s="7" t="s">
        <v>16</v>
      </c>
      <c r="K12" s="17">
        <f>(E12+E13+E14+E15+E16+E17+E18+E19+E20+E21+22)/E29</f>
        <v>5823.4699029126214</v>
      </c>
      <c r="L12" s="17">
        <f>L28</f>
        <v>45</v>
      </c>
      <c r="M12" s="43">
        <f>K12*L12+600000+704684</f>
        <v>1566740.1456310679</v>
      </c>
      <c r="N12" s="8"/>
      <c r="O12" s="7" t="s">
        <v>16</v>
      </c>
      <c r="P12" s="17">
        <f>K12</f>
        <v>5823.4699029126214</v>
      </c>
      <c r="Q12" s="17">
        <f>Q28</f>
        <v>7</v>
      </c>
      <c r="R12" s="43">
        <f>P12*Q12+360000-3367</f>
        <v>397397.28932038834</v>
      </c>
      <c r="V12" s="15">
        <f t="shared" si="0"/>
        <v>7403.4889953254233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5">
        <f>(E13/$E$29*43)</f>
        <v>43634.885954692552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969.6641323265012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>
        <v>700000</v>
      </c>
      <c r="J14" s="22" t="s">
        <v>21</v>
      </c>
      <c r="K14" s="47"/>
      <c r="L14" s="47"/>
      <c r="M14" s="48">
        <f>SUM(M9:M12)</f>
        <v>6773780.1456310675</v>
      </c>
      <c r="N14" s="8"/>
      <c r="O14" s="22" t="s">
        <v>21</v>
      </c>
      <c r="P14" s="47"/>
      <c r="Q14" s="47"/>
      <c r="R14" s="48">
        <f>SUM(R9:R12)</f>
        <v>1137557.2893203883</v>
      </c>
      <c r="V14" s="15">
        <f t="shared" si="0"/>
        <v>15555.555555555555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5">
        <f>(E15/$E$29*46)+75000</f>
        <v>116636.1809708738</v>
      </c>
      <c r="J15" s="8"/>
      <c r="K15" s="17"/>
      <c r="L15" s="17"/>
      <c r="M15" s="17"/>
      <c r="N15" s="8"/>
      <c r="V15" s="15">
        <f t="shared" si="0"/>
        <v>2591.9151326860842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5">
        <f>E16/$E$29*46</f>
        <v>0</v>
      </c>
      <c r="I16" s="49">
        <f>M14-F23</f>
        <v>-5823.6541100330651</v>
      </c>
      <c r="J16" s="8"/>
      <c r="K16" s="17"/>
      <c r="L16" s="17"/>
      <c r="M16" s="17">
        <f>N16-F23</f>
        <v>1131733.6352103557</v>
      </c>
      <c r="N16" s="75">
        <f>M14+R14</f>
        <v>7911337.4349514563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5">
        <f>E17/$E$29*46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1</v>
      </c>
      <c r="R17" s="49">
        <f t="shared" ref="R17:R27" si="3">P17*Q17</f>
        <v>36000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5">
        <f>(E18/$E$29*46)+50000</f>
        <v>61337.538122977348</v>
      </c>
      <c r="J18" t="s">
        <v>95</v>
      </c>
      <c r="K18" s="17">
        <f>(40000*1.2)*1.2</f>
        <v>57600</v>
      </c>
      <c r="L18">
        <v>4</v>
      </c>
      <c r="M18" s="17">
        <f t="shared" si="2"/>
        <v>230400</v>
      </c>
      <c r="O18" t="s">
        <v>95</v>
      </c>
      <c r="P18" s="17">
        <f>(40000*1.2)*1.2</f>
        <v>57600</v>
      </c>
      <c r="Q18">
        <v>1</v>
      </c>
      <c r="R18" s="49">
        <f t="shared" si="3"/>
        <v>57600</v>
      </c>
      <c r="V18" s="15">
        <f t="shared" si="0"/>
        <v>1363.0564027328301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5">
        <f>(E19/$E$29*46)+136897</f>
        <v>147271.2772815534</v>
      </c>
      <c r="J19" t="s">
        <v>34</v>
      </c>
      <c r="K19" s="17">
        <v>49200</v>
      </c>
      <c r="L19">
        <v>2</v>
      </c>
      <c r="M19" s="17">
        <f t="shared" si="2"/>
        <v>98400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3272.6950507011866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5">
        <f>E20/$E$29*46</f>
        <v>0</v>
      </c>
      <c r="J20" t="s">
        <v>96</v>
      </c>
      <c r="K20" s="17">
        <v>57600</v>
      </c>
      <c r="L20">
        <v>2</v>
      </c>
      <c r="M20" s="17">
        <f t="shared" si="2"/>
        <v>115200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5">
        <f>(E21/$E$29*46)+125000</f>
        <v>169685.60880258901</v>
      </c>
      <c r="J21" t="s">
        <v>37</v>
      </c>
      <c r="K21" s="17">
        <v>62400</v>
      </c>
      <c r="L21">
        <v>7</v>
      </c>
      <c r="M21" s="17">
        <f t="shared" si="2"/>
        <v>436800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3770.7913067242002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5">
        <f>E22/$E$29*53</f>
        <v>841.3038187702266</v>
      </c>
      <c r="J22" t="s">
        <v>110</v>
      </c>
      <c r="K22" s="17">
        <v>74400</v>
      </c>
      <c r="L22">
        <v>11</v>
      </c>
      <c r="M22" s="17">
        <f t="shared" si="2"/>
        <v>818400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18.695640417116145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10147670.386666665</v>
      </c>
      <c r="F23" s="31">
        <f>SUM(F8:F22)</f>
        <v>6779603.7997411005</v>
      </c>
      <c r="J23" t="s">
        <v>98</v>
      </c>
      <c r="K23" s="17">
        <v>90000</v>
      </c>
      <c r="L23">
        <v>9</v>
      </c>
      <c r="M23" s="17">
        <f t="shared" si="2"/>
        <v>810000</v>
      </c>
      <c r="O23" t="s">
        <v>98</v>
      </c>
      <c r="P23" s="17">
        <v>90000</v>
      </c>
      <c r="Q23">
        <v>2</v>
      </c>
      <c r="R23" s="49">
        <f t="shared" si="3"/>
        <v>180000</v>
      </c>
      <c r="V23" s="58">
        <f>SUM(V8:V22)</f>
        <v>150657.86221646887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SUM(L17:L19,L21:L27)</f>
        <v>43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4</v>
      </c>
      <c r="M26" s="17">
        <f t="shared" si="2"/>
        <v>864000</v>
      </c>
      <c r="O26" t="s">
        <v>101</v>
      </c>
      <c r="P26" s="17">
        <v>216000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2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45</v>
      </c>
      <c r="M28" s="25">
        <f>SUM(M17:M27)</f>
        <v>4339200</v>
      </c>
      <c r="P28" s="25"/>
      <c r="Q28">
        <f>SUM(Q17:Q27)</f>
        <v>7</v>
      </c>
      <c r="R28" s="49">
        <f>SUM(R17:R27)</f>
        <v>616800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45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5207040</v>
      </c>
      <c r="P32" s="25"/>
      <c r="Q32" s="25"/>
      <c r="R32" s="25">
        <f>R28*1.2</f>
        <v>740160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S44"/>
  <sheetViews>
    <sheetView zoomScaleNormal="100" workbookViewId="0">
      <selection activeCell="O23" sqref="O23:O24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13.85546875" customWidth="1"/>
    <col min="7" max="7" width="2.28515625" customWidth="1"/>
    <col min="8" max="8" width="3.140625" customWidth="1"/>
    <col min="9" max="9" width="13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0" hidden="1" customWidth="1"/>
  </cols>
  <sheetData>
    <row r="1" spans="1:45" ht="18" x14ac:dyDescent="0.25">
      <c r="B1" s="125" t="str">
        <f>'[1]Team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70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32" t="s">
        <v>1</v>
      </c>
      <c r="C3" s="132"/>
      <c r="D3" s="132"/>
      <c r="E3" s="132"/>
      <c r="F3" s="132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10">
        <v>37135</v>
      </c>
      <c r="F6" s="44" t="s">
        <v>65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71</v>
      </c>
      <c r="F7" s="12" t="s">
        <v>8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'[1]Team Report'!BA25</f>
        <v>875383.82000000007</v>
      </c>
      <c r="E8" s="15">
        <f>(C8/9)*12</f>
        <v>1167178.4266666668</v>
      </c>
      <c r="F8" s="15">
        <f>M17+M23+M24</f>
        <v>328800</v>
      </c>
      <c r="J8" s="7" t="s">
        <v>11</v>
      </c>
      <c r="K8" s="17">
        <v>0</v>
      </c>
      <c r="L8" s="8"/>
      <c r="M8" s="18">
        <f>M28</f>
        <v>394560</v>
      </c>
      <c r="O8" s="15">
        <f>+F8/$F$29*$O$29</f>
        <v>109600</v>
      </c>
    </row>
    <row r="9" spans="1:45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/>
      <c r="K9" s="8"/>
      <c r="L9" s="8"/>
      <c r="M9" s="9"/>
      <c r="O9" s="15">
        <f t="shared" ref="O9:O22" si="0">+F9/$F$29*$O$29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8"/>
      <c r="L10" s="8"/>
      <c r="M10" s="9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'[1]Team Report'!BA26</f>
        <v>1391356.79</v>
      </c>
      <c r="E11" s="15">
        <f>(C11/9)*12</f>
        <v>1855142.3866666667</v>
      </c>
      <c r="F11" s="21">
        <f>F8*0.2</f>
        <v>65760</v>
      </c>
      <c r="J11" s="7" t="s">
        <v>16</v>
      </c>
      <c r="K11" s="19">
        <f>(E12+E13+E14+E15+E16+E17+E18+E19+E20+E21+E22)/E29</f>
        <v>89201.893000000011</v>
      </c>
      <c r="L11" s="8">
        <f>L28</f>
        <v>3</v>
      </c>
      <c r="M11" s="18">
        <f>K11*L11</f>
        <v>267605.679</v>
      </c>
      <c r="O11" s="15">
        <f t="shared" si="0"/>
        <v>21920</v>
      </c>
    </row>
    <row r="12" spans="1:45" x14ac:dyDescent="0.2">
      <c r="A12" s="13" t="s">
        <v>17</v>
      </c>
      <c r="B12" s="14" t="s">
        <v>18</v>
      </c>
      <c r="C12" s="15">
        <f>'[1]Team Report'!BA27</f>
        <v>346014.38</v>
      </c>
      <c r="E12" s="20">
        <f t="shared" ref="E12:E22" si="1">(C12/9)*12*1.2</f>
        <v>553623.00800000003</v>
      </c>
      <c r="F12" s="21">
        <f t="shared" ref="F12:F22" si="2">E12/$E$25*$L$11</f>
        <v>103804.31400000001</v>
      </c>
      <c r="J12" s="7"/>
      <c r="K12" s="8"/>
      <c r="L12" s="8"/>
      <c r="M12" s="9"/>
      <c r="O12" s="15">
        <f t="shared" si="0"/>
        <v>34601.438000000002</v>
      </c>
    </row>
    <row r="13" spans="1:45" ht="13.5" thickBot="1" x14ac:dyDescent="0.25">
      <c r="A13" s="13" t="s">
        <v>19</v>
      </c>
      <c r="B13" s="14" t="s">
        <v>20</v>
      </c>
      <c r="C13" s="15">
        <f>'[1]Team Report'!BA28</f>
        <v>254648.69</v>
      </c>
      <c r="E13" s="20">
        <f t="shared" si="1"/>
        <v>407437.90399999998</v>
      </c>
      <c r="F13" s="21">
        <f t="shared" si="2"/>
        <v>76394.606999999989</v>
      </c>
      <c r="J13" s="22" t="s">
        <v>21</v>
      </c>
      <c r="K13" s="23"/>
      <c r="L13" s="23"/>
      <c r="M13" s="24">
        <f>M8+M11</f>
        <v>662165.679</v>
      </c>
      <c r="N13">
        <f>551805*1.2</f>
        <v>662166</v>
      </c>
      <c r="O13" s="15">
        <f t="shared" si="0"/>
        <v>25464.868999999995</v>
      </c>
    </row>
    <row r="14" spans="1:45" x14ac:dyDescent="0.2">
      <c r="A14" s="13" t="s">
        <v>22</v>
      </c>
      <c r="B14" s="14" t="s">
        <v>23</v>
      </c>
      <c r="C14" s="15">
        <f>'[1]Team Report'!BA32-C39</f>
        <v>-0.26000000000931323</v>
      </c>
      <c r="E14" s="20">
        <f t="shared" si="1"/>
        <v>-0.41600000001490117</v>
      </c>
      <c r="F14" s="21">
        <f t="shared" si="2"/>
        <v>-7.8000000002793973E-2</v>
      </c>
      <c r="I14" s="54">
        <f>N13-F23</f>
        <v>0.32099999999627471</v>
      </c>
      <c r="K14"/>
      <c r="L14"/>
      <c r="M14"/>
      <c r="O14" s="15">
        <f t="shared" si="0"/>
        <v>-2.6000000000931323E-2</v>
      </c>
    </row>
    <row r="15" spans="1:45" x14ac:dyDescent="0.2">
      <c r="A15" s="13" t="s">
        <v>24</v>
      </c>
      <c r="B15" s="14" t="s">
        <v>25</v>
      </c>
      <c r="C15" s="15">
        <f>'[1]Team Report'!BA33</f>
        <v>18696.41</v>
      </c>
      <c r="E15" s="20">
        <f t="shared" si="1"/>
        <v>29914.256000000001</v>
      </c>
      <c r="F15" s="21">
        <f t="shared" si="2"/>
        <v>5608.9230000000007</v>
      </c>
      <c r="K15" s="25">
        <v>1.2</v>
      </c>
      <c r="L15"/>
      <c r="M15"/>
      <c r="O15" s="15">
        <f t="shared" si="0"/>
        <v>1869.6410000000003</v>
      </c>
    </row>
    <row r="16" spans="1:45" x14ac:dyDescent="0.2">
      <c r="A16" s="13" t="s">
        <v>26</v>
      </c>
      <c r="B16" s="14" t="s">
        <v>27</v>
      </c>
      <c r="C16" s="15">
        <f>'[1]Team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33600</v>
      </c>
      <c r="L16">
        <v>0</v>
      </c>
      <c r="M16" s="25">
        <f t="shared" ref="M16:M27" si="3">K16*L16</f>
        <v>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'[1]Team Report'!BA35</f>
        <v>0</v>
      </c>
      <c r="E17" s="20">
        <f t="shared" si="1"/>
        <v>0</v>
      </c>
      <c r="F17" s="21">
        <f t="shared" si="2"/>
        <v>0</v>
      </c>
      <c r="J17" t="s">
        <v>31</v>
      </c>
      <c r="K17" s="25">
        <v>52800</v>
      </c>
      <c r="L17">
        <v>1</v>
      </c>
      <c r="M17" s="25">
        <f t="shared" si="3"/>
        <v>52800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'[1]Team Report'!BA36</f>
        <v>101842.32</v>
      </c>
      <c r="E18" s="20">
        <f t="shared" si="1"/>
        <v>162947.712</v>
      </c>
      <c r="F18" s="21">
        <f t="shared" si="2"/>
        <v>30552.696</v>
      </c>
      <c r="J18" t="s">
        <v>34</v>
      </c>
      <c r="K18" s="25">
        <v>54000</v>
      </c>
      <c r="L18">
        <v>0</v>
      </c>
      <c r="M18" s="25">
        <f t="shared" si="3"/>
        <v>0</v>
      </c>
      <c r="O18" s="15">
        <f t="shared" si="0"/>
        <v>10184.232</v>
      </c>
    </row>
    <row r="19" spans="1:15" x14ac:dyDescent="0.2">
      <c r="A19" s="13" t="s">
        <v>35</v>
      </c>
      <c r="B19" s="14" t="s">
        <v>36</v>
      </c>
      <c r="C19" s="15">
        <f>'[1]Team Report'!BA37</f>
        <v>8504.1700000000019</v>
      </c>
      <c r="E19" s="20">
        <f t="shared" si="1"/>
        <v>13606.672000000002</v>
      </c>
      <c r="F19" s="21">
        <f t="shared" si="2"/>
        <v>2551.2510000000002</v>
      </c>
      <c r="J19" t="s">
        <v>37</v>
      </c>
      <c r="K19" s="25">
        <v>63000</v>
      </c>
      <c r="L19">
        <v>0</v>
      </c>
      <c r="M19" s="25">
        <f t="shared" si="3"/>
        <v>0</v>
      </c>
      <c r="O19" s="15">
        <f t="shared" si="0"/>
        <v>850.41700000000003</v>
      </c>
    </row>
    <row r="20" spans="1:15" x14ac:dyDescent="0.2">
      <c r="A20" s="13" t="s">
        <v>38</v>
      </c>
      <c r="B20" s="14" t="s">
        <v>39</v>
      </c>
      <c r="C20" s="15">
        <f>'[1]Team Report'!BA38</f>
        <v>299.52</v>
      </c>
      <c r="E20" s="20">
        <f t="shared" si="1"/>
        <v>479.23199999999997</v>
      </c>
      <c r="F20" s="21">
        <f t="shared" si="2"/>
        <v>89.855999999999995</v>
      </c>
      <c r="J20" t="s">
        <v>40</v>
      </c>
      <c r="K20" s="25">
        <v>78000</v>
      </c>
      <c r="L20">
        <v>0</v>
      </c>
      <c r="M20" s="25">
        <f t="shared" si="3"/>
        <v>0</v>
      </c>
      <c r="O20" s="15">
        <f t="shared" si="0"/>
        <v>29.951999999999998</v>
      </c>
    </row>
    <row r="21" spans="1:15" x14ac:dyDescent="0.2">
      <c r="A21" s="13" t="s">
        <v>41</v>
      </c>
      <c r="B21" s="14" t="s">
        <v>42</v>
      </c>
      <c r="C21" s="15">
        <f>'[1]Team Report'!BA42-C40</f>
        <v>-0.40000000002328306</v>
      </c>
      <c r="E21" s="20">
        <f t="shared" si="1"/>
        <v>-0.64000000003725299</v>
      </c>
      <c r="F21" s="21">
        <f t="shared" si="2"/>
        <v>-0.12000000000698494</v>
      </c>
      <c r="J21" t="s">
        <v>43</v>
      </c>
      <c r="K21" s="25">
        <v>66000</v>
      </c>
      <c r="L21">
        <v>0</v>
      </c>
      <c r="M21" s="25">
        <f t="shared" si="3"/>
        <v>0</v>
      </c>
      <c r="O21" s="15">
        <f t="shared" si="0"/>
        <v>-4.0000000002328312E-2</v>
      </c>
    </row>
    <row r="22" spans="1:15" x14ac:dyDescent="0.2">
      <c r="A22" s="13" t="s">
        <v>44</v>
      </c>
      <c r="B22" s="14" t="s">
        <v>45</v>
      </c>
      <c r="C22" s="15">
        <f>'[1]Team Report'!BA44</f>
        <v>162014.10000000003</v>
      </c>
      <c r="E22" s="20">
        <f t="shared" si="1"/>
        <v>259222.56000000006</v>
      </c>
      <c r="F22" s="21">
        <f t="shared" si="2"/>
        <v>48604.23000000001</v>
      </c>
      <c r="J22" t="s">
        <v>46</v>
      </c>
      <c r="K22" s="25">
        <v>97200</v>
      </c>
      <c r="L22">
        <v>0</v>
      </c>
      <c r="M22" s="25">
        <f t="shared" si="3"/>
        <v>0</v>
      </c>
      <c r="O22" s="15">
        <f t="shared" si="0"/>
        <v>16201.410000000003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3158759.54</v>
      </c>
      <c r="E23" s="28">
        <f>SUM(E8:E22)</f>
        <v>4449551.1013333332</v>
      </c>
      <c r="F23" s="28">
        <f>SUM(F8:F22)</f>
        <v>662165.679</v>
      </c>
      <c r="J23" t="s">
        <v>49</v>
      </c>
      <c r="K23" s="25">
        <v>120000</v>
      </c>
      <c r="L23">
        <v>1</v>
      </c>
      <c r="M23" s="25">
        <f t="shared" si="3"/>
        <v>120000</v>
      </c>
      <c r="O23" s="58">
        <f>SUM(O8:O22)</f>
        <v>220721.89299999995</v>
      </c>
    </row>
    <row r="24" spans="1:15" x14ac:dyDescent="0.2">
      <c r="J24" t="s">
        <v>50</v>
      </c>
      <c r="K24" s="25">
        <v>156000</v>
      </c>
      <c r="L24">
        <v>1</v>
      </c>
      <c r="M24" s="25">
        <f t="shared" si="3"/>
        <v>156000</v>
      </c>
    </row>
    <row r="25" spans="1:15" x14ac:dyDescent="0.2">
      <c r="B25" s="27" t="s">
        <v>51</v>
      </c>
      <c r="C25" s="55"/>
      <c r="E25" s="55">
        <v>16</v>
      </c>
      <c r="F25" s="55">
        <v>3</v>
      </c>
      <c r="J25" t="s">
        <v>52</v>
      </c>
      <c r="K25" s="25">
        <v>180000</v>
      </c>
      <c r="L25">
        <v>0</v>
      </c>
      <c r="M25" s="25">
        <f t="shared" si="3"/>
        <v>0</v>
      </c>
      <c r="O25" s="31">
        <f>SUM(U16:U20,U23:U27)</f>
        <v>0</v>
      </c>
    </row>
    <row r="26" spans="1:15" x14ac:dyDescent="0.2">
      <c r="J26" t="s">
        <v>53</v>
      </c>
      <c r="K26" s="25">
        <v>216000</v>
      </c>
      <c r="L26">
        <v>0</v>
      </c>
      <c r="M26" s="25">
        <f t="shared" si="3"/>
        <v>0</v>
      </c>
      <c r="O26" s="15"/>
    </row>
    <row r="27" spans="1:15" x14ac:dyDescent="0.2">
      <c r="B27" s="27" t="s">
        <v>69</v>
      </c>
      <c r="C27" s="55"/>
      <c r="E27" s="55"/>
      <c r="F27" s="55"/>
      <c r="J27" t="s">
        <v>55</v>
      </c>
      <c r="K27" s="25">
        <v>240000</v>
      </c>
      <c r="L27">
        <v>0</v>
      </c>
      <c r="M27" s="25">
        <f t="shared" si="3"/>
        <v>0</v>
      </c>
      <c r="O27" s="31">
        <f>SUM(U21:U22)</f>
        <v>0</v>
      </c>
    </row>
    <row r="28" spans="1:15" x14ac:dyDescent="0.2">
      <c r="K28"/>
      <c r="L28">
        <f>SUM(L16:L27)</f>
        <v>3</v>
      </c>
      <c r="M28" s="25">
        <f>SUM(M16:M27)*1.2</f>
        <v>394560</v>
      </c>
    </row>
    <row r="29" spans="1:15" x14ac:dyDescent="0.2">
      <c r="B29" s="27" t="s">
        <v>56</v>
      </c>
      <c r="C29" s="55"/>
      <c r="E29" s="55">
        <f>SUM(E25:E28)</f>
        <v>16</v>
      </c>
      <c r="F29" s="55">
        <f>SUM(F25:F28)</f>
        <v>3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'[1]Team Report'!BA29</f>
        <v>219222.49</v>
      </c>
      <c r="E31" s="15">
        <f t="shared" ref="E31:E39" si="4">(C31/9)*12</f>
        <v>292296.65333333332</v>
      </c>
      <c r="F31" s="15"/>
      <c r="I31" s="33" t="s">
        <v>57</v>
      </c>
      <c r="J31" s="25"/>
      <c r="M31"/>
    </row>
    <row r="32" spans="1:15" hidden="1" x14ac:dyDescent="0.2">
      <c r="A32" s="13" t="s">
        <v>75</v>
      </c>
      <c r="B32" s="14" t="s">
        <v>76</v>
      </c>
      <c r="C32" s="15">
        <f>'[1]Team Report'!BA30</f>
        <v>0</v>
      </c>
      <c r="E32" s="15">
        <f t="shared" si="4"/>
        <v>0</v>
      </c>
      <c r="F32" s="15"/>
      <c r="J32" s="25"/>
      <c r="M32"/>
    </row>
    <row r="33" spans="1:13" hidden="1" x14ac:dyDescent="0.2">
      <c r="A33" s="13" t="s">
        <v>77</v>
      </c>
      <c r="B33" s="14" t="s">
        <v>78</v>
      </c>
      <c r="C33" s="15">
        <f>'[1]Team Report'!BA31</f>
        <v>0</v>
      </c>
      <c r="E33" s="15">
        <f t="shared" si="4"/>
        <v>0</v>
      </c>
      <c r="F33" s="15"/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1:13" hidden="1" x14ac:dyDescent="0.2">
      <c r="A34" s="13" t="s">
        <v>79</v>
      </c>
      <c r="B34" s="14" t="s">
        <v>80</v>
      </c>
      <c r="C34" s="15">
        <f>'[1]Team Report'!BA39</f>
        <v>0</v>
      </c>
      <c r="E34" s="15">
        <f t="shared" si="4"/>
        <v>0</v>
      </c>
      <c r="F34" s="15"/>
      <c r="I34" s="36">
        <f>SUM(E12:E22)</f>
        <v>1427230.2880000002</v>
      </c>
      <c r="J34" s="56">
        <f>+E29</f>
        <v>16</v>
      </c>
      <c r="K34" s="37">
        <f>+I34/J34</f>
        <v>89201.893000000011</v>
      </c>
      <c r="L34" s="37">
        <v>3</v>
      </c>
      <c r="M34" s="37">
        <f>+K34*L34</f>
        <v>267605.679</v>
      </c>
    </row>
    <row r="35" spans="1:13" hidden="1" x14ac:dyDescent="0.2">
      <c r="A35" s="13" t="s">
        <v>81</v>
      </c>
      <c r="B35" s="14" t="s">
        <v>82</v>
      </c>
      <c r="C35" s="15">
        <f>'[1]Team Report'!BA40</f>
        <v>70087.89999999998</v>
      </c>
      <c r="E35" s="15">
        <f t="shared" si="4"/>
        <v>93450.533333333296</v>
      </c>
      <c r="F35" s="15"/>
    </row>
    <row r="36" spans="1:13" hidden="1" x14ac:dyDescent="0.2">
      <c r="A36" s="13" t="s">
        <v>83</v>
      </c>
      <c r="B36" s="14" t="s">
        <v>84</v>
      </c>
      <c r="C36" s="15">
        <f>'[1]Team Report'!BA41</f>
        <v>13379</v>
      </c>
      <c r="E36" s="15">
        <f t="shared" si="4"/>
        <v>17838.666666666668</v>
      </c>
      <c r="F36" s="15"/>
    </row>
    <row r="37" spans="1:13" hidden="1" x14ac:dyDescent="0.2">
      <c r="A37" s="13" t="s">
        <v>85</v>
      </c>
      <c r="B37" s="14" t="s">
        <v>86</v>
      </c>
      <c r="C37" s="15">
        <f>'[1]Team Report'!BA43</f>
        <v>0</v>
      </c>
      <c r="E37" s="15">
        <f t="shared" si="4"/>
        <v>0</v>
      </c>
      <c r="F37" s="15"/>
    </row>
    <row r="38" spans="1:13" hidden="1" x14ac:dyDescent="0.2">
      <c r="A38" s="13" t="s">
        <v>87</v>
      </c>
      <c r="B38" s="14" t="s">
        <v>88</v>
      </c>
      <c r="C38" s="15">
        <f>'[1]Team Report'!BA45</f>
        <v>0</v>
      </c>
      <c r="E38" s="15">
        <f t="shared" si="4"/>
        <v>0</v>
      </c>
      <c r="F38" s="15"/>
    </row>
    <row r="39" spans="1:13" hidden="1" x14ac:dyDescent="0.2">
      <c r="B39" s="14" t="s">
        <v>23</v>
      </c>
      <c r="C39" s="15">
        <v>338678</v>
      </c>
      <c r="E39" s="15">
        <f t="shared" si="4"/>
        <v>451570.66666666669</v>
      </c>
      <c r="F39" s="15"/>
    </row>
    <row r="40" spans="1:13" hidden="1" x14ac:dyDescent="0.2">
      <c r="B40" s="14" t="s">
        <v>42</v>
      </c>
      <c r="C40" s="15">
        <v>434791</v>
      </c>
      <c r="E40" s="15"/>
      <c r="F40" s="15"/>
    </row>
    <row r="41" spans="1:13" hidden="1" x14ac:dyDescent="0.2"/>
    <row r="42" spans="1:13" hidden="1" x14ac:dyDescent="0.2"/>
    <row r="44" spans="1:13" x14ac:dyDescent="0.2">
      <c r="C44" s="54">
        <f>C23+C31+C32+C33+C34+C35+C36+C37+C38</f>
        <v>3461448.93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X46"/>
  <sheetViews>
    <sheetView zoomScaleNormal="100" workbookViewId="0">
      <selection activeCell="G6" sqref="G1:AX65536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5" customWidth="1"/>
    <col min="7" max="7" width="2.28515625" hidden="1" customWidth="1"/>
    <col min="8" max="8" width="9.140625" hidden="1" customWidth="1"/>
    <col min="9" max="9" width="10.85546875" hidden="1" customWidth="1"/>
    <col min="10" max="10" width="13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4" width="10.28515625" hidden="1" customWidth="1"/>
    <col min="15" max="15" width="12.85546875" hidden="1" customWidth="1"/>
    <col min="16" max="16" width="8.7109375" hidden="1" customWidth="1"/>
    <col min="17" max="17" width="8.85546875" hidden="1" customWidth="1"/>
    <col min="18" max="18" width="10.28515625" hidden="1" customWidth="1"/>
    <col min="19" max="50" width="9.140625" hidden="1" customWidth="1"/>
  </cols>
  <sheetData>
    <row r="1" spans="1:44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108</v>
      </c>
      <c r="C2" s="125"/>
      <c r="D2" s="125"/>
      <c r="E2" s="125"/>
      <c r="F2" s="125"/>
      <c r="G2" s="125"/>
      <c r="H2" s="125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26" t="s">
        <v>1</v>
      </c>
      <c r="C3" s="131"/>
      <c r="D3" s="131"/>
      <c r="E3" s="131"/>
      <c r="F3" s="131"/>
      <c r="G3" s="131"/>
      <c r="H3" s="131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>
      <c r="J4" s="130" t="s">
        <v>107</v>
      </c>
      <c r="K4" s="130"/>
      <c r="L4" s="130"/>
      <c r="M4" s="130"/>
      <c r="O4" s="130" t="s">
        <v>108</v>
      </c>
      <c r="P4" s="130"/>
      <c r="Q4" s="130"/>
      <c r="R4" s="130"/>
    </row>
    <row r="5" spans="1:44" x14ac:dyDescent="0.2">
      <c r="J5" s="4"/>
      <c r="K5" s="40"/>
      <c r="L5" s="40"/>
      <c r="M5" s="41"/>
      <c r="N5" s="8"/>
      <c r="O5" s="4"/>
      <c r="P5" s="40"/>
      <c r="Q5" s="40"/>
      <c r="R5" s="41"/>
    </row>
    <row r="6" spans="1:44" x14ac:dyDescent="0.2">
      <c r="C6" s="10">
        <v>37135</v>
      </c>
      <c r="E6" s="44" t="s">
        <v>63</v>
      </c>
      <c r="F6" s="44" t="s">
        <v>65</v>
      </c>
      <c r="H6" s="10" t="s">
        <v>5</v>
      </c>
      <c r="J6" s="7"/>
      <c r="K6" s="19" t="s">
        <v>2</v>
      </c>
      <c r="L6" s="19" t="s">
        <v>3</v>
      </c>
      <c r="M6" s="74" t="s">
        <v>109</v>
      </c>
      <c r="N6" s="8"/>
      <c r="O6" s="7"/>
      <c r="P6" s="19" t="s">
        <v>2</v>
      </c>
      <c r="Q6" s="19" t="s">
        <v>3</v>
      </c>
      <c r="R6" s="74" t="s">
        <v>109</v>
      </c>
      <c r="V6" s="44" t="s">
        <v>65</v>
      </c>
    </row>
    <row r="7" spans="1:44" x14ac:dyDescent="0.2">
      <c r="C7" s="12" t="s">
        <v>6</v>
      </c>
      <c r="E7" s="12" t="s">
        <v>7</v>
      </c>
      <c r="F7" s="12" t="s">
        <v>8</v>
      </c>
      <c r="H7" s="12" t="s">
        <v>9</v>
      </c>
      <c r="J7" s="7"/>
      <c r="K7" s="17"/>
      <c r="L7" s="17"/>
      <c r="M7" s="43"/>
      <c r="N7" s="8"/>
      <c r="O7" s="7"/>
      <c r="P7" s="17"/>
      <c r="Q7" s="17"/>
      <c r="R7" s="43"/>
      <c r="V7" s="12" t="s">
        <v>8</v>
      </c>
    </row>
    <row r="8" spans="1:44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M28</f>
        <v>4252800</v>
      </c>
      <c r="F8" s="109">
        <f>R17+R18+R19+R23+R24+R25</f>
        <v>548400</v>
      </c>
      <c r="J8" s="7"/>
      <c r="K8" s="17"/>
      <c r="L8" s="17"/>
      <c r="M8" s="43"/>
      <c r="N8" s="8"/>
      <c r="O8" s="7"/>
      <c r="P8" s="17"/>
      <c r="Q8" s="17"/>
      <c r="R8" s="43"/>
      <c r="V8" s="15">
        <f>+F8/$F$29*$V$29</f>
        <v>91400</v>
      </c>
    </row>
    <row r="9" spans="1:44" hidden="1" x14ac:dyDescent="0.2">
      <c r="A9" s="13"/>
      <c r="B9" s="14" t="s">
        <v>12</v>
      </c>
      <c r="C9" s="15">
        <v>0</v>
      </c>
      <c r="E9" s="15">
        <f>(C9/9)*12</f>
        <v>0</v>
      </c>
      <c r="F9" s="109">
        <v>0</v>
      </c>
      <c r="J9" s="7" t="s">
        <v>11</v>
      </c>
      <c r="K9" s="17">
        <v>0</v>
      </c>
      <c r="L9" s="17">
        <f>L28</f>
        <v>46</v>
      </c>
      <c r="M9" s="43">
        <f>+M32</f>
        <v>5103360</v>
      </c>
      <c r="N9" s="8"/>
      <c r="O9" s="7" t="s">
        <v>11</v>
      </c>
      <c r="P9" s="17">
        <v>0</v>
      </c>
      <c r="Q9" s="17">
        <f>Q28</f>
        <v>6</v>
      </c>
      <c r="R9" s="43">
        <f>+R32</f>
        <v>658080</v>
      </c>
      <c r="V9" s="15">
        <f t="shared" ref="V9:V22" si="0">+F9/$F$29*$V$29</f>
        <v>0</v>
      </c>
    </row>
    <row r="10" spans="1:44" hidden="1" x14ac:dyDescent="0.2">
      <c r="A10" s="13"/>
      <c r="B10" s="14" t="s">
        <v>72</v>
      </c>
      <c r="C10" s="15">
        <v>0</v>
      </c>
      <c r="E10" s="15">
        <f>(C10/9)*12</f>
        <v>0</v>
      </c>
      <c r="F10" s="109">
        <v>0</v>
      </c>
      <c r="J10" s="7"/>
      <c r="K10" s="17"/>
      <c r="L10" s="17"/>
      <c r="M10" s="43"/>
      <c r="N10" s="8"/>
      <c r="O10" s="7"/>
      <c r="P10" s="17"/>
      <c r="Q10" s="17"/>
      <c r="R10" s="43"/>
      <c r="V10" s="15">
        <f t="shared" si="0"/>
        <v>0</v>
      </c>
    </row>
    <row r="11" spans="1:44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M32</f>
        <v>5103360</v>
      </c>
      <c r="F11" s="109">
        <f>(F8+F10)*0.2</f>
        <v>109680</v>
      </c>
      <c r="H11">
        <v>1.2</v>
      </c>
      <c r="J11" s="7"/>
      <c r="K11" s="17"/>
      <c r="L11" s="17"/>
      <c r="M11" s="43"/>
      <c r="N11" s="8"/>
      <c r="O11" s="7"/>
      <c r="P11" s="17"/>
      <c r="Q11" s="17"/>
      <c r="R11" s="43"/>
      <c r="V11" s="15">
        <f t="shared" si="0"/>
        <v>18280</v>
      </c>
    </row>
    <row r="12" spans="1:44" x14ac:dyDescent="0.2">
      <c r="A12" s="13" t="s">
        <v>17</v>
      </c>
      <c r="B12" s="14" t="s">
        <v>18</v>
      </c>
      <c r="C12" s="15">
        <f>'[5]Team Report'!BA27</f>
        <v>190029.97</v>
      </c>
      <c r="E12" s="15">
        <f t="shared" ref="E12:E22" si="1">(C12/9)*12</f>
        <v>253373.29333333333</v>
      </c>
      <c r="F12" s="109">
        <f>(E12/$E$29*7)+7477+46</f>
        <v>24742.544207119739</v>
      </c>
      <c r="J12" s="7" t="s">
        <v>16</v>
      </c>
      <c r="K12" s="17">
        <f>(E12+E13+E14+E15+E16+E17+E18+E19+E20+E21+22)/E29</f>
        <v>5823.4699029126214</v>
      </c>
      <c r="L12" s="17">
        <f>L28</f>
        <v>46</v>
      </c>
      <c r="M12" s="43">
        <f>K12*L12+600000+704684</f>
        <v>1572563.6155339805</v>
      </c>
      <c r="N12" s="8"/>
      <c r="O12" s="7" t="s">
        <v>16</v>
      </c>
      <c r="P12" s="17">
        <f>K12</f>
        <v>5823.4699029126214</v>
      </c>
      <c r="Q12" s="17">
        <f>Q28</f>
        <v>6</v>
      </c>
      <c r="R12" s="43">
        <f>P12*Q12+360000-3367</f>
        <v>391573.81941747572</v>
      </c>
      <c r="V12" s="15">
        <f t="shared" si="0"/>
        <v>4123.7573678532899</v>
      </c>
    </row>
    <row r="13" spans="1:44" x14ac:dyDescent="0.2">
      <c r="A13" s="13" t="s">
        <v>19</v>
      </c>
      <c r="B13" s="14" t="s">
        <v>20</v>
      </c>
      <c r="C13" s="15">
        <f>'[5]Team Report'!BA28</f>
        <v>78390.58</v>
      </c>
      <c r="E13" s="15">
        <f t="shared" si="1"/>
        <v>104520.77333333333</v>
      </c>
      <c r="F13" s="109">
        <f>(E13/$E$29*7)+6000</f>
        <v>13103.35352750809</v>
      </c>
      <c r="J13" s="7"/>
      <c r="K13" s="17"/>
      <c r="L13" s="17"/>
      <c r="M13" s="43"/>
      <c r="N13" s="8"/>
      <c r="O13" s="7"/>
      <c r="P13" s="17"/>
      <c r="Q13" s="17"/>
      <c r="R13" s="43"/>
      <c r="V13" s="15">
        <f t="shared" si="0"/>
        <v>2183.8922545846817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09">
        <v>330000</v>
      </c>
      <c r="J14" s="22" t="s">
        <v>21</v>
      </c>
      <c r="K14" s="47"/>
      <c r="L14" s="47"/>
      <c r="M14" s="48">
        <f>SUM(M9:M12)</f>
        <v>6675923.6155339805</v>
      </c>
      <c r="N14" s="8"/>
      <c r="O14" s="22" t="s">
        <v>21</v>
      </c>
      <c r="P14" s="47"/>
      <c r="Q14" s="47"/>
      <c r="R14" s="48">
        <f>SUM(R9:R12)</f>
        <v>1049653.8194174757</v>
      </c>
      <c r="V14" s="15">
        <f t="shared" si="0"/>
        <v>55000</v>
      </c>
    </row>
    <row r="15" spans="1:44" x14ac:dyDescent="0.2">
      <c r="A15" s="13" t="s">
        <v>24</v>
      </c>
      <c r="B15" s="14" t="s">
        <v>25</v>
      </c>
      <c r="C15" s="15">
        <f>'[5]Team Report'!BA33</f>
        <v>69921.63</v>
      </c>
      <c r="E15" s="15">
        <f t="shared" si="1"/>
        <v>93228.840000000011</v>
      </c>
      <c r="F15" s="109">
        <f>(E15/$E$29*7)+2000</f>
        <v>8335.940582524272</v>
      </c>
      <c r="J15" s="8"/>
      <c r="K15" s="17"/>
      <c r="L15" s="17"/>
      <c r="M15" s="17"/>
      <c r="N15" s="8"/>
      <c r="V15" s="15">
        <f t="shared" si="0"/>
        <v>1389.3234304207119</v>
      </c>
    </row>
    <row r="16" spans="1:44" x14ac:dyDescent="0.2">
      <c r="A16" s="13" t="s">
        <v>26</v>
      </c>
      <c r="B16" s="14" t="s">
        <v>27</v>
      </c>
      <c r="C16" s="15">
        <f>'[5]Team Report'!BA34</f>
        <v>0</v>
      </c>
      <c r="E16" s="15">
        <f t="shared" si="1"/>
        <v>0</v>
      </c>
      <c r="F16" s="109">
        <f>E16/$E$29*7</f>
        <v>0</v>
      </c>
      <c r="I16" s="49"/>
      <c r="J16" s="8"/>
      <c r="K16" s="17"/>
      <c r="L16" s="17"/>
      <c r="M16" s="17">
        <f>N16-F23</f>
        <v>6670100.5251779929</v>
      </c>
      <c r="N16" s="75">
        <f>M14+R14</f>
        <v>7725577.4349514563</v>
      </c>
      <c r="V16" s="15">
        <f t="shared" si="0"/>
        <v>0</v>
      </c>
    </row>
    <row r="17" spans="1:22" x14ac:dyDescent="0.2">
      <c r="A17" s="13" t="s">
        <v>29</v>
      </c>
      <c r="B17" s="14" t="s">
        <v>30</v>
      </c>
      <c r="C17" s="15">
        <f>'[5]Team Report'!BA35</f>
        <v>0</v>
      </c>
      <c r="E17" s="15">
        <f t="shared" si="1"/>
        <v>0</v>
      </c>
      <c r="F17" s="109">
        <f>E17/$E$29*7</f>
        <v>0</v>
      </c>
      <c r="J17" s="8" t="s">
        <v>28</v>
      </c>
      <c r="K17" s="17">
        <f>(30000*1.2)</f>
        <v>36000</v>
      </c>
      <c r="L17">
        <v>0</v>
      </c>
      <c r="M17" s="17">
        <f t="shared" ref="M17:M27" si="2">K17*L17</f>
        <v>0</v>
      </c>
      <c r="O17" s="8" t="s">
        <v>28</v>
      </c>
      <c r="P17" s="17">
        <f>(30000*1.2)</f>
        <v>36000</v>
      </c>
      <c r="Q17" s="8">
        <v>0</v>
      </c>
      <c r="R17" s="49">
        <f t="shared" ref="R17:R27" si="3">P17*Q17</f>
        <v>0</v>
      </c>
      <c r="V17" s="15">
        <f t="shared" si="0"/>
        <v>0</v>
      </c>
    </row>
    <row r="18" spans="1:22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 t="shared" si="1"/>
        <v>25386.226666666669</v>
      </c>
      <c r="F18" s="109">
        <f>(E18/$E$29*7)+2000</f>
        <v>3725.2775404530748</v>
      </c>
      <c r="J18" t="s">
        <v>95</v>
      </c>
      <c r="K18" s="17">
        <f>(40000*1.2)*1.2</f>
        <v>57600</v>
      </c>
      <c r="L18">
        <v>3</v>
      </c>
      <c r="M18" s="17">
        <f t="shared" si="2"/>
        <v>172800</v>
      </c>
      <c r="O18" t="s">
        <v>95</v>
      </c>
      <c r="P18" s="17">
        <f>(40000*1.2)*1.2</f>
        <v>57600</v>
      </c>
      <c r="Q18">
        <v>2</v>
      </c>
      <c r="R18" s="49">
        <f t="shared" si="3"/>
        <v>115200</v>
      </c>
      <c r="V18" s="15">
        <f t="shared" si="0"/>
        <v>620.87959007551251</v>
      </c>
    </row>
    <row r="19" spans="1:22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 t="shared" si="1"/>
        <v>23229.359999999997</v>
      </c>
      <c r="F19" s="109">
        <f>(E19/$E$29*7)+7000</f>
        <v>8578.6943689320397</v>
      </c>
      <c r="J19" t="s">
        <v>34</v>
      </c>
      <c r="K19" s="17">
        <v>49200</v>
      </c>
      <c r="L19">
        <v>1</v>
      </c>
      <c r="M19" s="17">
        <f t="shared" si="2"/>
        <v>49200</v>
      </c>
      <c r="O19" t="s">
        <v>34</v>
      </c>
      <c r="P19" s="17">
        <v>49200</v>
      </c>
      <c r="Q19">
        <v>1</v>
      </c>
      <c r="R19" s="49">
        <f t="shared" si="3"/>
        <v>49200</v>
      </c>
      <c r="V19" s="15">
        <f t="shared" si="0"/>
        <v>1429.7823948220066</v>
      </c>
    </row>
    <row r="20" spans="1:22" x14ac:dyDescent="0.2">
      <c r="A20" s="13" t="s">
        <v>38</v>
      </c>
      <c r="B20" s="14" t="s">
        <v>39</v>
      </c>
      <c r="C20" s="15">
        <f>'[5]Team Report'!BA38</f>
        <v>0</v>
      </c>
      <c r="E20" s="15">
        <f t="shared" si="1"/>
        <v>0</v>
      </c>
      <c r="F20" s="109">
        <f>E20/$E$29*46</f>
        <v>0</v>
      </c>
      <c r="J20" t="s">
        <v>96</v>
      </c>
      <c r="K20" s="17">
        <v>57600</v>
      </c>
      <c r="L20">
        <v>3</v>
      </c>
      <c r="M20" s="17">
        <f t="shared" si="2"/>
        <v>172800</v>
      </c>
      <c r="O20" t="s">
        <v>96</v>
      </c>
      <c r="P20" s="17">
        <v>57600</v>
      </c>
      <c r="Q20">
        <v>0</v>
      </c>
      <c r="R20" s="49">
        <f t="shared" si="3"/>
        <v>0</v>
      </c>
      <c r="V20" s="15">
        <f t="shared" si="0"/>
        <v>0</v>
      </c>
    </row>
    <row r="21" spans="1:22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 t="shared" si="1"/>
        <v>100056.90666666668</v>
      </c>
      <c r="F21" s="109">
        <f>(E21/$E$29*7)+2000</f>
        <v>8799.9839482200659</v>
      </c>
      <c r="J21" t="s">
        <v>37</v>
      </c>
      <c r="K21" s="17">
        <v>62400</v>
      </c>
      <c r="L21">
        <v>12</v>
      </c>
      <c r="M21" s="17">
        <f t="shared" si="2"/>
        <v>748800</v>
      </c>
      <c r="O21" t="s">
        <v>37</v>
      </c>
      <c r="P21" s="17">
        <v>62400</v>
      </c>
      <c r="Q21">
        <v>0</v>
      </c>
      <c r="R21" s="49">
        <f t="shared" si="3"/>
        <v>0</v>
      </c>
      <c r="V21" s="15">
        <f t="shared" si="0"/>
        <v>1466.663991370011</v>
      </c>
    </row>
    <row r="22" spans="1:22" x14ac:dyDescent="0.2">
      <c r="A22" s="13" t="s">
        <v>44</v>
      </c>
      <c r="B22" s="14" t="s">
        <v>45</v>
      </c>
      <c r="C22" s="15">
        <f>'[5]Team Report'!BA44</f>
        <v>1226.24</v>
      </c>
      <c r="E22" s="15">
        <f t="shared" si="1"/>
        <v>1634.9866666666667</v>
      </c>
      <c r="F22" s="109">
        <f>E22/$E$29*7</f>
        <v>111.11559870550163</v>
      </c>
      <c r="J22" t="s">
        <v>110</v>
      </c>
      <c r="K22" s="17">
        <v>74400</v>
      </c>
      <c r="L22">
        <v>8</v>
      </c>
      <c r="M22" s="17">
        <f t="shared" si="2"/>
        <v>595200</v>
      </c>
      <c r="O22" t="s">
        <v>110</v>
      </c>
      <c r="P22" s="17">
        <v>74400</v>
      </c>
      <c r="Q22">
        <v>0</v>
      </c>
      <c r="R22" s="49">
        <f t="shared" si="3"/>
        <v>0</v>
      </c>
      <c r="V22" s="15">
        <f t="shared" si="0"/>
        <v>18.519266450916938</v>
      </c>
    </row>
    <row r="23" spans="1:22" ht="13.5" thickBot="1" x14ac:dyDescent="0.25">
      <c r="A23" s="26" t="s">
        <v>47</v>
      </c>
      <c r="B23" s="27" t="s">
        <v>48</v>
      </c>
      <c r="C23" s="28">
        <f>SUM(C8:C22)</f>
        <v>6646856.1299999999</v>
      </c>
      <c r="E23" s="31">
        <f>SUM(E8:E22)</f>
        <v>9957590.3866666649</v>
      </c>
      <c r="F23" s="31">
        <f>SUM(F8:F22)</f>
        <v>1055476.9097734629</v>
      </c>
      <c r="J23" t="s">
        <v>98</v>
      </c>
      <c r="K23" s="17">
        <v>90000</v>
      </c>
      <c r="L23">
        <v>10</v>
      </c>
      <c r="M23" s="17">
        <f t="shared" si="2"/>
        <v>900000</v>
      </c>
      <c r="O23" t="s">
        <v>98</v>
      </c>
      <c r="P23" s="17">
        <v>90000</v>
      </c>
      <c r="Q23">
        <v>1</v>
      </c>
      <c r="R23" s="49">
        <f t="shared" si="3"/>
        <v>90000</v>
      </c>
      <c r="V23" s="58">
        <f>SUM(V8:V22)</f>
        <v>175912.81829557716</v>
      </c>
    </row>
    <row r="24" spans="1:22" x14ac:dyDescent="0.2">
      <c r="J24" t="s">
        <v>99</v>
      </c>
      <c r="K24" s="17">
        <v>120000</v>
      </c>
      <c r="L24">
        <v>4</v>
      </c>
      <c r="M24" s="17">
        <f t="shared" si="2"/>
        <v>480000</v>
      </c>
      <c r="O24" t="s">
        <v>99</v>
      </c>
      <c r="P24" s="17">
        <v>120000</v>
      </c>
      <c r="Q24">
        <v>1</v>
      </c>
      <c r="R24" s="49">
        <f t="shared" si="3"/>
        <v>120000</v>
      </c>
    </row>
    <row r="25" spans="1:22" x14ac:dyDescent="0.2">
      <c r="B25" s="27" t="s">
        <v>51</v>
      </c>
      <c r="C25" s="55"/>
      <c r="E25" s="55">
        <v>99</v>
      </c>
      <c r="F25" s="55">
        <f>+Q28</f>
        <v>6</v>
      </c>
      <c r="J25" t="s">
        <v>100</v>
      </c>
      <c r="K25" s="17">
        <v>174000</v>
      </c>
      <c r="L25">
        <v>1</v>
      </c>
      <c r="M25" s="17">
        <f t="shared" si="2"/>
        <v>174000</v>
      </c>
      <c r="O25" t="s">
        <v>100</v>
      </c>
      <c r="P25" s="17">
        <v>174000</v>
      </c>
      <c r="Q25">
        <v>1</v>
      </c>
      <c r="R25" s="49">
        <f t="shared" si="3"/>
        <v>174000</v>
      </c>
      <c r="V25" s="31">
        <f>SUM(AB16:AB20,AB23:AB27)</f>
        <v>0</v>
      </c>
    </row>
    <row r="26" spans="1:22" x14ac:dyDescent="0.2">
      <c r="J26" t="s">
        <v>101</v>
      </c>
      <c r="K26" s="17">
        <v>216000</v>
      </c>
      <c r="L26">
        <v>3</v>
      </c>
      <c r="M26" s="17">
        <f t="shared" si="2"/>
        <v>648000</v>
      </c>
      <c r="O26" t="s">
        <v>101</v>
      </c>
      <c r="P26" s="17">
        <v>216000</v>
      </c>
      <c r="Q26">
        <v>0</v>
      </c>
      <c r="R26" s="49">
        <f t="shared" si="3"/>
        <v>0</v>
      </c>
      <c r="V26" s="15"/>
    </row>
    <row r="27" spans="1:22" x14ac:dyDescent="0.2">
      <c r="B27" s="27" t="s">
        <v>69</v>
      </c>
      <c r="C27" s="55"/>
      <c r="E27" s="55">
        <v>4</v>
      </c>
      <c r="F27" s="55">
        <v>0</v>
      </c>
      <c r="J27" t="s">
        <v>102</v>
      </c>
      <c r="K27" s="17">
        <v>312000</v>
      </c>
      <c r="L27">
        <v>1</v>
      </c>
      <c r="M27" s="17">
        <f t="shared" si="2"/>
        <v>312000</v>
      </c>
      <c r="O27" t="s">
        <v>102</v>
      </c>
      <c r="P27" s="17">
        <v>312000</v>
      </c>
      <c r="Q27">
        <v>0</v>
      </c>
      <c r="R27" s="49">
        <f t="shared" si="3"/>
        <v>0</v>
      </c>
      <c r="V27" s="31">
        <f>SUM(AB21:AB22)</f>
        <v>0</v>
      </c>
    </row>
    <row r="28" spans="1:22" x14ac:dyDescent="0.2">
      <c r="L28" s="25">
        <f>SUM(L17:L27)</f>
        <v>46</v>
      </c>
      <c r="M28" s="25">
        <f>SUM(M17:M27)</f>
        <v>4252800</v>
      </c>
      <c r="P28" s="25"/>
      <c r="Q28">
        <f>SUM(Q17:Q27)</f>
        <v>6</v>
      </c>
      <c r="R28" s="49">
        <f>SUM(R17:R27)</f>
        <v>548400</v>
      </c>
    </row>
    <row r="29" spans="1:22" x14ac:dyDescent="0.2">
      <c r="B29" s="27" t="s">
        <v>56</v>
      </c>
      <c r="C29" s="55"/>
      <c r="E29" s="55">
        <f>SUM(E25:E28)</f>
        <v>103</v>
      </c>
      <c r="F29" s="55">
        <f>SUM(F25:F27)</f>
        <v>6</v>
      </c>
      <c r="P29" s="25"/>
      <c r="Q29" s="25"/>
      <c r="V29" s="31">
        <v>1</v>
      </c>
    </row>
    <row r="30" spans="1:22" x14ac:dyDescent="0.2">
      <c r="B30" s="27"/>
      <c r="J30" t="s">
        <v>104</v>
      </c>
      <c r="L30" s="52"/>
      <c r="M30" s="52">
        <v>0.2</v>
      </c>
      <c r="O30" t="s">
        <v>104</v>
      </c>
      <c r="P30" s="25"/>
      <c r="Q30" s="52"/>
      <c r="R30" s="52">
        <v>0.2</v>
      </c>
    </row>
    <row r="31" spans="1:22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4">(C31/9)*12</f>
        <v>0</v>
      </c>
      <c r="F31" s="15"/>
      <c r="P31" s="25"/>
      <c r="Q31" s="25"/>
    </row>
    <row r="32" spans="1:22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4"/>
        <v>0</v>
      </c>
      <c r="F32" s="15"/>
      <c r="M32" s="25">
        <f>M28*1.2</f>
        <v>5103360</v>
      </c>
      <c r="P32" s="25"/>
      <c r="Q32" s="25"/>
      <c r="R32" s="25">
        <f>R28*1.2</f>
        <v>658080</v>
      </c>
    </row>
    <row r="33" spans="1:17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4"/>
        <v>0</v>
      </c>
      <c r="F33" s="15"/>
      <c r="P33" s="25"/>
      <c r="Q33" s="25"/>
    </row>
    <row r="34" spans="1:17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4"/>
        <v>0</v>
      </c>
      <c r="F34" s="15"/>
      <c r="J34" s="33" t="s">
        <v>57</v>
      </c>
      <c r="N34" s="25"/>
    </row>
    <row r="35" spans="1:17" ht="13.5" hidden="1" thickBot="1" x14ac:dyDescent="0.25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4"/>
        <v>32893.85333333334</v>
      </c>
      <c r="F35" s="15"/>
      <c r="J35" s="130" t="s">
        <v>107</v>
      </c>
      <c r="K35" s="130"/>
      <c r="L35" s="130"/>
      <c r="M35" s="130"/>
      <c r="N35" s="25"/>
    </row>
    <row r="36" spans="1:17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4"/>
        <v>641393.90666666673</v>
      </c>
      <c r="F36" s="15"/>
      <c r="J36" s="34" t="s">
        <v>58</v>
      </c>
      <c r="L36" s="35" t="s">
        <v>59</v>
      </c>
      <c r="M36" s="35" t="s">
        <v>60</v>
      </c>
      <c r="N36" s="35" t="s">
        <v>3</v>
      </c>
      <c r="O36" s="35" t="s">
        <v>61</v>
      </c>
    </row>
    <row r="37" spans="1:17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4"/>
        <v>-1029221.1733333333</v>
      </c>
      <c r="F37" s="15"/>
      <c r="J37" s="36">
        <f>SUM(E12:E21)</f>
        <v>599795.4</v>
      </c>
      <c r="L37" s="56">
        <f>E29</f>
        <v>103</v>
      </c>
      <c r="M37" s="37">
        <f>+J37/L37</f>
        <v>5823.2563106796115</v>
      </c>
      <c r="N37" s="56">
        <v>46</v>
      </c>
      <c r="O37" s="37">
        <f>+M37*N37+500000+571398</f>
        <v>1339267.7902912621</v>
      </c>
      <c r="P37" t="s">
        <v>111</v>
      </c>
    </row>
    <row r="38" spans="1:17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4"/>
        <v>0</v>
      </c>
      <c r="F38" s="15"/>
      <c r="P38" t="s">
        <v>112</v>
      </c>
    </row>
    <row r="39" spans="1:17" x14ac:dyDescent="0.2">
      <c r="A39" s="13"/>
      <c r="B39" s="14"/>
      <c r="C39" s="15"/>
      <c r="E39" s="15"/>
      <c r="F39" s="15"/>
      <c r="P39" t="s">
        <v>113</v>
      </c>
    </row>
    <row r="40" spans="1:17" x14ac:dyDescent="0.2">
      <c r="A40" s="13"/>
      <c r="B40" s="14"/>
      <c r="C40" s="15"/>
      <c r="E40" s="15"/>
      <c r="F40" s="15"/>
      <c r="P40" t="s">
        <v>114</v>
      </c>
    </row>
    <row r="41" spans="1:17" ht="13.5" thickBot="1" x14ac:dyDescent="0.25">
      <c r="A41" s="13"/>
      <c r="B41" s="14"/>
      <c r="C41" s="15"/>
      <c r="E41" s="15"/>
      <c r="F41" s="15"/>
      <c r="J41" s="130" t="s">
        <v>108</v>
      </c>
      <c r="K41" s="130"/>
      <c r="L41" s="130"/>
      <c r="M41" s="130"/>
      <c r="N41" s="25"/>
      <c r="P41" t="s">
        <v>115</v>
      </c>
    </row>
    <row r="42" spans="1:17" x14ac:dyDescent="0.2">
      <c r="J42" s="34" t="s">
        <v>58</v>
      </c>
      <c r="L42" s="35" t="s">
        <v>59</v>
      </c>
      <c r="M42" s="35" t="s">
        <v>60</v>
      </c>
      <c r="N42" s="35" t="s">
        <v>3</v>
      </c>
      <c r="O42" s="35" t="s">
        <v>61</v>
      </c>
    </row>
    <row r="43" spans="1:17" x14ac:dyDescent="0.2">
      <c r="J43" s="36">
        <f>SUM(E12:E21)</f>
        <v>599795.4</v>
      </c>
      <c r="L43" s="56">
        <v>103</v>
      </c>
      <c r="M43" s="37">
        <f>+J43/L43</f>
        <v>5823.2563106796115</v>
      </c>
      <c r="N43" s="56">
        <v>7</v>
      </c>
      <c r="O43" s="37">
        <f>+M43*N43+300000</f>
        <v>340762.79417475726</v>
      </c>
      <c r="P43" t="s">
        <v>116</v>
      </c>
    </row>
    <row r="44" spans="1:17" x14ac:dyDescent="0.2">
      <c r="P44" t="s">
        <v>117</v>
      </c>
    </row>
    <row r="46" spans="1:17" x14ac:dyDescent="0.2">
      <c r="C46" s="54">
        <f>C23+C31+C32+C33+C34+C35+C36+C37+C38</f>
        <v>6380656.0699999994</v>
      </c>
    </row>
  </sheetData>
  <mergeCells count="7">
    <mergeCell ref="J41:M41"/>
    <mergeCell ref="O4:R4"/>
    <mergeCell ref="J4:M4"/>
    <mergeCell ref="B1:H1"/>
    <mergeCell ref="B2:H2"/>
    <mergeCell ref="B3:H3"/>
    <mergeCell ref="J35:M35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O40"/>
  <sheetViews>
    <sheetView topLeftCell="A13" zoomScaleNormal="100" workbookViewId="0">
      <selection activeCell="U13" sqref="U13"/>
    </sheetView>
  </sheetViews>
  <sheetFormatPr defaultRowHeight="12.75" x14ac:dyDescent="0.2"/>
  <cols>
    <col min="2" max="2" width="28.7109375" customWidth="1"/>
    <col min="3" max="3" width="19.140625" hidden="1" customWidth="1"/>
    <col min="4" max="4" width="2.5703125" hidden="1" customWidth="1"/>
    <col min="5" max="5" width="13.85546875" hidden="1" customWidth="1"/>
    <col min="6" max="6" width="3.85546875" customWidth="1"/>
    <col min="7" max="7" width="12" customWidth="1"/>
    <col min="8" max="8" width="12.7109375" hidden="1" customWidth="1"/>
    <col min="9" max="9" width="1.7109375" hidden="1" customWidth="1"/>
    <col min="10" max="10" width="15.28515625" hidden="1" customWidth="1"/>
    <col min="11" max="11" width="10.42578125" hidden="1" customWidth="1"/>
    <col min="12" max="12" width="9" hidden="1" customWidth="1"/>
    <col min="13" max="13" width="11.85546875" hidden="1" customWidth="1"/>
    <col min="14" max="20" width="0" hidden="1" customWidth="1"/>
  </cols>
  <sheetData>
    <row r="1" spans="1:15" ht="18" x14ac:dyDescent="0.25">
      <c r="B1" s="125" t="str">
        <f>'[11]Team Report'!B1</f>
        <v>Enron North America</v>
      </c>
      <c r="C1" s="125"/>
      <c r="D1" s="127"/>
      <c r="E1" s="127"/>
      <c r="F1" s="127"/>
      <c r="G1" s="127"/>
      <c r="H1" s="1"/>
      <c r="I1" s="1"/>
      <c r="J1" s="1"/>
      <c r="K1" s="1"/>
      <c r="L1" s="1"/>
      <c r="M1" s="1"/>
    </row>
    <row r="2" spans="1:15" ht="18" x14ac:dyDescent="0.25">
      <c r="B2" s="125" t="s">
        <v>134</v>
      </c>
      <c r="C2" s="125"/>
      <c r="D2" s="127"/>
      <c r="E2" s="127"/>
      <c r="F2" s="127"/>
      <c r="G2" s="127"/>
      <c r="H2" s="1"/>
      <c r="I2" s="1"/>
      <c r="J2" s="1"/>
      <c r="K2" s="1"/>
      <c r="L2" s="1"/>
      <c r="M2" s="1"/>
    </row>
    <row r="3" spans="1:15" ht="18" x14ac:dyDescent="0.25">
      <c r="B3" s="125" t="s">
        <v>1</v>
      </c>
      <c r="C3" s="125"/>
      <c r="D3" s="127"/>
      <c r="E3" s="127"/>
      <c r="F3" s="127"/>
      <c r="G3" s="127"/>
      <c r="H3" s="3"/>
      <c r="I3" s="3"/>
      <c r="J3" s="3"/>
      <c r="K3" s="3"/>
      <c r="L3" s="3"/>
      <c r="M3" s="3"/>
    </row>
    <row r="4" spans="1:15" ht="13.5" thickBot="1" x14ac:dyDescent="0.25"/>
    <row r="5" spans="1:15" x14ac:dyDescent="0.2">
      <c r="J5" s="4"/>
      <c r="K5" s="40"/>
      <c r="L5" s="40"/>
      <c r="M5" s="41"/>
    </row>
    <row r="6" spans="1:1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15" x14ac:dyDescent="0.2">
      <c r="C7" s="12" t="s">
        <v>6</v>
      </c>
      <c r="E7" s="12" t="s">
        <v>7</v>
      </c>
      <c r="F7" s="12"/>
      <c r="G7" s="12" t="s">
        <v>8</v>
      </c>
      <c r="H7" s="33"/>
      <c r="J7" s="7"/>
      <c r="K7" s="17"/>
      <c r="L7" s="17"/>
      <c r="M7" s="43"/>
      <c r="O7" s="12" t="s">
        <v>8</v>
      </c>
    </row>
    <row r="8" spans="1:15" x14ac:dyDescent="0.2">
      <c r="A8" s="13" t="s">
        <v>10</v>
      </c>
      <c r="B8" s="14" t="s">
        <v>11</v>
      </c>
      <c r="C8" s="15">
        <f>'[11]Team Report'!BA25</f>
        <v>17469588.960000001</v>
      </c>
      <c r="E8" s="15">
        <f t="shared" ref="E8:E22" si="0">+C8/9*12</f>
        <v>23292785.280000001</v>
      </c>
      <c r="F8" s="15"/>
      <c r="G8" s="15">
        <f>SUM(M17:M28)</f>
        <v>1776000</v>
      </c>
      <c r="J8" s="7"/>
      <c r="K8" s="17"/>
      <c r="L8" s="17"/>
      <c r="M8" s="43"/>
      <c r="O8" s="15">
        <f>+G8/$G$29*$O$29</f>
        <v>148000</v>
      </c>
    </row>
    <row r="9" spans="1:1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+L29</f>
        <v>12</v>
      </c>
      <c r="M9" s="43">
        <f>M35</f>
        <v>2131200</v>
      </c>
      <c r="O9" s="15">
        <f t="shared" ref="O9:O21" si="1">+G9/$G$29*$O$29</f>
        <v>0</v>
      </c>
    </row>
    <row r="10" spans="1:15" x14ac:dyDescent="0.2">
      <c r="B10" s="14" t="s">
        <v>13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15" x14ac:dyDescent="0.2">
      <c r="A11" s="13" t="s">
        <v>14</v>
      </c>
      <c r="B11" s="14" t="s">
        <v>15</v>
      </c>
      <c r="C11" s="15">
        <f>'[11]Team Report'!BA26</f>
        <v>1272399.6399999999</v>
      </c>
      <c r="E11" s="15">
        <f t="shared" si="0"/>
        <v>1696532.8533333333</v>
      </c>
      <c r="F11" s="15"/>
      <c r="G11" s="15">
        <f>+G8*0.2</f>
        <v>355200</v>
      </c>
      <c r="J11" s="7"/>
      <c r="K11" s="17"/>
      <c r="L11" s="17"/>
      <c r="M11" s="43"/>
      <c r="O11" s="15">
        <f t="shared" si="1"/>
        <v>29600</v>
      </c>
    </row>
    <row r="12" spans="1:15" x14ac:dyDescent="0.2">
      <c r="A12" s="13" t="s">
        <v>17</v>
      </c>
      <c r="B12" s="14" t="s">
        <v>18</v>
      </c>
      <c r="C12" s="15">
        <f>'[11]Team Report'!BA27</f>
        <v>141777.57</v>
      </c>
      <c r="E12" s="15">
        <f t="shared" si="0"/>
        <v>189036.76</v>
      </c>
      <c r="F12" s="15"/>
      <c r="G12" s="15">
        <f>+$M$12*0.25</f>
        <v>66582</v>
      </c>
      <c r="J12" s="7" t="s">
        <v>16</v>
      </c>
      <c r="K12" s="17">
        <f>18495*1.2</f>
        <v>22194</v>
      </c>
      <c r="L12" s="17">
        <v>12</v>
      </c>
      <c r="M12" s="43">
        <f>K12*L12</f>
        <v>266328</v>
      </c>
      <c r="O12" s="15">
        <f t="shared" si="1"/>
        <v>5548.5</v>
      </c>
    </row>
    <row r="13" spans="1:15" x14ac:dyDescent="0.2">
      <c r="A13" s="13" t="s">
        <v>19</v>
      </c>
      <c r="B13" s="14" t="s">
        <v>20</v>
      </c>
      <c r="C13" s="15">
        <f>'[11]Team Report'!BA28</f>
        <v>100051.51000000001</v>
      </c>
      <c r="E13" s="15">
        <f t="shared" si="0"/>
        <v>133402.01333333334</v>
      </c>
      <c r="F13" s="15"/>
      <c r="G13" s="15">
        <f>+$M$12*0.13</f>
        <v>34622.639999999999</v>
      </c>
      <c r="J13" s="7"/>
      <c r="K13" s="17"/>
      <c r="L13" s="17"/>
      <c r="M13" s="43"/>
      <c r="O13" s="15">
        <f t="shared" si="1"/>
        <v>2885.22</v>
      </c>
    </row>
    <row r="14" spans="1:15" ht="13.5" thickBot="1" x14ac:dyDescent="0.25">
      <c r="A14" s="13" t="s">
        <v>22</v>
      </c>
      <c r="B14" s="14" t="s">
        <v>23</v>
      </c>
      <c r="C14" s="15">
        <f>'[11]Team Report'!BA32</f>
        <v>13823042.719999999</v>
      </c>
      <c r="E14" s="15">
        <f t="shared" si="0"/>
        <v>18430723.626666665</v>
      </c>
      <c r="F14" s="15"/>
      <c r="G14" s="15">
        <f>+$M$12*0.2</f>
        <v>53265.600000000006</v>
      </c>
      <c r="J14" s="22" t="s">
        <v>21</v>
      </c>
      <c r="K14" s="47"/>
      <c r="L14" s="47"/>
      <c r="M14" s="48">
        <f>SUM(M9:M12)</f>
        <v>2397528</v>
      </c>
      <c r="O14" s="15">
        <f t="shared" si="1"/>
        <v>4438.8</v>
      </c>
    </row>
    <row r="15" spans="1:15" x14ac:dyDescent="0.2">
      <c r="A15" s="13" t="s">
        <v>24</v>
      </c>
      <c r="B15" s="14" t="s">
        <v>25</v>
      </c>
      <c r="C15" s="15">
        <f>'[11]Team Report'!BA33</f>
        <v>7559.4299999999994</v>
      </c>
      <c r="E15" s="15">
        <f t="shared" si="0"/>
        <v>10079.24</v>
      </c>
      <c r="F15" s="15"/>
      <c r="G15" s="15">
        <f>+$M$12*0.08</f>
        <v>21306.240000000002</v>
      </c>
      <c r="J15" s="8"/>
      <c r="K15" s="17"/>
      <c r="L15" s="17"/>
      <c r="M15" s="17"/>
      <c r="O15" s="15">
        <f t="shared" si="1"/>
        <v>1775.5200000000002</v>
      </c>
    </row>
    <row r="16" spans="1:15" x14ac:dyDescent="0.2">
      <c r="A16" s="13" t="s">
        <v>26</v>
      </c>
      <c r="B16" s="14" t="s">
        <v>27</v>
      </c>
      <c r="C16" s="15">
        <f>'[11]Team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'[11]Team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'[11]Team Report'!BA36</f>
        <v>91694.450000000012</v>
      </c>
      <c r="E18" s="15">
        <f t="shared" si="0"/>
        <v>122259.26666666669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'[11]Team Report'!BA37</f>
        <v>-7331217.4600000009</v>
      </c>
      <c r="E19" s="15">
        <f t="shared" si="0"/>
        <v>-9774956.6133333351</v>
      </c>
      <c r="F19" s="15"/>
      <c r="G19" s="15">
        <f>+$M$12*0.19</f>
        <v>50602.32</v>
      </c>
      <c r="J19" t="s">
        <v>34</v>
      </c>
      <c r="K19" s="25">
        <v>60000</v>
      </c>
      <c r="L19" s="25">
        <v>0</v>
      </c>
      <c r="M19" s="17">
        <f t="shared" si="2"/>
        <v>0</v>
      </c>
      <c r="O19" s="15">
        <f t="shared" si="1"/>
        <v>4216.8599999999997</v>
      </c>
    </row>
    <row r="20" spans="1:15" x14ac:dyDescent="0.2">
      <c r="A20" s="13" t="s">
        <v>38</v>
      </c>
      <c r="B20" s="14" t="s">
        <v>39</v>
      </c>
      <c r="C20" s="15">
        <f>'[11]Team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</v>
      </c>
      <c r="M20" s="17">
        <f t="shared" si="2"/>
        <v>156000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'[11]Team Report'!BA42</f>
        <v>24774212.690000001</v>
      </c>
      <c r="E21" s="15">
        <f t="shared" si="0"/>
        <v>33032283.58666667</v>
      </c>
      <c r="F21" s="15"/>
      <c r="G21" s="15">
        <f>+$M$12*0.15</f>
        <v>39949.199999999997</v>
      </c>
      <c r="J21" t="s">
        <v>40</v>
      </c>
      <c r="K21" s="25">
        <v>102000</v>
      </c>
      <c r="L21" s="25">
        <v>2</v>
      </c>
      <c r="M21" s="17">
        <f t="shared" si="2"/>
        <v>204000</v>
      </c>
      <c r="O21" s="15">
        <f t="shared" si="1"/>
        <v>3329.1</v>
      </c>
    </row>
    <row r="22" spans="1:15" x14ac:dyDescent="0.2">
      <c r="A22" s="13" t="s">
        <v>44</v>
      </c>
      <c r="B22" s="14" t="s">
        <v>45</v>
      </c>
      <c r="C22" s="15">
        <f>'[11]Team Report'!BA44</f>
        <v>16.600000000000001</v>
      </c>
      <c r="E22" s="15">
        <f t="shared" si="0"/>
        <v>22.133333333333333</v>
      </c>
      <c r="F22" s="15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50349126.110000007</v>
      </c>
      <c r="E23" s="28">
        <f>SUM(E8:E22)</f>
        <v>67132168.146666676</v>
      </c>
      <c r="F23" s="29"/>
      <c r="G23" s="28">
        <f>SUM(G8:G22)</f>
        <v>2397528.0000000005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199793.99999999997</v>
      </c>
    </row>
    <row r="24" spans="1:15" x14ac:dyDescent="0.2">
      <c r="J24" t="s">
        <v>49</v>
      </c>
      <c r="K24" s="25">
        <v>144000</v>
      </c>
      <c r="L24" s="25">
        <v>3</v>
      </c>
      <c r="M24" s="17">
        <f t="shared" si="2"/>
        <v>432000</v>
      </c>
    </row>
    <row r="25" spans="1:15" x14ac:dyDescent="0.2">
      <c r="B25" s="27" t="s">
        <v>51</v>
      </c>
      <c r="C25" s="15"/>
      <c r="E25" s="31">
        <v>111</v>
      </c>
      <c r="F25" s="32"/>
      <c r="G25" s="31">
        <v>12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O25" s="31">
        <f>SUM(U16:U20,U23:U27)</f>
        <v>0</v>
      </c>
    </row>
    <row r="26" spans="1:15" x14ac:dyDescent="0.2">
      <c r="C26" s="15"/>
      <c r="E26" s="15"/>
      <c r="F26" s="15"/>
      <c r="G26" s="15"/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103</v>
      </c>
      <c r="C27" s="15"/>
      <c r="E27" s="31">
        <v>0</v>
      </c>
      <c r="F27" s="32"/>
      <c r="G27" s="31">
        <v>0</v>
      </c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111</v>
      </c>
      <c r="F29" s="32"/>
      <c r="G29" s="31">
        <f>+G27+G25</f>
        <v>12</v>
      </c>
      <c r="H29" s="25"/>
      <c r="K29" s="25"/>
      <c r="L29" s="25">
        <f>SUM(L17:L28)</f>
        <v>12</v>
      </c>
      <c r="M29" s="25">
        <f>SUM(M17:M28)</f>
        <v>1776000</v>
      </c>
      <c r="O29" s="31">
        <v>1</v>
      </c>
    </row>
    <row r="30" spans="1:15" x14ac:dyDescent="0.2">
      <c r="K30" s="25"/>
      <c r="L30" s="25"/>
      <c r="M30" s="25"/>
    </row>
    <row r="31" spans="1:15" hidden="1" x14ac:dyDescent="0.2">
      <c r="A31" s="13" t="s">
        <v>73</v>
      </c>
      <c r="B31" s="14" t="s">
        <v>74</v>
      </c>
      <c r="C31" s="15">
        <f>'[11]Team Report'!BA29</f>
        <v>0</v>
      </c>
      <c r="E31" s="15">
        <f>(C31/9)*12</f>
        <v>0</v>
      </c>
      <c r="F31" s="15"/>
      <c r="J31" t="s">
        <v>104</v>
      </c>
      <c r="K31" s="25"/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'[11]Team Report'!BA30</f>
        <v>0</v>
      </c>
      <c r="E32" s="15">
        <f>(C32/9)*12</f>
        <v>0</v>
      </c>
      <c r="F32" s="15"/>
      <c r="K32" s="25"/>
      <c r="L32" s="25"/>
      <c r="M32" s="25"/>
    </row>
    <row r="33" spans="1:13" hidden="1" x14ac:dyDescent="0.2">
      <c r="A33" s="13" t="s">
        <v>77</v>
      </c>
      <c r="B33" s="14" t="s">
        <v>78</v>
      </c>
      <c r="C33" s="15">
        <f>'[11]Team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'[11]Team Report'!BA39</f>
        <v>-7489842.25</v>
      </c>
      <c r="E34" s="15">
        <v>0</v>
      </c>
      <c r="F34" s="15"/>
      <c r="K34" s="25"/>
      <c r="L34" s="25"/>
      <c r="M34" s="25"/>
    </row>
    <row r="35" spans="1:13" hidden="1" x14ac:dyDescent="0.2">
      <c r="A35" s="13" t="s">
        <v>81</v>
      </c>
      <c r="B35" s="14" t="s">
        <v>82</v>
      </c>
      <c r="C35" s="15">
        <f>'[11]Team Report'!BA40</f>
        <v>2999489.79</v>
      </c>
      <c r="E35" s="15">
        <v>0</v>
      </c>
      <c r="F35" s="15"/>
      <c r="K35" s="25"/>
      <c r="L35" s="25">
        <f>+L29+L33</f>
        <v>12</v>
      </c>
      <c r="M35" s="25">
        <f>M29*1.2+M33</f>
        <v>2131200</v>
      </c>
    </row>
    <row r="36" spans="1:13" hidden="1" x14ac:dyDescent="0.2">
      <c r="A36" s="13" t="s">
        <v>83</v>
      </c>
      <c r="B36" s="14" t="s">
        <v>84</v>
      </c>
      <c r="C36" s="15">
        <f>'[11]Team Report'!BA41</f>
        <v>205055.58999999997</v>
      </c>
      <c r="E36" s="15">
        <v>0</v>
      </c>
      <c r="F36" s="15"/>
      <c r="K36" s="25"/>
      <c r="L36" s="25"/>
      <c r="M36" s="25"/>
    </row>
    <row r="37" spans="1:13" hidden="1" x14ac:dyDescent="0.2">
      <c r="A37" s="13" t="s">
        <v>85</v>
      </c>
      <c r="B37" s="14" t="s">
        <v>86</v>
      </c>
      <c r="C37" s="15">
        <f>'[11]Team Report'!BA43</f>
        <v>42687168.700000003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'[11]Team Report'!BA45</f>
        <v>8186094.0700000003</v>
      </c>
      <c r="E38" s="15">
        <v>0</v>
      </c>
      <c r="F38" s="15"/>
    </row>
    <row r="39" spans="1:13" x14ac:dyDescent="0.2">
      <c r="I39" t="s">
        <v>136</v>
      </c>
    </row>
    <row r="40" spans="1:13" x14ac:dyDescent="0.2">
      <c r="C40" s="54">
        <f>C23+C31+C32+C33+C34+C35+C36+C37+C38</f>
        <v>96937092.01000002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71" bottom="0.48" header="1.01" footer="0.5"/>
  <pageSetup orientation="portrait" verticalDpi="196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S42"/>
  <sheetViews>
    <sheetView zoomScaleNormal="100" workbookViewId="0">
      <selection activeCell="F12" sqref="F12"/>
    </sheetView>
  </sheetViews>
  <sheetFormatPr defaultRowHeight="12.75" x14ac:dyDescent="0.2"/>
  <cols>
    <col min="2" max="2" width="23.42578125" customWidth="1"/>
    <col min="3" max="3" width="1.85546875" hidden="1" customWidth="1"/>
    <col min="4" max="4" width="2.5703125" customWidth="1"/>
    <col min="5" max="5" width="13.85546875" hidden="1" customWidth="1"/>
    <col min="6" max="6" width="15.140625" customWidth="1"/>
    <col min="7" max="7" width="4.5703125" hidden="1" customWidth="1"/>
    <col min="8" max="8" width="4" hidden="1" customWidth="1"/>
    <col min="9" max="9" width="14.140625" hidden="1" customWidth="1"/>
    <col min="10" max="10" width="14.28515625" hidden="1" customWidth="1"/>
    <col min="11" max="11" width="10.42578125" hidden="1" customWidth="1"/>
    <col min="12" max="12" width="11.28515625" style="25" hidden="1" customWidth="1"/>
    <col min="13" max="13" width="1.42578125" hidden="1" customWidth="1"/>
    <col min="14" max="14" width="10.28515625" hidden="1" customWidth="1"/>
    <col min="15" max="15" width="2.5703125" hidden="1" customWidth="1"/>
    <col min="16" max="16" width="13.85546875" hidden="1" customWidth="1"/>
    <col min="17" max="30" width="9.140625" hidden="1" customWidth="1"/>
  </cols>
  <sheetData>
    <row r="1" spans="1:45" ht="18" x14ac:dyDescent="0.25">
      <c r="B1" s="125" t="str">
        <f>'[4]Team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'[4]Pull Sheet'!E9</f>
        <v>Tax</v>
      </c>
      <c r="C2" s="125"/>
      <c r="D2" s="125"/>
      <c r="E2" s="125"/>
      <c r="F2" s="125"/>
      <c r="G2" s="1"/>
      <c r="H2" s="1"/>
      <c r="I2" s="1"/>
      <c r="J2" s="1"/>
      <c r="K2" s="1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31" t="s">
        <v>1</v>
      </c>
      <c r="C3" s="131"/>
      <c r="D3" s="131"/>
      <c r="E3" s="131"/>
      <c r="F3" s="131"/>
      <c r="G3" s="3"/>
      <c r="H3" s="3"/>
      <c r="I3" s="3"/>
      <c r="J3" s="3"/>
      <c r="K3" s="3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62"/>
      <c r="K4" s="63"/>
      <c r="L4" s="64"/>
      <c r="M4" s="63"/>
      <c r="N4" s="63"/>
      <c r="O4" s="63"/>
      <c r="P4" s="65"/>
    </row>
    <row r="5" spans="1:45" x14ac:dyDescent="0.2">
      <c r="J5" s="66"/>
      <c r="K5" s="8"/>
      <c r="L5" s="17"/>
      <c r="M5" s="8"/>
      <c r="N5" s="8"/>
      <c r="O5" s="8"/>
      <c r="P5" s="67"/>
    </row>
    <row r="6" spans="1:45" x14ac:dyDescent="0.2">
      <c r="C6" s="10">
        <v>37135</v>
      </c>
      <c r="E6" s="44" t="s">
        <v>63</v>
      </c>
      <c r="F6" s="44" t="s">
        <v>65</v>
      </c>
      <c r="J6" s="66"/>
      <c r="K6" s="8"/>
      <c r="L6" s="17" t="s">
        <v>2</v>
      </c>
      <c r="M6" s="8"/>
      <c r="N6" s="8" t="s">
        <v>3</v>
      </c>
      <c r="O6" s="8"/>
      <c r="P6" s="67" t="s">
        <v>94</v>
      </c>
      <c r="Q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33"/>
      <c r="J7" s="68"/>
      <c r="K7" s="17"/>
      <c r="L7" s="17"/>
      <c r="M7" s="17"/>
      <c r="N7" s="17"/>
      <c r="O7" s="17"/>
      <c r="P7" s="69"/>
      <c r="Q7" s="12" t="s">
        <v>8</v>
      </c>
    </row>
    <row r="8" spans="1:45" x14ac:dyDescent="0.2">
      <c r="A8" s="13" t="s">
        <v>10</v>
      </c>
      <c r="B8" s="14" t="s">
        <v>11</v>
      </c>
      <c r="C8" s="15">
        <f>'[4]Team Report'!BA25</f>
        <v>1971599.0200000003</v>
      </c>
      <c r="E8" s="21">
        <f>((C8/9)*12)*1.2</f>
        <v>3154558.4320000005</v>
      </c>
      <c r="F8" s="21">
        <f>L23+L24</f>
        <v>690000</v>
      </c>
      <c r="J8" s="66" t="s">
        <v>11</v>
      </c>
      <c r="K8" s="17"/>
      <c r="L8" s="17">
        <v>0</v>
      </c>
      <c r="M8" s="17"/>
      <c r="N8" s="17">
        <v>4</v>
      </c>
      <c r="O8" s="17"/>
      <c r="P8" s="69">
        <f>L31</f>
        <v>828000</v>
      </c>
      <c r="Q8" s="21">
        <f>+F8/$F$29*$Q$29</f>
        <v>172500</v>
      </c>
    </row>
    <row r="9" spans="1:45" hidden="1" x14ac:dyDescent="0.2">
      <c r="A9" s="13"/>
      <c r="B9" s="14" t="s">
        <v>12</v>
      </c>
      <c r="C9" s="15">
        <v>0</v>
      </c>
      <c r="E9" s="21">
        <f>((C9/9)*12)*1.2</f>
        <v>0</v>
      </c>
      <c r="F9" s="21"/>
      <c r="J9" s="66"/>
      <c r="K9" s="17"/>
      <c r="L9" s="17"/>
      <c r="M9" s="17"/>
      <c r="N9" s="17"/>
      <c r="O9" s="17"/>
      <c r="P9" s="69"/>
      <c r="Q9" s="21">
        <f t="shared" ref="Q9:Q22" si="0">+F9/$F$29*$Q$29</f>
        <v>0</v>
      </c>
    </row>
    <row r="10" spans="1:45" hidden="1" x14ac:dyDescent="0.2">
      <c r="B10" s="14" t="s">
        <v>13</v>
      </c>
      <c r="C10" s="15">
        <v>0</v>
      </c>
      <c r="E10" s="21">
        <f>((C10/9)*12)*1.2</f>
        <v>0</v>
      </c>
      <c r="F10" s="21"/>
      <c r="J10" s="66" t="s">
        <v>16</v>
      </c>
      <c r="K10" s="17"/>
      <c r="L10" s="17">
        <f>+(E12+E13+E14+E15+E16+E17+E18+E19+E20+E21+E22)/E29</f>
        <v>16010.891654320989</v>
      </c>
      <c r="M10" s="17"/>
      <c r="N10" s="17">
        <v>4</v>
      </c>
      <c r="O10" s="17"/>
      <c r="P10" s="69">
        <f>L10*N10+67934+22</f>
        <v>131999.56661728397</v>
      </c>
      <c r="Q10" s="21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'[4]Team Report'!BA26</f>
        <v>441478.66999999993</v>
      </c>
      <c r="E11" s="21">
        <f>((C11/9)*12)*1.2</f>
        <v>706365.87199999986</v>
      </c>
      <c r="F11" s="21">
        <f>F8*0.2</f>
        <v>138000</v>
      </c>
      <c r="J11" s="66"/>
      <c r="K11" s="17"/>
      <c r="L11" s="17"/>
      <c r="M11" s="17"/>
      <c r="N11" s="17"/>
      <c r="O11" s="17"/>
      <c r="P11" s="69"/>
      <c r="Q11" s="21">
        <f t="shared" si="0"/>
        <v>34500</v>
      </c>
    </row>
    <row r="12" spans="1:45" x14ac:dyDescent="0.2">
      <c r="A12" s="13" t="s">
        <v>17</v>
      </c>
      <c r="B12" s="14" t="s">
        <v>18</v>
      </c>
      <c r="C12" s="15">
        <f>'[4]Team Report'!BA27</f>
        <v>93416.53</v>
      </c>
      <c r="E12" s="21">
        <f>((C12/9)*12)*1.6</f>
        <v>199288.59733333334</v>
      </c>
      <c r="F12" s="21">
        <f>(E12/$E$25*$N$8)+20000</f>
        <v>49524.236641975309</v>
      </c>
      <c r="J12" s="66"/>
      <c r="K12" s="17"/>
      <c r="L12" s="17"/>
      <c r="M12" s="17"/>
      <c r="N12" s="17"/>
      <c r="O12" s="17"/>
      <c r="P12" s="69">
        <f>SUM(P8:P10)</f>
        <v>959999.56661728397</v>
      </c>
      <c r="Q12" s="21">
        <f t="shared" si="0"/>
        <v>12381.059160493827</v>
      </c>
    </row>
    <row r="13" spans="1:45" x14ac:dyDescent="0.2">
      <c r="A13" s="13" t="s">
        <v>19</v>
      </c>
      <c r="B13" s="14" t="s">
        <v>20</v>
      </c>
      <c r="C13" s="15">
        <f>'[4]Team Report'!BA28</f>
        <v>59005.25</v>
      </c>
      <c r="E13" s="21">
        <f>((C13/9)*12)*1.4</f>
        <v>110143.13333333332</v>
      </c>
      <c r="F13" s="21">
        <f>(E13/$E$25*$N$8)+10000</f>
        <v>26317.501234567899</v>
      </c>
      <c r="J13" s="70"/>
      <c r="K13" s="71"/>
      <c r="L13" s="71"/>
      <c r="M13" s="71"/>
      <c r="N13" s="71"/>
      <c r="O13" s="71"/>
      <c r="P13" s="72"/>
      <c r="Q13" s="21">
        <f t="shared" si="0"/>
        <v>6579.3753086419747</v>
      </c>
    </row>
    <row r="14" spans="1:45" x14ac:dyDescent="0.2">
      <c r="A14" s="13" t="s">
        <v>22</v>
      </c>
      <c r="B14" s="14" t="s">
        <v>23</v>
      </c>
      <c r="C14" s="15">
        <f>'[4]Team Report'!BA32-C39</f>
        <v>0.47000000003026798</v>
      </c>
      <c r="E14" s="21">
        <f>((C14/9)*12)*1.2</f>
        <v>0.75200000004842871</v>
      </c>
      <c r="F14" s="21">
        <f>E14/$E$25*$N$8</f>
        <v>0.11140740741458204</v>
      </c>
      <c r="I14" s="49">
        <f>P12-F23</f>
        <v>0</v>
      </c>
      <c r="Q14" s="21">
        <f t="shared" si="0"/>
        <v>2.7851851853645509E-2</v>
      </c>
    </row>
    <row r="15" spans="1:45" x14ac:dyDescent="0.2">
      <c r="A15" s="13" t="s">
        <v>24</v>
      </c>
      <c r="B15" s="14" t="s">
        <v>25</v>
      </c>
      <c r="C15" s="15">
        <f>'[4]Team Report'!BA33</f>
        <v>23102.660000000003</v>
      </c>
      <c r="E15" s="21">
        <f>((C15/9)*12)*1.6</f>
        <v>49285.674666666673</v>
      </c>
      <c r="F15" s="21">
        <f>(E15/$E$25*$N$8)+12000</f>
        <v>19301.581432098767</v>
      </c>
      <c r="Q15" s="21">
        <f t="shared" si="0"/>
        <v>4825.3953580246916</v>
      </c>
    </row>
    <row r="16" spans="1:45" x14ac:dyDescent="0.2">
      <c r="A16" s="13" t="s">
        <v>26</v>
      </c>
      <c r="B16" s="14" t="s">
        <v>27</v>
      </c>
      <c r="C16" s="15">
        <f>'[4]Team Report'!BA34</f>
        <v>0</v>
      </c>
      <c r="E16" s="21">
        <f>((C16/9)*12)*1.2</f>
        <v>0</v>
      </c>
      <c r="F16" s="21">
        <f>E16/$E$25*$N$8</f>
        <v>0</v>
      </c>
      <c r="J16" s="8" t="s">
        <v>28</v>
      </c>
      <c r="K16" s="17">
        <v>30000</v>
      </c>
      <c r="L16" s="17">
        <f t="shared" ref="L16:L26" si="1">I16*K16</f>
        <v>0</v>
      </c>
      <c r="Q16" s="21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'[4]Team Report'!BA35</f>
        <v>0</v>
      </c>
      <c r="E17" s="21">
        <f>((C17/9)*12)*1.2</f>
        <v>0</v>
      </c>
      <c r="F17" s="21">
        <f>E17/$E$25*$N$8</f>
        <v>0</v>
      </c>
      <c r="J17" t="s">
        <v>95</v>
      </c>
      <c r="K17" s="25">
        <v>40000</v>
      </c>
      <c r="L17" s="17">
        <f t="shared" si="1"/>
        <v>0</v>
      </c>
      <c r="Q17" s="21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'[4]Team Report'!BA36</f>
        <v>0</v>
      </c>
      <c r="E18" s="21">
        <f>((C18/9)*12)*1.2</f>
        <v>0</v>
      </c>
      <c r="F18" s="21">
        <f>E18/$E$25*$N$8</f>
        <v>0</v>
      </c>
      <c r="J18" t="s">
        <v>34</v>
      </c>
      <c r="K18" s="25">
        <v>41000</v>
      </c>
      <c r="L18" s="17">
        <f t="shared" si="1"/>
        <v>0</v>
      </c>
      <c r="Q18" s="21">
        <f t="shared" si="0"/>
        <v>0</v>
      </c>
    </row>
    <row r="19" spans="1:17" x14ac:dyDescent="0.2">
      <c r="A19" s="13" t="s">
        <v>35</v>
      </c>
      <c r="B19" s="14" t="s">
        <v>36</v>
      </c>
      <c r="C19" s="15">
        <f>'[4]Team Report'!BA37</f>
        <v>13879.95</v>
      </c>
      <c r="E19" s="21">
        <f>((C19/9)*12)*1.6</f>
        <v>29610.559999999998</v>
      </c>
      <c r="F19" s="21">
        <f>(E19/$E$25*$N$8)+15000</f>
        <v>19386.74962962963</v>
      </c>
      <c r="J19" t="s">
        <v>96</v>
      </c>
      <c r="K19" s="25">
        <v>48000</v>
      </c>
      <c r="L19" s="17">
        <f t="shared" si="1"/>
        <v>0</v>
      </c>
      <c r="Q19" s="21">
        <f t="shared" si="0"/>
        <v>4846.6874074074076</v>
      </c>
    </row>
    <row r="20" spans="1:17" x14ac:dyDescent="0.2">
      <c r="A20" s="13" t="s">
        <v>38</v>
      </c>
      <c r="B20" s="14" t="s">
        <v>39</v>
      </c>
      <c r="C20" s="15">
        <f>'[4]Team Report'!BA38</f>
        <v>0</v>
      </c>
      <c r="E20" s="21">
        <f>((C20/9)*12)*1.2</f>
        <v>0</v>
      </c>
      <c r="F20" s="21">
        <f>E20/$E$25*$N$8</f>
        <v>0</v>
      </c>
      <c r="J20" t="s">
        <v>37</v>
      </c>
      <c r="K20" s="25">
        <v>52000</v>
      </c>
      <c r="L20" s="17">
        <f t="shared" si="1"/>
        <v>0</v>
      </c>
      <c r="Q20" s="21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'[4]Team Report'!BA42</f>
        <v>23120.5</v>
      </c>
      <c r="E21" s="21">
        <f>((C21/9)*12)*1.4</f>
        <v>43158.266666666663</v>
      </c>
      <c r="F21" s="21">
        <f>(E21/$E$25*$N$8)+10956</f>
        <v>17349.817283950615</v>
      </c>
      <c r="J21" t="s">
        <v>97</v>
      </c>
      <c r="K21" s="25">
        <v>62000</v>
      </c>
      <c r="L21" s="17">
        <f t="shared" si="1"/>
        <v>0</v>
      </c>
      <c r="Q21" s="21">
        <f t="shared" si="0"/>
        <v>4337.4543209876538</v>
      </c>
    </row>
    <row r="22" spans="1:17" x14ac:dyDescent="0.2">
      <c r="A22" s="13" t="s">
        <v>44</v>
      </c>
      <c r="B22" s="14" t="s">
        <v>45</v>
      </c>
      <c r="C22" s="15">
        <f>'[4]Team Report'!BA44</f>
        <v>432.37</v>
      </c>
      <c r="E22" s="21">
        <f>((C22/9)*12)*1.4</f>
        <v>807.09066666666661</v>
      </c>
      <c r="F22" s="21">
        <f>E22/$E$25*$N$8</f>
        <v>119.56898765432098</v>
      </c>
      <c r="J22" t="s">
        <v>98</v>
      </c>
      <c r="K22" s="25">
        <v>75000</v>
      </c>
      <c r="L22" s="17">
        <f t="shared" si="1"/>
        <v>0</v>
      </c>
      <c r="Q22" s="21">
        <f t="shared" si="0"/>
        <v>29.892246913580244</v>
      </c>
    </row>
    <row r="23" spans="1:17" x14ac:dyDescent="0.2">
      <c r="A23" s="26" t="s">
        <v>47</v>
      </c>
      <c r="B23" s="27" t="s">
        <v>48</v>
      </c>
      <c r="C23" s="28">
        <f>SUM(C8:C22)</f>
        <v>2626035.4200000009</v>
      </c>
      <c r="E23" s="73">
        <f>SUM(E8:E22)</f>
        <v>4293218.3786666663</v>
      </c>
      <c r="F23" s="73">
        <f>SUM(F8:F22)</f>
        <v>959999.56661728409</v>
      </c>
      <c r="I23">
        <v>1</v>
      </c>
      <c r="J23" t="s">
        <v>99</v>
      </c>
      <c r="K23" s="25">
        <f>125000*1.2</f>
        <v>150000</v>
      </c>
      <c r="L23" s="17">
        <f t="shared" si="1"/>
        <v>150000</v>
      </c>
      <c r="Q23" s="73">
        <f>SUM(Q8:Q22)</f>
        <v>239999.89165432102</v>
      </c>
    </row>
    <row r="24" spans="1:17" x14ac:dyDescent="0.2">
      <c r="I24">
        <v>3</v>
      </c>
      <c r="J24" t="s">
        <v>100</v>
      </c>
      <c r="K24" s="25">
        <f>150000*1.2</f>
        <v>180000</v>
      </c>
      <c r="L24" s="17">
        <f t="shared" si="1"/>
        <v>540000</v>
      </c>
    </row>
    <row r="25" spans="1:17" x14ac:dyDescent="0.2">
      <c r="B25" s="27" t="s">
        <v>51</v>
      </c>
      <c r="C25" s="15"/>
      <c r="E25" s="31">
        <v>27</v>
      </c>
      <c r="F25" s="31">
        <v>4</v>
      </c>
      <c r="J25" t="s">
        <v>101</v>
      </c>
      <c r="K25" s="25">
        <v>180000</v>
      </c>
      <c r="L25" s="17">
        <f t="shared" si="1"/>
        <v>0</v>
      </c>
      <c r="Q25" s="31">
        <v>1</v>
      </c>
    </row>
    <row r="26" spans="1:17" x14ac:dyDescent="0.2">
      <c r="C26" s="15"/>
      <c r="E26" s="15"/>
      <c r="F26" s="15"/>
      <c r="J26" t="s">
        <v>102</v>
      </c>
      <c r="K26" s="25">
        <v>260000</v>
      </c>
      <c r="L26" s="17">
        <f t="shared" si="1"/>
        <v>0</v>
      </c>
      <c r="Q26" s="15"/>
    </row>
    <row r="27" spans="1:17" x14ac:dyDescent="0.2">
      <c r="B27" s="27" t="s">
        <v>103</v>
      </c>
      <c r="C27" s="15"/>
      <c r="E27" s="31">
        <v>0</v>
      </c>
      <c r="F27" s="31"/>
      <c r="K27" s="25"/>
      <c r="L27" s="25">
        <f>SUM(L16:L26)</f>
        <v>690000</v>
      </c>
      <c r="Q27" s="31"/>
    </row>
    <row r="28" spans="1:17" x14ac:dyDescent="0.2">
      <c r="K28" s="25"/>
    </row>
    <row r="29" spans="1:17" x14ac:dyDescent="0.2">
      <c r="B29" s="27" t="s">
        <v>56</v>
      </c>
      <c r="C29" s="15"/>
      <c r="E29" s="31">
        <f>+E27+E25</f>
        <v>27</v>
      </c>
      <c r="F29" s="31">
        <f>SUM(F25:F27)</f>
        <v>4</v>
      </c>
      <c r="G29" s="32"/>
      <c r="H29" s="25"/>
      <c r="J29" t="s">
        <v>104</v>
      </c>
      <c r="K29" s="25"/>
      <c r="L29" s="52">
        <v>0.2</v>
      </c>
      <c r="Q29" s="31">
        <f>SUM(Q25:Q27)</f>
        <v>1</v>
      </c>
    </row>
    <row r="31" spans="1:17" hidden="1" x14ac:dyDescent="0.2">
      <c r="A31" s="13" t="s">
        <v>73</v>
      </c>
      <c r="B31" s="14" t="s">
        <v>74</v>
      </c>
      <c r="C31" s="15">
        <f>'[4]Team Report'!BA29</f>
        <v>0</v>
      </c>
      <c r="E31" s="15">
        <f t="shared" ref="E31:E38" si="2">(C31/9)*12</f>
        <v>0</v>
      </c>
      <c r="F31" s="15"/>
      <c r="L31" s="25">
        <f>L27*1.2</f>
        <v>828000</v>
      </c>
    </row>
    <row r="32" spans="1:17" hidden="1" x14ac:dyDescent="0.2">
      <c r="A32" s="13" t="s">
        <v>75</v>
      </c>
      <c r="B32" s="14" t="s">
        <v>76</v>
      </c>
      <c r="C32" s="15">
        <f>'[4]Team Report'!BA30</f>
        <v>-3920.75</v>
      </c>
      <c r="E32" s="15">
        <f t="shared" si="2"/>
        <v>-5227.666666666667</v>
      </c>
      <c r="F32" s="15"/>
    </row>
    <row r="33" spans="1:14" hidden="1" x14ac:dyDescent="0.2">
      <c r="A33" s="13" t="s">
        <v>77</v>
      </c>
      <c r="B33" s="14" t="s">
        <v>78</v>
      </c>
      <c r="C33" s="15">
        <f>'[4]Team Report'!BA31</f>
        <v>0</v>
      </c>
      <c r="E33" s="15">
        <f t="shared" si="2"/>
        <v>0</v>
      </c>
      <c r="F33" s="15"/>
    </row>
    <row r="34" spans="1:14" hidden="1" x14ac:dyDescent="0.2">
      <c r="A34" s="13" t="s">
        <v>79</v>
      </c>
      <c r="B34" s="14" t="s">
        <v>80</v>
      </c>
      <c r="C34" s="15">
        <f>'[4]Team Report'!BA39</f>
        <v>0</v>
      </c>
      <c r="E34" s="15">
        <f t="shared" si="2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'[4]Team Report'!BA40</f>
        <v>37953.1</v>
      </c>
      <c r="E35" s="15">
        <f t="shared" si="2"/>
        <v>50604.133333333331</v>
      </c>
      <c r="F35" s="15"/>
    </row>
    <row r="36" spans="1:14" hidden="1" x14ac:dyDescent="0.2">
      <c r="A36" s="13" t="s">
        <v>83</v>
      </c>
      <c r="B36" s="14" t="s">
        <v>84</v>
      </c>
      <c r="C36" s="15">
        <f>'[4]Team Report'!BA41</f>
        <v>218397.73</v>
      </c>
      <c r="E36" s="15">
        <f t="shared" si="2"/>
        <v>291196.97333333339</v>
      </c>
      <c r="F36" s="15"/>
    </row>
    <row r="37" spans="1:14" hidden="1" x14ac:dyDescent="0.2">
      <c r="A37" s="13" t="s">
        <v>85</v>
      </c>
      <c r="B37" s="14" t="s">
        <v>86</v>
      </c>
      <c r="C37" s="15">
        <f>'[4]Team Report'!BA43</f>
        <v>-1506130.81</v>
      </c>
      <c r="E37" s="15">
        <f t="shared" si="2"/>
        <v>-2008174.4133333333</v>
      </c>
      <c r="F37" s="15"/>
      <c r="I37" s="33" t="s">
        <v>57</v>
      </c>
      <c r="J37" s="25"/>
      <c r="K37" s="25"/>
    </row>
    <row r="38" spans="1:14" hidden="1" x14ac:dyDescent="0.2">
      <c r="A38" s="13" t="s">
        <v>87</v>
      </c>
      <c r="B38" s="14" t="s">
        <v>88</v>
      </c>
      <c r="C38" s="15">
        <f>'[4]Team Report'!BA45</f>
        <v>0</v>
      </c>
      <c r="E38" s="15">
        <f t="shared" si="2"/>
        <v>0</v>
      </c>
      <c r="F38" s="15"/>
      <c r="J38" s="25"/>
      <c r="K38" s="25"/>
    </row>
    <row r="39" spans="1:14" hidden="1" x14ac:dyDescent="0.2">
      <c r="A39" s="13"/>
      <c r="B39" s="14" t="s">
        <v>23</v>
      </c>
      <c r="C39" s="15">
        <v>195340</v>
      </c>
      <c r="E39" s="15"/>
      <c r="F39" s="15"/>
      <c r="I39" s="34" t="s">
        <v>58</v>
      </c>
      <c r="J39" s="35" t="s">
        <v>59</v>
      </c>
      <c r="K39" s="35" t="s">
        <v>60</v>
      </c>
      <c r="L39" s="35" t="s">
        <v>3</v>
      </c>
      <c r="N39" s="35" t="s">
        <v>61</v>
      </c>
    </row>
    <row r="40" spans="1:14" x14ac:dyDescent="0.2">
      <c r="I40" s="36">
        <f>SUM(E12:E22)</f>
        <v>432294.07466666668</v>
      </c>
      <c r="J40" s="56">
        <f>+E29</f>
        <v>27</v>
      </c>
      <c r="K40" s="37">
        <f>+I40/J40</f>
        <v>16010.891654320989</v>
      </c>
      <c r="L40" s="37">
        <f>+N10</f>
        <v>4</v>
      </c>
      <c r="M40" s="37">
        <f>+K40*L40</f>
        <v>64043.566617283956</v>
      </c>
      <c r="N40" s="25">
        <f>+L40*K40</f>
        <v>64043.566617283956</v>
      </c>
    </row>
    <row r="41" spans="1:14" x14ac:dyDescent="0.2">
      <c r="C41" s="54">
        <f>C23+C31+C32+C33+C34+C35+C36+C37+C38+C39</f>
        <v>1567674.6900000009</v>
      </c>
    </row>
    <row r="42" spans="1:14" x14ac:dyDescent="0.2">
      <c r="I42" t="s">
        <v>105</v>
      </c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R63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42578125" customWidth="1"/>
    <col min="8" max="8" width="13.570312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6" width="9.140625" hidden="1" customWidth="1"/>
    <col min="17" max="54" width="0" hidden="1" customWidth="1"/>
  </cols>
  <sheetData>
    <row r="1" spans="1:44" ht="18" x14ac:dyDescent="0.25">
      <c r="B1" s="125" t="str">
        <f>'[6]Team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118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8"/>
      <c r="K6" s="8"/>
      <c r="L6" s="9"/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8"/>
      <c r="K7" s="8"/>
      <c r="L7" s="9"/>
      <c r="O7" s="12" t="s">
        <v>8</v>
      </c>
    </row>
    <row r="8" spans="1:44" x14ac:dyDescent="0.2">
      <c r="A8" s="13" t="s">
        <v>10</v>
      </c>
      <c r="B8" s="14" t="s">
        <v>11</v>
      </c>
      <c r="C8" s="53">
        <f>'[6]Team Report'!BA25</f>
        <v>10228335.790000001</v>
      </c>
      <c r="E8" s="15">
        <f t="shared" ref="E8:E14" si="0">(C8/9)*12</f>
        <v>13637781.053333335</v>
      </c>
      <c r="G8" s="15">
        <f>L28</f>
        <v>1648800</v>
      </c>
      <c r="I8" s="7" t="s">
        <v>11</v>
      </c>
      <c r="J8" s="17">
        <v>0</v>
      </c>
      <c r="K8" s="8"/>
      <c r="L8" s="18">
        <f>L28*1.2</f>
        <v>1978560</v>
      </c>
      <c r="O8" s="15">
        <f>+G8/$G$29*$O$29</f>
        <v>164880</v>
      </c>
    </row>
    <row r="9" spans="1:44" x14ac:dyDescent="0.2">
      <c r="A9" s="13"/>
      <c r="B9" s="14" t="s">
        <v>12</v>
      </c>
      <c r="C9" s="15">
        <v>0</v>
      </c>
      <c r="E9" s="15">
        <f t="shared" si="0"/>
        <v>0</v>
      </c>
      <c r="G9" s="15">
        <v>0</v>
      </c>
      <c r="I9" s="7"/>
      <c r="J9" s="8"/>
      <c r="K9" s="8"/>
      <c r="L9" s="9"/>
      <c r="O9" s="15">
        <f t="shared" ref="O9:O21" si="1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 t="shared" si="0"/>
        <v>0</v>
      </c>
      <c r="G10" s="15">
        <v>0</v>
      </c>
      <c r="I10" s="7"/>
      <c r="J10" s="8"/>
      <c r="K10" s="8"/>
      <c r="L10" s="9"/>
      <c r="O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'[6]Team Report'!BA26</f>
        <v>1877442.13</v>
      </c>
      <c r="E11" s="15">
        <f t="shared" si="0"/>
        <v>2503256.1733333333</v>
      </c>
      <c r="G11" s="15">
        <f>L32-L28</f>
        <v>329760</v>
      </c>
      <c r="I11" s="7" t="s">
        <v>16</v>
      </c>
      <c r="J11" s="19">
        <f>(E12+E13+E14+E15+E16+E17+E18+E19+E20+E21+E22)/E29</f>
        <v>22231.734294294292</v>
      </c>
      <c r="K11" s="8">
        <f>K28</f>
        <v>10</v>
      </c>
      <c r="L11" s="18">
        <f>J11*K11</f>
        <v>222317.34294294292</v>
      </c>
      <c r="O11" s="15">
        <f t="shared" si="1"/>
        <v>32976</v>
      </c>
    </row>
    <row r="12" spans="1:44" x14ac:dyDescent="0.2">
      <c r="A12" s="13" t="s">
        <v>17</v>
      </c>
      <c r="B12" s="14" t="s">
        <v>18</v>
      </c>
      <c r="C12" s="15">
        <f>'[6]Team Report'!BA27</f>
        <v>405632.98</v>
      </c>
      <c r="E12" s="15">
        <f t="shared" si="0"/>
        <v>540843.97333333339</v>
      </c>
      <c r="G12" s="15">
        <f t="shared" ref="G12:G22" si="2">(E12/$E$29)*$K$11</f>
        <v>48724.682282282287</v>
      </c>
      <c r="I12" s="7"/>
      <c r="J12" s="8"/>
      <c r="K12" s="8"/>
      <c r="L12" s="9"/>
      <c r="O12" s="15">
        <f t="shared" si="1"/>
        <v>4872.4682282282283</v>
      </c>
    </row>
    <row r="13" spans="1:44" ht="13.5" thickBot="1" x14ac:dyDescent="0.25">
      <c r="A13" s="13" t="s">
        <v>19</v>
      </c>
      <c r="B13" s="14" t="s">
        <v>20</v>
      </c>
      <c r="C13" s="15">
        <f>'[6]Team Report'!BA28</f>
        <v>648740.16999999993</v>
      </c>
      <c r="E13" s="15">
        <f t="shared" si="0"/>
        <v>864986.8933333332</v>
      </c>
      <c r="G13" s="15">
        <f t="shared" si="2"/>
        <v>77926.747147147136</v>
      </c>
      <c r="I13" s="22" t="s">
        <v>21</v>
      </c>
      <c r="J13" s="23"/>
      <c r="K13" s="23"/>
      <c r="L13" s="24">
        <f>L8+L11</f>
        <v>2200877.3429429429</v>
      </c>
      <c r="N13">
        <v>1893527</v>
      </c>
      <c r="O13" s="15">
        <f t="shared" si="1"/>
        <v>7792.6747147147134</v>
      </c>
      <c r="P13" s="49">
        <f>N13-L13</f>
        <v>-307350.34294294287</v>
      </c>
    </row>
    <row r="14" spans="1:44" x14ac:dyDescent="0.2">
      <c r="A14" s="13" t="s">
        <v>22</v>
      </c>
      <c r="B14" s="14" t="s">
        <v>23</v>
      </c>
      <c r="C14" s="15">
        <v>0</v>
      </c>
      <c r="E14" s="15">
        <f t="shared" si="0"/>
        <v>0</v>
      </c>
      <c r="G14" s="15">
        <f t="shared" si="2"/>
        <v>0</v>
      </c>
      <c r="J14"/>
      <c r="K14"/>
      <c r="L14"/>
      <c r="O14" s="15">
        <f t="shared" si="1"/>
        <v>0</v>
      </c>
    </row>
    <row r="15" spans="1:44" x14ac:dyDescent="0.2">
      <c r="A15" s="13" t="s">
        <v>24</v>
      </c>
      <c r="B15" s="14" t="s">
        <v>25</v>
      </c>
      <c r="C15" s="15">
        <f>'[6]Team Report'!BA33</f>
        <v>76876.320000000007</v>
      </c>
      <c r="E15" s="15">
        <f>(C15/9)*12-25000</f>
        <v>77501.760000000009</v>
      </c>
      <c r="G15" s="15">
        <f t="shared" si="2"/>
        <v>6982.1405405405412</v>
      </c>
      <c r="J15"/>
      <c r="K15"/>
      <c r="L15"/>
      <c r="O15" s="15">
        <f t="shared" si="1"/>
        <v>698.21405405405415</v>
      </c>
    </row>
    <row r="16" spans="1:44" x14ac:dyDescent="0.2">
      <c r="A16" s="13" t="s">
        <v>26</v>
      </c>
      <c r="B16" s="14" t="s">
        <v>27</v>
      </c>
      <c r="C16" s="15">
        <f>'[6]Team Report'!BA34</f>
        <v>0</v>
      </c>
      <c r="E16" s="15">
        <f>(C16/9)*12</f>
        <v>0</v>
      </c>
      <c r="G16" s="15">
        <f t="shared" si="2"/>
        <v>0</v>
      </c>
      <c r="I16" t="s">
        <v>28</v>
      </c>
      <c r="J16" s="25">
        <v>28000</v>
      </c>
      <c r="K16">
        <v>0</v>
      </c>
      <c r="L16" s="25">
        <f t="shared" ref="L16:L27" si="3">J16*K16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'[6]Team Report'!BA35</f>
        <v>0</v>
      </c>
      <c r="E17" s="15">
        <f>(C17/9)*12</f>
        <v>0</v>
      </c>
      <c r="G17" s="15">
        <f t="shared" si="2"/>
        <v>0</v>
      </c>
      <c r="I17" t="s">
        <v>31</v>
      </c>
      <c r="J17" s="25">
        <v>36000</v>
      </c>
      <c r="K17">
        <v>0</v>
      </c>
      <c r="L17" s="25">
        <f t="shared" si="3"/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'[6]Team Report'!BA36</f>
        <v>5744.1</v>
      </c>
      <c r="E18" s="15">
        <f>(C18/9)*12</f>
        <v>7658.8</v>
      </c>
      <c r="G18" s="15">
        <f t="shared" si="2"/>
        <v>689.98198198198202</v>
      </c>
      <c r="I18" t="s">
        <v>119</v>
      </c>
      <c r="J18" s="25">
        <v>48000</v>
      </c>
      <c r="K18">
        <v>0</v>
      </c>
      <c r="L18" s="25">
        <f t="shared" si="3"/>
        <v>0</v>
      </c>
      <c r="O18" s="15">
        <f t="shared" si="1"/>
        <v>68.998198198198196</v>
      </c>
    </row>
    <row r="19" spans="1:15" x14ac:dyDescent="0.2">
      <c r="A19" s="13" t="s">
        <v>35</v>
      </c>
      <c r="B19" s="14" t="s">
        <v>36</v>
      </c>
      <c r="C19" s="15">
        <f>'[6]Team Report'!BA37</f>
        <v>67058.599999999991</v>
      </c>
      <c r="E19" s="15">
        <f>(C19/9)*12-25000</f>
        <v>64411.466666666645</v>
      </c>
      <c r="G19" s="15">
        <f t="shared" si="2"/>
        <v>5802.8348348348336</v>
      </c>
      <c r="I19" t="s">
        <v>37</v>
      </c>
      <c r="J19" s="25">
        <v>52500</v>
      </c>
      <c r="K19">
        <v>0</v>
      </c>
      <c r="L19" s="25">
        <f t="shared" si="3"/>
        <v>0</v>
      </c>
      <c r="O19" s="15">
        <f t="shared" si="1"/>
        <v>580.28348348348334</v>
      </c>
    </row>
    <row r="20" spans="1:15" x14ac:dyDescent="0.2">
      <c r="A20" s="13" t="s">
        <v>38</v>
      </c>
      <c r="B20" s="14" t="s">
        <v>39</v>
      </c>
      <c r="C20" s="15">
        <f>'[6]Team Report'!BA38</f>
        <v>0</v>
      </c>
      <c r="E20" s="15">
        <f>(C20/9)*12</f>
        <v>0</v>
      </c>
      <c r="G20" s="15">
        <f t="shared" si="2"/>
        <v>0</v>
      </c>
      <c r="I20" t="s">
        <v>40</v>
      </c>
      <c r="J20" s="25">
        <v>65000</v>
      </c>
      <c r="K20">
        <v>0</v>
      </c>
      <c r="L20" s="25">
        <f t="shared" si="3"/>
        <v>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'[6]Team Report'!BA42</f>
        <v>842429.76</v>
      </c>
      <c r="E21" s="15">
        <f>(C21/9)*12-200000-19525</f>
        <v>903714.68000000017</v>
      </c>
      <c r="G21" s="15">
        <f t="shared" si="2"/>
        <v>81415.736936936955</v>
      </c>
      <c r="I21" t="s">
        <v>43</v>
      </c>
      <c r="J21" s="25">
        <v>55000</v>
      </c>
      <c r="K21">
        <v>0</v>
      </c>
      <c r="L21" s="25">
        <f t="shared" si="3"/>
        <v>0</v>
      </c>
      <c r="O21" s="15">
        <f t="shared" si="1"/>
        <v>8141.5736936936955</v>
      </c>
    </row>
    <row r="22" spans="1:15" x14ac:dyDescent="0.2">
      <c r="A22" s="13" t="s">
        <v>44</v>
      </c>
      <c r="B22" s="14" t="s">
        <v>45</v>
      </c>
      <c r="C22" s="15">
        <f>'[6]Team Report'!BA44</f>
        <v>6453.6999999999989</v>
      </c>
      <c r="E22" s="15">
        <f>(C22/9)*12</f>
        <v>8604.9333333333325</v>
      </c>
      <c r="G22" s="15">
        <f t="shared" si="2"/>
        <v>775.21921921921921</v>
      </c>
      <c r="I22" t="s">
        <v>46</v>
      </c>
      <c r="J22" s="25">
        <v>81000</v>
      </c>
      <c r="K22">
        <v>0</v>
      </c>
      <c r="L22" s="25">
        <f t="shared" si="3"/>
        <v>0</v>
      </c>
      <c r="O22" s="15">
        <f>+G22/$G$29*$O$29</f>
        <v>77.521921921921916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18608759.733333334</v>
      </c>
      <c r="G23" s="28">
        <f>SUM(G8:G22)</f>
        <v>2200877.3429429438</v>
      </c>
      <c r="I23" t="s">
        <v>49</v>
      </c>
      <c r="J23" s="25">
        <f>80000</f>
        <v>80000</v>
      </c>
      <c r="K23">
        <v>1</v>
      </c>
      <c r="L23" s="25">
        <f t="shared" si="3"/>
        <v>80000</v>
      </c>
      <c r="O23" s="28">
        <f>SUM(O8:O22)</f>
        <v>220087.73429429429</v>
      </c>
    </row>
    <row r="24" spans="1:15" x14ac:dyDescent="0.2">
      <c r="I24" t="s">
        <v>50</v>
      </c>
      <c r="J24" s="25">
        <f>115000*1.2</f>
        <v>138000</v>
      </c>
      <c r="K24">
        <v>3</v>
      </c>
      <c r="L24" s="25">
        <f t="shared" si="3"/>
        <v>414000</v>
      </c>
    </row>
    <row r="25" spans="1:15" x14ac:dyDescent="0.2">
      <c r="B25" s="27" t="s">
        <v>51</v>
      </c>
      <c r="C25" s="55"/>
      <c r="E25" s="55">
        <v>111</v>
      </c>
      <c r="G25" s="55">
        <f>+K28</f>
        <v>10</v>
      </c>
      <c r="I25" t="s">
        <v>52</v>
      </c>
      <c r="J25" s="25">
        <f>140000</f>
        <v>140000</v>
      </c>
      <c r="K25">
        <v>4</v>
      </c>
      <c r="L25" s="25">
        <f t="shared" si="3"/>
        <v>560000</v>
      </c>
      <c r="O25" s="31">
        <f>SUM(U16:U20,U23:U27)</f>
        <v>0</v>
      </c>
    </row>
    <row r="26" spans="1:15" x14ac:dyDescent="0.2">
      <c r="I26" t="s">
        <v>53</v>
      </c>
      <c r="J26" s="25">
        <f>160000</f>
        <v>160000</v>
      </c>
      <c r="K26">
        <v>2</v>
      </c>
      <c r="L26" s="25">
        <f t="shared" si="3"/>
        <v>320000</v>
      </c>
      <c r="O26" s="15"/>
    </row>
    <row r="27" spans="1:15" x14ac:dyDescent="0.2">
      <c r="B27" s="27" t="s">
        <v>69</v>
      </c>
      <c r="C27" s="55"/>
      <c r="E27" s="55"/>
      <c r="G27" s="55"/>
      <c r="I27" t="s">
        <v>55</v>
      </c>
      <c r="J27" s="25">
        <f>288000</f>
        <v>288000</v>
      </c>
      <c r="K27">
        <v>0</v>
      </c>
      <c r="L27" s="25">
        <f t="shared" si="3"/>
        <v>0</v>
      </c>
      <c r="O27" s="31">
        <f>+U21+U22</f>
        <v>0</v>
      </c>
    </row>
    <row r="28" spans="1:15" x14ac:dyDescent="0.2">
      <c r="J28"/>
      <c r="K28">
        <f>SUM(K16:K27)</f>
        <v>10</v>
      </c>
      <c r="L28" s="25">
        <f>SUM(L16:L27)*1.2</f>
        <v>1648800</v>
      </c>
    </row>
    <row r="29" spans="1:15" x14ac:dyDescent="0.2">
      <c r="B29" s="27" t="s">
        <v>56</v>
      </c>
      <c r="C29" s="55"/>
      <c r="E29" s="55">
        <f>SUM(E25:E28)</f>
        <v>111</v>
      </c>
      <c r="G29" s="55">
        <f>SUM(G25:G28)</f>
        <v>10</v>
      </c>
      <c r="O29" s="31">
        <v>1</v>
      </c>
    </row>
    <row r="30" spans="1:15" x14ac:dyDescent="0.2">
      <c r="B30" s="27"/>
      <c r="I30" t="s">
        <v>104</v>
      </c>
      <c r="L30" s="52">
        <v>0.2</v>
      </c>
    </row>
    <row r="31" spans="1:15" hidden="1" x14ac:dyDescent="0.2">
      <c r="A31" s="13" t="s">
        <v>73</v>
      </c>
      <c r="B31" s="14" t="s">
        <v>74</v>
      </c>
      <c r="C31" s="15">
        <f>'[6]Team Report'!BA29</f>
        <v>-24140467.679999996</v>
      </c>
      <c r="E31" s="15">
        <f t="shared" ref="E31:E38" si="4">(C31/9)*12</f>
        <v>-32187290.239999995</v>
      </c>
    </row>
    <row r="32" spans="1:15" hidden="1" x14ac:dyDescent="0.2">
      <c r="A32" s="13" t="s">
        <v>75</v>
      </c>
      <c r="B32" s="14" t="s">
        <v>76</v>
      </c>
      <c r="C32" s="15">
        <f>'[6]Team Report'!BA30</f>
        <v>0</v>
      </c>
      <c r="E32" s="15">
        <f t="shared" si="4"/>
        <v>0</v>
      </c>
      <c r="L32" s="25">
        <f>L28*1.2</f>
        <v>1978560</v>
      </c>
    </row>
    <row r="33" spans="1:13" hidden="1" x14ac:dyDescent="0.2">
      <c r="A33" s="13" t="s">
        <v>77</v>
      </c>
      <c r="B33" s="14" t="s">
        <v>78</v>
      </c>
      <c r="C33" s="15">
        <f>'[6]Team Report'!BA31</f>
        <v>0</v>
      </c>
      <c r="E33" s="15">
        <f t="shared" si="4"/>
        <v>0</v>
      </c>
    </row>
    <row r="34" spans="1:13" hidden="1" x14ac:dyDescent="0.2">
      <c r="A34" s="13" t="s">
        <v>79</v>
      </c>
      <c r="B34" s="14" t="s">
        <v>80</v>
      </c>
      <c r="C34" s="15">
        <f>'[6]Team Report'!BA39</f>
        <v>0</v>
      </c>
      <c r="E34" s="15">
        <f t="shared" si="4"/>
        <v>0</v>
      </c>
      <c r="I34" s="33" t="s">
        <v>57</v>
      </c>
    </row>
    <row r="35" spans="1:13" hidden="1" x14ac:dyDescent="0.2">
      <c r="A35" s="13" t="s">
        <v>81</v>
      </c>
      <c r="B35" s="14" t="s">
        <v>82</v>
      </c>
      <c r="C35" s="15">
        <f>'[6]Team Report'!BA40</f>
        <v>164920.93000000002</v>
      </c>
      <c r="E35" s="15">
        <f t="shared" si="4"/>
        <v>219894.57333333336</v>
      </c>
    </row>
    <row r="36" spans="1:13" hidden="1" x14ac:dyDescent="0.2">
      <c r="A36" s="13" t="s">
        <v>83</v>
      </c>
      <c r="B36" s="14" t="s">
        <v>84</v>
      </c>
      <c r="C36" s="15">
        <f>'[6]Team Report'!BA41</f>
        <v>945381.27</v>
      </c>
      <c r="E36" s="15">
        <f t="shared" si="4"/>
        <v>1260508.3600000001</v>
      </c>
      <c r="I36" s="34" t="s">
        <v>120</v>
      </c>
    </row>
    <row r="37" spans="1:13" hidden="1" x14ac:dyDescent="0.2">
      <c r="A37" s="13" t="s">
        <v>85</v>
      </c>
      <c r="B37" s="14" t="s">
        <v>86</v>
      </c>
      <c r="C37" s="15">
        <f>'[6]Team Report'!BA43</f>
        <v>-5121278.5200000005</v>
      </c>
      <c r="E37" s="15">
        <f t="shared" si="4"/>
        <v>-6828371.3600000013</v>
      </c>
      <c r="L37"/>
    </row>
    <row r="38" spans="1:13" hidden="1" x14ac:dyDescent="0.2">
      <c r="A38" s="13" t="s">
        <v>87</v>
      </c>
      <c r="B38" s="14" t="s">
        <v>88</v>
      </c>
      <c r="C38" s="15">
        <f>'[6]Team Report'!BA45</f>
        <v>0</v>
      </c>
      <c r="E38" s="15">
        <f t="shared" si="4"/>
        <v>0</v>
      </c>
      <c r="L38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J39" s="35"/>
      <c r="K39" s="35"/>
      <c r="L39"/>
      <c r="M39" s="35"/>
    </row>
    <row r="40" spans="1:13" hidden="1" x14ac:dyDescent="0.2">
      <c r="H40" s="36"/>
      <c r="I40" s="56"/>
      <c r="J40" s="37"/>
      <c r="K40" s="37"/>
      <c r="L40" s="37"/>
      <c r="M40" s="25"/>
    </row>
    <row r="41" spans="1:13" hidden="1" x14ac:dyDescent="0.2">
      <c r="J41"/>
      <c r="L41"/>
    </row>
    <row r="42" spans="1:13" hidden="1" x14ac:dyDescent="0.2">
      <c r="J42"/>
      <c r="L42"/>
    </row>
    <row r="43" spans="1:13" hidden="1" x14ac:dyDescent="0.2"/>
    <row r="44" spans="1:13" hidden="1" x14ac:dyDescent="0.2">
      <c r="C44" s="54">
        <f>C23+C31+C32+C33+C34+C35+C36+C37+C38</f>
        <v>-13992730.449999996</v>
      </c>
    </row>
    <row r="45" spans="1:13" hidden="1" x14ac:dyDescent="0.2"/>
    <row r="46" spans="1:13" hidden="1" x14ac:dyDescent="0.2"/>
    <row r="47" spans="1:13" hidden="1" x14ac:dyDescent="0.2"/>
    <row r="48" spans="1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62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12159180</v>
      </c>
      <c r="I8" s="42" t="s">
        <v>11</v>
      </c>
      <c r="J8" s="17">
        <v>0</v>
      </c>
      <c r="K8" s="17"/>
      <c r="L8" s="43">
        <f>L30</f>
        <v>15668136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2611356</v>
      </c>
      <c r="I11" s="42" t="s">
        <v>16</v>
      </c>
      <c r="J11" s="17">
        <f>(E12+E13+E14+E15+E16+E17+E18+E19+E20+E21+E22)/E29</f>
        <v>48270.181250000009</v>
      </c>
      <c r="K11" s="17">
        <f>K28</f>
        <v>90</v>
      </c>
      <c r="L11" s="43">
        <f>J11*K11</f>
        <v>4344316.3125000009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554622.63749999972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493646.12250000011</v>
      </c>
      <c r="I13" s="46" t="s">
        <v>21</v>
      </c>
      <c r="J13" s="47"/>
      <c r="K13" s="47"/>
      <c r="L13" s="48">
        <f>L8+L11</f>
        <v>20012452.3125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0.18000000001484293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78422.249999999985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4425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80366.190000000017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81907.740000000005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12</v>
      </c>
      <c r="I20" s="25" t="s">
        <v>40</v>
      </c>
      <c r="J20" s="25">
        <v>71500</v>
      </c>
      <c r="K20" s="25">
        <f>2+1</f>
        <v>3</v>
      </c>
      <c r="L20" s="25">
        <f t="shared" si="2"/>
        <v>214500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101841.68249999991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</f>
        <v>3571654.5100000016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20635034.3125</v>
      </c>
      <c r="I23" s="25" t="s">
        <v>49</v>
      </c>
      <c r="J23" s="25">
        <v>110000</v>
      </c>
      <c r="K23" s="25">
        <f>1+8+11</f>
        <v>20</v>
      </c>
      <c r="L23" s="25">
        <f t="shared" si="2"/>
        <v>2200000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</f>
        <v>26</v>
      </c>
      <c r="L24" s="25">
        <f t="shared" si="2"/>
        <v>3718000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78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</f>
        <v>14</v>
      </c>
      <c r="L26" s="25">
        <f t="shared" si="2"/>
        <v>2772000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f>1+1</f>
        <v>2</v>
      </c>
      <c r="L27" s="25">
        <f t="shared" si="2"/>
        <v>440000</v>
      </c>
      <c r="P27" s="8"/>
      <c r="Q27" s="32"/>
    </row>
    <row r="28" spans="1:17" x14ac:dyDescent="0.2">
      <c r="K28" s="25">
        <f>SUM(K16:K27)</f>
        <v>90</v>
      </c>
      <c r="L28" s="25">
        <f>SUM(L16:L27)*1.2</f>
        <v>13056780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90</v>
      </c>
      <c r="L29" s="52">
        <v>0.2</v>
      </c>
      <c r="P29" s="8"/>
      <c r="Q29" s="32"/>
    </row>
    <row r="30" spans="1:17" hidden="1" x14ac:dyDescent="0.2">
      <c r="L30" s="25">
        <f>L28*1.2</f>
        <v>15668136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90</v>
      </c>
      <c r="L34" s="37">
        <f>+J34*K34</f>
        <v>4344316.3125000009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45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2.28515625" customWidth="1"/>
    <col min="8" max="8" width="9.85546875" hidden="1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4" width="9.140625" hidden="1" customWidth="1"/>
    <col min="15" max="15" width="12.140625" hidden="1" customWidth="1"/>
    <col min="16" max="42" width="0" hidden="1" customWidth="1"/>
  </cols>
  <sheetData>
    <row r="1" spans="1:36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x14ac:dyDescent="0.25">
      <c r="B2" s="125" t="s">
        <v>122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" x14ac:dyDescent="0.25">
      <c r="B3" s="126" t="s">
        <v>1</v>
      </c>
      <c r="C3" s="126"/>
      <c r="D3" s="126"/>
      <c r="E3" s="126"/>
      <c r="F3" s="126"/>
      <c r="G3" s="126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3.5" thickBot="1" x14ac:dyDescent="0.25">
      <c r="I4" s="130" t="s">
        <v>123</v>
      </c>
      <c r="J4" s="130"/>
      <c r="K4" s="130"/>
      <c r="L4" s="130"/>
    </row>
    <row r="5" spans="1:36" x14ac:dyDescent="0.2">
      <c r="I5" s="4"/>
      <c r="J5" s="40"/>
      <c r="K5" s="40"/>
      <c r="L5" s="41"/>
      <c r="M5" s="8"/>
    </row>
    <row r="6" spans="1:36" x14ac:dyDescent="0.2">
      <c r="C6" s="10">
        <v>37135</v>
      </c>
      <c r="E6" s="76">
        <v>2001</v>
      </c>
      <c r="G6" s="76">
        <v>2002</v>
      </c>
      <c r="I6" s="7"/>
      <c r="J6" s="19" t="s">
        <v>2</v>
      </c>
      <c r="K6" s="19" t="s">
        <v>3</v>
      </c>
      <c r="L6" s="74" t="s">
        <v>109</v>
      </c>
      <c r="M6" s="8"/>
      <c r="O6" s="76">
        <v>2002</v>
      </c>
    </row>
    <row r="7" spans="1:36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M7" s="8"/>
      <c r="O7" s="12" t="s">
        <v>8</v>
      </c>
    </row>
    <row r="8" spans="1:36" x14ac:dyDescent="0.2">
      <c r="A8" s="13" t="s">
        <v>10</v>
      </c>
      <c r="B8" s="14" t="s">
        <v>11</v>
      </c>
      <c r="C8" s="53">
        <v>0</v>
      </c>
      <c r="E8" s="15">
        <v>2625993</v>
      </c>
      <c r="G8" s="15">
        <f>L29-G10</f>
        <v>1702800</v>
      </c>
      <c r="I8" s="7"/>
      <c r="J8" s="17"/>
      <c r="K8" s="17"/>
      <c r="L8" s="43"/>
      <c r="M8" s="8"/>
      <c r="O8" s="15">
        <f>+G8/$G$30*$O$30</f>
        <v>227040</v>
      </c>
    </row>
    <row r="9" spans="1:36" hidden="1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f>K29</f>
        <v>15</v>
      </c>
      <c r="L9" s="43">
        <f>+L33</f>
        <v>2112480</v>
      </c>
      <c r="M9" s="8"/>
      <c r="O9" s="15">
        <f t="shared" ref="O9:O23" si="0">+G9/$G$30*$O$30</f>
        <v>0</v>
      </c>
    </row>
    <row r="10" spans="1:36" x14ac:dyDescent="0.2">
      <c r="A10" s="13"/>
      <c r="B10" s="14" t="s">
        <v>124</v>
      </c>
      <c r="C10" s="15">
        <v>0</v>
      </c>
      <c r="E10" s="15">
        <f>(C10/9)*12</f>
        <v>0</v>
      </c>
      <c r="G10" s="15">
        <f>L21</f>
        <v>57600</v>
      </c>
      <c r="I10" s="7"/>
      <c r="J10" s="17"/>
      <c r="K10" s="17"/>
      <c r="L10" s="43"/>
      <c r="M10" s="8"/>
      <c r="O10" s="15">
        <f t="shared" si="0"/>
        <v>7680</v>
      </c>
    </row>
    <row r="11" spans="1:36" x14ac:dyDescent="0.2">
      <c r="A11" s="13" t="s">
        <v>14</v>
      </c>
      <c r="B11" s="14" t="s">
        <v>15</v>
      </c>
      <c r="C11" s="15">
        <v>0</v>
      </c>
      <c r="E11" s="15">
        <f>247074+290236+2376</f>
        <v>539686</v>
      </c>
      <c r="G11" s="15">
        <f>L33-L29</f>
        <v>352080</v>
      </c>
      <c r="I11" s="7"/>
      <c r="J11" s="17"/>
      <c r="K11" s="17"/>
      <c r="L11" s="43"/>
      <c r="M11" s="8"/>
      <c r="O11" s="15">
        <f t="shared" si="0"/>
        <v>46944</v>
      </c>
    </row>
    <row r="12" spans="1:36" x14ac:dyDescent="0.2">
      <c r="A12" s="13" t="s">
        <v>17</v>
      </c>
      <c r="B12" s="14" t="s">
        <v>18</v>
      </c>
      <c r="C12" s="15">
        <v>115211.17</v>
      </c>
      <c r="E12" s="20">
        <f t="shared" ref="E12:E23" si="1">(C12/9)*12*1.2</f>
        <v>184337.87199999997</v>
      </c>
      <c r="G12" s="21">
        <f t="shared" ref="G12:G23" si="2">(E12/$E$30)*$G$30</f>
        <v>47673.587586206893</v>
      </c>
      <c r="I12" s="7" t="s">
        <v>16</v>
      </c>
      <c r="J12" s="17">
        <f>(E12+E13+E14+E15+E16+E17+E18+E20+E21+E22+E23)/E30</f>
        <v>9254.6982068965517</v>
      </c>
      <c r="K12" s="17">
        <f>K29</f>
        <v>15</v>
      </c>
      <c r="L12" s="43">
        <f>J12*K12</f>
        <v>138820.47310344828</v>
      </c>
      <c r="M12" s="8"/>
      <c r="O12" s="15">
        <f t="shared" si="0"/>
        <v>6356.4783448275857</v>
      </c>
    </row>
    <row r="13" spans="1:36" x14ac:dyDescent="0.2">
      <c r="A13" s="13" t="s">
        <v>19</v>
      </c>
      <c r="B13" s="14" t="s">
        <v>20</v>
      </c>
      <c r="C13" s="15">
        <v>158715.85999999999</v>
      </c>
      <c r="E13" s="20">
        <f t="shared" si="1"/>
        <v>253945.37599999999</v>
      </c>
      <c r="G13" s="21">
        <f t="shared" si="2"/>
        <v>65675.52827586206</v>
      </c>
      <c r="I13" s="7"/>
      <c r="J13" s="17"/>
      <c r="K13" s="17"/>
      <c r="L13" s="43"/>
      <c r="M13" s="8"/>
      <c r="O13" s="15">
        <f t="shared" si="0"/>
        <v>8756.7371034482749</v>
      </c>
    </row>
    <row r="14" spans="1:36" ht="13.5" thickBot="1" x14ac:dyDescent="0.25">
      <c r="A14" s="13" t="s">
        <v>22</v>
      </c>
      <c r="B14" s="14" t="s">
        <v>23</v>
      </c>
      <c r="C14" s="15">
        <v>0</v>
      </c>
      <c r="E14" s="20">
        <f t="shared" si="1"/>
        <v>0</v>
      </c>
      <c r="G14" s="21">
        <f t="shared" si="2"/>
        <v>0</v>
      </c>
      <c r="I14" s="22" t="s">
        <v>21</v>
      </c>
      <c r="J14" s="47"/>
      <c r="K14" s="47"/>
      <c r="L14" s="48">
        <f>SUM(L9:L12)</f>
        <v>2251300.4731034483</v>
      </c>
      <c r="M14" s="8"/>
      <c r="O14" s="15">
        <f t="shared" si="0"/>
        <v>0</v>
      </c>
    </row>
    <row r="15" spans="1:36" x14ac:dyDescent="0.2">
      <c r="A15" s="13" t="s">
        <v>24</v>
      </c>
      <c r="B15" s="14" t="s">
        <v>25</v>
      </c>
      <c r="C15" s="15">
        <v>28163.05</v>
      </c>
      <c r="E15" s="20">
        <f t="shared" si="1"/>
        <v>45060.88</v>
      </c>
      <c r="G15" s="21">
        <f t="shared" si="2"/>
        <v>11653.675862068963</v>
      </c>
      <c r="I15" s="8"/>
      <c r="J15" s="17"/>
      <c r="K15" s="17"/>
      <c r="L15" s="17"/>
      <c r="M15" s="75"/>
      <c r="O15" s="15">
        <f t="shared" si="0"/>
        <v>1553.8234482758619</v>
      </c>
    </row>
    <row r="16" spans="1:36" x14ac:dyDescent="0.2">
      <c r="A16" s="13" t="s">
        <v>26</v>
      </c>
      <c r="B16" s="14" t="s">
        <v>27</v>
      </c>
      <c r="C16" s="15">
        <f>'[5]Team Report'!BA34</f>
        <v>0</v>
      </c>
      <c r="E16" s="20">
        <f t="shared" si="1"/>
        <v>0</v>
      </c>
      <c r="G16" s="21">
        <f t="shared" si="2"/>
        <v>0</v>
      </c>
      <c r="I16" s="8"/>
      <c r="J16" s="17"/>
      <c r="K16" s="17"/>
      <c r="L16" s="17"/>
      <c r="M16" s="8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'[5]Team Report'!BA35</f>
        <v>0</v>
      </c>
      <c r="E17" s="20">
        <f t="shared" si="1"/>
        <v>0</v>
      </c>
      <c r="G17" s="21">
        <f t="shared" si="2"/>
        <v>0</v>
      </c>
      <c r="I17" s="8" t="s">
        <v>28</v>
      </c>
      <c r="J17" s="17">
        <v>36000</v>
      </c>
      <c r="K17">
        <v>0</v>
      </c>
      <c r="L17" s="17">
        <f t="shared" ref="L17:L28" si="3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v>1844.33</v>
      </c>
      <c r="E18" s="20">
        <f t="shared" si="1"/>
        <v>2950.9279999999999</v>
      </c>
      <c r="G18" s="21">
        <f t="shared" si="2"/>
        <v>763.1710344827585</v>
      </c>
      <c r="I18" t="s">
        <v>95</v>
      </c>
      <c r="J18" s="17">
        <v>49200</v>
      </c>
      <c r="K18">
        <v>1</v>
      </c>
      <c r="L18" s="17">
        <f t="shared" si="3"/>
        <v>49200</v>
      </c>
      <c r="O18" s="15">
        <f t="shared" si="0"/>
        <v>101.75613793103447</v>
      </c>
    </row>
    <row r="19" spans="1:15" hidden="1" x14ac:dyDescent="0.2">
      <c r="A19" s="13"/>
      <c r="B19" s="14"/>
      <c r="C19" s="15"/>
      <c r="E19" s="20">
        <f t="shared" si="1"/>
        <v>0</v>
      </c>
      <c r="G19" s="21">
        <f t="shared" si="2"/>
        <v>0</v>
      </c>
      <c r="I19" t="s">
        <v>125</v>
      </c>
      <c r="J19" s="17">
        <v>63600</v>
      </c>
      <c r="K19">
        <v>0</v>
      </c>
      <c r="L19" s="17">
        <f t="shared" si="3"/>
        <v>0</v>
      </c>
      <c r="O19" s="15">
        <f t="shared" si="0"/>
        <v>0</v>
      </c>
    </row>
    <row r="20" spans="1:15" x14ac:dyDescent="0.2">
      <c r="A20" s="13" t="s">
        <v>35</v>
      </c>
      <c r="B20" s="14" t="s">
        <v>36</v>
      </c>
      <c r="C20" s="15">
        <v>29491.73</v>
      </c>
      <c r="E20" s="20">
        <f t="shared" si="1"/>
        <v>47186.768000000004</v>
      </c>
      <c r="G20" s="21">
        <f t="shared" si="2"/>
        <v>12203.474482758622</v>
      </c>
      <c r="I20" t="s">
        <v>34</v>
      </c>
      <c r="J20" s="17">
        <v>49200</v>
      </c>
      <c r="K20">
        <v>0</v>
      </c>
      <c r="L20" s="17">
        <f t="shared" si="3"/>
        <v>0</v>
      </c>
      <c r="O20" s="15">
        <f t="shared" si="0"/>
        <v>1627.129931034483</v>
      </c>
    </row>
    <row r="21" spans="1:15" x14ac:dyDescent="0.2">
      <c r="A21" s="13" t="s">
        <v>38</v>
      </c>
      <c r="B21" s="14" t="s">
        <v>39</v>
      </c>
      <c r="C21" s="15">
        <f>'[5]Team Report'!BA38</f>
        <v>0</v>
      </c>
      <c r="E21" s="20">
        <f t="shared" si="1"/>
        <v>0</v>
      </c>
      <c r="G21" s="21">
        <f t="shared" si="2"/>
        <v>0</v>
      </c>
      <c r="I21" t="s">
        <v>96</v>
      </c>
      <c r="J21" s="17">
        <v>57600</v>
      </c>
      <c r="K21">
        <v>1</v>
      </c>
      <c r="L21" s="17">
        <f t="shared" si="3"/>
        <v>57600</v>
      </c>
      <c r="O21" s="15">
        <f t="shared" si="0"/>
        <v>0</v>
      </c>
    </row>
    <row r="22" spans="1:15" x14ac:dyDescent="0.2">
      <c r="A22" s="13" t="s">
        <v>41</v>
      </c>
      <c r="B22" s="14" t="s">
        <v>42</v>
      </c>
      <c r="C22" s="15">
        <v>2056.67</v>
      </c>
      <c r="E22" s="20">
        <f t="shared" si="1"/>
        <v>3290.672</v>
      </c>
      <c r="G22" s="21">
        <f t="shared" si="2"/>
        <v>851.03586206896557</v>
      </c>
      <c r="I22" t="s">
        <v>37</v>
      </c>
      <c r="J22" s="17">
        <v>66000</v>
      </c>
      <c r="K22">
        <v>1</v>
      </c>
      <c r="L22" s="17">
        <f t="shared" si="3"/>
        <v>66000</v>
      </c>
      <c r="O22" s="15">
        <f t="shared" si="0"/>
        <v>113.47144827586207</v>
      </c>
    </row>
    <row r="23" spans="1:15" x14ac:dyDescent="0.2">
      <c r="A23" s="13" t="s">
        <v>44</v>
      </c>
      <c r="B23" s="14" t="s">
        <v>45</v>
      </c>
      <c r="C23" s="15">
        <v>0</v>
      </c>
      <c r="E23" s="15">
        <f t="shared" si="1"/>
        <v>0</v>
      </c>
      <c r="G23" s="21">
        <f t="shared" si="2"/>
        <v>0</v>
      </c>
      <c r="I23" t="s">
        <v>110</v>
      </c>
      <c r="J23" s="17">
        <v>84000</v>
      </c>
      <c r="K23">
        <v>2</v>
      </c>
      <c r="L23" s="17">
        <f t="shared" si="3"/>
        <v>168000</v>
      </c>
      <c r="O23" s="15">
        <f t="shared" si="0"/>
        <v>0</v>
      </c>
    </row>
    <row r="24" spans="1:15" x14ac:dyDescent="0.2">
      <c r="A24" s="26" t="s">
        <v>47</v>
      </c>
      <c r="B24" s="27" t="s">
        <v>48</v>
      </c>
      <c r="C24" s="28">
        <f>SUM(C8:C23)</f>
        <v>335482.80999999994</v>
      </c>
      <c r="E24" s="28">
        <f>SUM(E8:E23)</f>
        <v>3702451.4959999998</v>
      </c>
      <c r="G24" s="28">
        <f>SUM(G8:G23)</f>
        <v>2251300.4731034478</v>
      </c>
      <c r="I24" t="s">
        <v>98</v>
      </c>
      <c r="J24" s="17">
        <v>105600</v>
      </c>
      <c r="K24">
        <v>5</v>
      </c>
      <c r="L24" s="17">
        <f t="shared" si="3"/>
        <v>528000</v>
      </c>
      <c r="O24" s="28">
        <f>SUM(O8:O23)</f>
        <v>300173.39641379303</v>
      </c>
    </row>
    <row r="25" spans="1:15" x14ac:dyDescent="0.2">
      <c r="I25" t="s">
        <v>99</v>
      </c>
      <c r="J25" s="17">
        <v>156000</v>
      </c>
      <c r="K25">
        <v>2</v>
      </c>
      <c r="L25" s="17">
        <f t="shared" si="3"/>
        <v>312000</v>
      </c>
    </row>
    <row r="26" spans="1:15" x14ac:dyDescent="0.2">
      <c r="B26" s="27" t="s">
        <v>51</v>
      </c>
      <c r="C26" s="55"/>
      <c r="E26" s="55">
        <v>58</v>
      </c>
      <c r="G26" s="55">
        <f>SUM(K17:K20,K22:K28)</f>
        <v>14</v>
      </c>
      <c r="I26" t="s">
        <v>100</v>
      </c>
      <c r="J26" s="17">
        <v>184800</v>
      </c>
      <c r="K26">
        <v>2</v>
      </c>
      <c r="L26" s="17">
        <f t="shared" si="3"/>
        <v>369600</v>
      </c>
      <c r="O26" s="55">
        <v>1</v>
      </c>
    </row>
    <row r="27" spans="1:15" x14ac:dyDescent="0.2">
      <c r="I27" t="s">
        <v>101</v>
      </c>
      <c r="J27" s="17">
        <v>210000</v>
      </c>
      <c r="K27">
        <v>1</v>
      </c>
      <c r="L27" s="17">
        <f t="shared" si="3"/>
        <v>210000</v>
      </c>
    </row>
    <row r="28" spans="1:15" x14ac:dyDescent="0.2">
      <c r="B28" s="27" t="s">
        <v>69</v>
      </c>
      <c r="C28" s="55"/>
      <c r="E28" s="55">
        <v>0</v>
      </c>
      <c r="G28" s="55">
        <f>SUM(K21)</f>
        <v>1</v>
      </c>
      <c r="I28" t="s">
        <v>126</v>
      </c>
      <c r="J28" s="17">
        <v>476400</v>
      </c>
      <c r="K28">
        <v>0</v>
      </c>
      <c r="L28" s="17">
        <f t="shared" si="3"/>
        <v>0</v>
      </c>
      <c r="O28" s="55">
        <v>1</v>
      </c>
    </row>
    <row r="29" spans="1:15" x14ac:dyDescent="0.2">
      <c r="K29" s="25">
        <f>SUM(K17:K28)</f>
        <v>15</v>
      </c>
      <c r="L29" s="25">
        <f>SUM(L17:L28)</f>
        <v>1760400</v>
      </c>
    </row>
    <row r="30" spans="1:15" x14ac:dyDescent="0.2">
      <c r="B30" s="27" t="s">
        <v>56</v>
      </c>
      <c r="C30" s="55"/>
      <c r="E30" s="55">
        <f>SUM(E26:E29)</f>
        <v>58</v>
      </c>
      <c r="G30" s="55">
        <f>SUM(G26:G29)</f>
        <v>15</v>
      </c>
      <c r="O30" s="55">
        <f>SUM(O26:O29)</f>
        <v>2</v>
      </c>
    </row>
    <row r="31" spans="1:15" x14ac:dyDescent="0.2">
      <c r="B31" s="27"/>
      <c r="I31" t="s">
        <v>104</v>
      </c>
      <c r="K31" s="52"/>
      <c r="L31" s="52">
        <v>0.2</v>
      </c>
    </row>
    <row r="32" spans="1:15" hidden="1" x14ac:dyDescent="0.2">
      <c r="A32" s="13" t="s">
        <v>73</v>
      </c>
      <c r="B32" s="14" t="s">
        <v>74</v>
      </c>
      <c r="C32" s="15">
        <f>'[5]Team Report'!BA29</f>
        <v>0</v>
      </c>
      <c r="E32" s="15">
        <f t="shared" ref="E32:E39" si="4">(C32/9)*12</f>
        <v>0</v>
      </c>
    </row>
    <row r="33" spans="1:13" hidden="1" x14ac:dyDescent="0.2">
      <c r="A33" s="13" t="s">
        <v>75</v>
      </c>
      <c r="B33" s="14" t="s">
        <v>76</v>
      </c>
      <c r="C33" s="15">
        <f>'[5]Team Report'!BA30</f>
        <v>0</v>
      </c>
      <c r="E33" s="15">
        <f t="shared" si="4"/>
        <v>0</v>
      </c>
      <c r="L33" s="25">
        <f>L29*1.2</f>
        <v>2112480</v>
      </c>
    </row>
    <row r="34" spans="1:13" hidden="1" x14ac:dyDescent="0.2">
      <c r="A34" s="13" t="s">
        <v>77</v>
      </c>
      <c r="B34" s="14" t="s">
        <v>78</v>
      </c>
      <c r="C34" s="15">
        <f>'[5]Team Report'!BA31</f>
        <v>0</v>
      </c>
      <c r="E34" s="15">
        <f t="shared" si="4"/>
        <v>0</v>
      </c>
    </row>
    <row r="35" spans="1:13" hidden="1" x14ac:dyDescent="0.2">
      <c r="A35" s="13" t="s">
        <v>79</v>
      </c>
      <c r="B35" s="14" t="s">
        <v>80</v>
      </c>
      <c r="C35" s="15">
        <f>'[5]Team Report'!BA39</f>
        <v>0</v>
      </c>
      <c r="E35" s="15">
        <f t="shared" si="4"/>
        <v>0</v>
      </c>
    </row>
    <row r="36" spans="1:13" hidden="1" x14ac:dyDescent="0.2">
      <c r="A36" s="13" t="s">
        <v>81</v>
      </c>
      <c r="B36" s="14" t="s">
        <v>82</v>
      </c>
      <c r="C36" s="15">
        <f>'[5]Team Report'!BA40</f>
        <v>24670.390000000003</v>
      </c>
      <c r="E36" s="15">
        <f t="shared" si="4"/>
        <v>32893.85333333334</v>
      </c>
    </row>
    <row r="37" spans="1:13" hidden="1" x14ac:dyDescent="0.2">
      <c r="A37" s="13" t="s">
        <v>83</v>
      </c>
      <c r="B37" s="14" t="s">
        <v>84</v>
      </c>
      <c r="C37" s="15">
        <f>'[5]Team Report'!BA41</f>
        <v>481045.43000000005</v>
      </c>
      <c r="E37" s="15">
        <f t="shared" si="4"/>
        <v>641393.90666666673</v>
      </c>
      <c r="H37" s="33" t="s">
        <v>57</v>
      </c>
      <c r="I37" s="25"/>
      <c r="L37"/>
    </row>
    <row r="38" spans="1:13" hidden="1" x14ac:dyDescent="0.2">
      <c r="A38" s="13" t="s">
        <v>85</v>
      </c>
      <c r="B38" s="14" t="s">
        <v>86</v>
      </c>
      <c r="C38" s="15">
        <f>'[5]Team Report'!BA43</f>
        <v>-771915.88</v>
      </c>
      <c r="E38" s="15">
        <f t="shared" si="4"/>
        <v>-1029221.1733333333</v>
      </c>
      <c r="I38" s="25"/>
      <c r="L38"/>
    </row>
    <row r="39" spans="1:13" hidden="1" x14ac:dyDescent="0.2">
      <c r="A39" s="13" t="s">
        <v>87</v>
      </c>
      <c r="B39" s="14" t="s">
        <v>88</v>
      </c>
      <c r="C39" s="15">
        <f>'[5]Team Report'!BA45</f>
        <v>0</v>
      </c>
      <c r="E39" s="15">
        <f t="shared" si="4"/>
        <v>0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3" hidden="1" x14ac:dyDescent="0.2">
      <c r="A40" s="13"/>
      <c r="B40" s="14"/>
      <c r="C40" s="15"/>
      <c r="E40" s="15"/>
      <c r="H40" s="36">
        <f>SUM(E12:E22)</f>
        <v>536772.49600000004</v>
      </c>
      <c r="I40" s="56">
        <f>+E30</f>
        <v>58</v>
      </c>
      <c r="J40" s="37">
        <f>+H40/I40</f>
        <v>9254.6982068965517</v>
      </c>
      <c r="K40" s="37">
        <f>+K12</f>
        <v>15</v>
      </c>
      <c r="L40" s="37">
        <f>+J40*K40</f>
        <v>138820.47310344828</v>
      </c>
      <c r="M40" s="25"/>
    </row>
    <row r="41" spans="1:13" hidden="1" x14ac:dyDescent="0.2"/>
    <row r="42" spans="1:13" hidden="1" x14ac:dyDescent="0.2"/>
    <row r="43" spans="1:13" hidden="1" x14ac:dyDescent="0.2"/>
    <row r="45" spans="1:13" x14ac:dyDescent="0.2">
      <c r="C45" s="54">
        <f>C24+C32+C33+C34+C35+C36+C37+C38+C39</f>
        <v>69282.75</v>
      </c>
    </row>
  </sheetData>
  <mergeCells count="4">
    <mergeCell ref="I4:L4"/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scale="110" orientation="portrait" verticalDpi="196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O53"/>
  <sheetViews>
    <sheetView topLeftCell="A4" zoomScaleNormal="100" workbookViewId="0">
      <selection activeCell="K27" sqref="K2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2" customWidth="1"/>
    <col min="7" max="7" width="12.7109375" customWidth="1"/>
    <col min="8" max="8" width="1.7109375" customWidth="1"/>
    <col min="9" max="9" width="20.7109375" customWidth="1"/>
    <col min="10" max="10" width="10.42578125" style="25" customWidth="1"/>
    <col min="11" max="11" width="10.85546875" style="25" customWidth="1"/>
    <col min="12" max="12" width="11.42578125" style="25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tr">
        <f>'[8]Pull Sheet'!E9</f>
        <v>Research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3.5" thickBot="1" x14ac:dyDescent="0.25"/>
    <row r="5" spans="1:41" x14ac:dyDescent="0.2">
      <c r="I5" s="4"/>
      <c r="J5" s="40"/>
      <c r="K5" s="40"/>
      <c r="L5" s="41"/>
    </row>
    <row r="6" spans="1:41" x14ac:dyDescent="0.2">
      <c r="C6" s="10">
        <v>37135</v>
      </c>
      <c r="E6" s="44" t="s">
        <v>63</v>
      </c>
      <c r="F6" s="44" t="s">
        <v>65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L29</f>
        <v>336000</v>
      </c>
      <c r="I8" s="7"/>
      <c r="J8" s="17"/>
      <c r="K8" s="17"/>
      <c r="L8" s="43"/>
      <c r="O8" s="15">
        <f>+F8/$F$29*$O$29</f>
        <v>168000</v>
      </c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2</v>
      </c>
      <c r="L9" s="43">
        <f>L33</f>
        <v>403200</v>
      </c>
      <c r="O9" s="15">
        <f t="shared" ref="O9:O22" si="0">+F9/$F$29*$O$29</f>
        <v>0</v>
      </c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L33-L29</f>
        <v>67200</v>
      </c>
      <c r="I11" s="7"/>
      <c r="J11" s="17"/>
      <c r="K11" s="17"/>
      <c r="L11" s="43"/>
      <c r="O11" s="15">
        <f t="shared" si="0"/>
        <v>33600</v>
      </c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2" si="1">(E12/$E$29)*$F$29</f>
        <v>11359.655836734693</v>
      </c>
      <c r="I12" s="7" t="s">
        <v>16</v>
      </c>
      <c r="J12" s="17">
        <f>(E12+E13+E14+E15+E16+E17+E18+E19+E20+E21+E22)/E29</f>
        <v>33269.805387755099</v>
      </c>
      <c r="K12" s="17">
        <f>K29</f>
        <v>2</v>
      </c>
      <c r="L12" s="43">
        <f>J12*K12</f>
        <v>66539.610775510198</v>
      </c>
      <c r="O12" s="15">
        <f t="shared" si="0"/>
        <v>5679.8279183673467</v>
      </c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19198.219102040817</v>
      </c>
      <c r="I13" s="7"/>
      <c r="J13" s="17"/>
      <c r="K13" s="17"/>
      <c r="L13" s="43"/>
      <c r="O13" s="15">
        <f t="shared" si="0"/>
        <v>9599.1095510204086</v>
      </c>
    </row>
    <row r="14" spans="1:41" ht="13.5" thickBot="1" x14ac:dyDescent="0.25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4406.9583673469388</v>
      </c>
      <c r="I14" s="22" t="s">
        <v>21</v>
      </c>
      <c r="J14" s="47"/>
      <c r="K14" s="47"/>
      <c r="L14" s="48">
        <f>SUM(L9:L12)</f>
        <v>469739.6107755102</v>
      </c>
      <c r="N14">
        <v>1699109</v>
      </c>
      <c r="O14" s="15">
        <f t="shared" si="0"/>
        <v>2203.4791836734694</v>
      </c>
      <c r="P14" s="49">
        <f>N14-L14</f>
        <v>1229369.3892244897</v>
      </c>
    </row>
    <row r="15" spans="1:41" x14ac:dyDescent="0.2">
      <c r="A15" s="13" t="s">
        <v>24</v>
      </c>
      <c r="B15" s="14" t="s">
        <v>25</v>
      </c>
      <c r="C15" s="15">
        <f>'[8]Team Report'!BA33</f>
        <v>48511.92</v>
      </c>
      <c r="E15" s="20">
        <f>((C15/9)*12)*1.2</f>
        <v>77619.072</v>
      </c>
      <c r="F15" s="21">
        <f t="shared" si="1"/>
        <v>3168.1253877551021</v>
      </c>
      <c r="I15" s="8"/>
      <c r="J15" s="17"/>
      <c r="K15" s="17"/>
      <c r="L15" s="17"/>
      <c r="O15" s="15">
        <f t="shared" si="0"/>
        <v>1584.0626938775511</v>
      </c>
    </row>
    <row r="16" spans="1:41" x14ac:dyDescent="0.2">
      <c r="A16" s="13" t="s">
        <v>26</v>
      </c>
      <c r="B16" s="14" t="s">
        <v>27</v>
      </c>
      <c r="C16" s="15">
        <f>'[8]Team Report'!BA34</f>
        <v>0</v>
      </c>
      <c r="E16" s="20">
        <f>(C16/9)*12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'[8]Team Report'!BA35</f>
        <v>2500</v>
      </c>
      <c r="E17" s="20">
        <f>((C17/9)*12)*1.2</f>
        <v>3999.9999999999995</v>
      </c>
      <c r="F17" s="21">
        <f t="shared" si="1"/>
        <v>163.26530612244895</v>
      </c>
      <c r="I17" s="8" t="s">
        <v>28</v>
      </c>
      <c r="J17" s="17">
        <f>30000*1.2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81.632653061224474</v>
      </c>
    </row>
    <row r="18" spans="1:15" x14ac:dyDescent="0.2">
      <c r="A18" s="13" t="s">
        <v>32</v>
      </c>
      <c r="B18" s="14" t="s">
        <v>33</v>
      </c>
      <c r="C18" s="15">
        <f>'[8]Team Report'!BA36</f>
        <v>0</v>
      </c>
      <c r="E18" s="20">
        <f>(C18/9)*12</f>
        <v>0</v>
      </c>
      <c r="F18" s="21">
        <f t="shared" si="1"/>
        <v>0</v>
      </c>
      <c r="I18" t="s">
        <v>95</v>
      </c>
      <c r="J18" s="17">
        <v>48000</v>
      </c>
      <c r="K18" s="17">
        <v>0</v>
      </c>
      <c r="L18" s="17">
        <f t="shared" si="2"/>
        <v>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'[8]Team Report'!BA37</f>
        <v>129576.91999999998</v>
      </c>
      <c r="E19" s="20">
        <f>((C19/9)*12)*1.2</f>
        <v>207323.07199999999</v>
      </c>
      <c r="F19" s="21">
        <f t="shared" si="1"/>
        <v>8462.1662040816318</v>
      </c>
      <c r="I19" t="s">
        <v>34</v>
      </c>
      <c r="J19" s="17">
        <v>49200</v>
      </c>
      <c r="K19" s="17">
        <v>0</v>
      </c>
      <c r="L19" s="17">
        <f t="shared" si="2"/>
        <v>0</v>
      </c>
      <c r="O19" s="15">
        <f t="shared" si="0"/>
        <v>4231.0831020408159</v>
      </c>
    </row>
    <row r="20" spans="1:15" x14ac:dyDescent="0.2">
      <c r="A20" s="13" t="s">
        <v>38</v>
      </c>
      <c r="B20" s="14" t="s">
        <v>39</v>
      </c>
      <c r="C20" s="15">
        <f>'[8]Team Report'!BA38</f>
        <v>10.029999999999999</v>
      </c>
      <c r="E20" s="20">
        <f>((C20/9)*12)*1.2</f>
        <v>16.047999999999998</v>
      </c>
      <c r="F20" s="21">
        <f t="shared" si="1"/>
        <v>0.65502040816326523</v>
      </c>
      <c r="I20" t="s">
        <v>96</v>
      </c>
      <c r="J20" s="17">
        <v>57600</v>
      </c>
      <c r="K20" s="17">
        <v>0</v>
      </c>
      <c r="L20" s="17">
        <f t="shared" si="2"/>
        <v>0</v>
      </c>
      <c r="O20" s="15">
        <f t="shared" si="0"/>
        <v>0.32751020408163262</v>
      </c>
    </row>
    <row r="21" spans="1:15" x14ac:dyDescent="0.2">
      <c r="A21" s="13" t="s">
        <v>41</v>
      </c>
      <c r="B21" s="14" t="s">
        <v>42</v>
      </c>
      <c r="C21" s="15">
        <f>'[8]Team Report'!BA42</f>
        <v>302115.48</v>
      </c>
      <c r="E21" s="20">
        <f>((C21/9)*12)*1.2</f>
        <v>483384.76799999998</v>
      </c>
      <c r="F21" s="21">
        <f t="shared" si="1"/>
        <v>19729.990530612245</v>
      </c>
      <c r="I21" t="s">
        <v>46</v>
      </c>
      <c r="J21" s="17">
        <v>72000</v>
      </c>
      <c r="K21" s="25">
        <v>0</v>
      </c>
      <c r="L21" s="17">
        <f t="shared" si="2"/>
        <v>0</v>
      </c>
      <c r="O21" s="15">
        <f t="shared" si="0"/>
        <v>9864.9952653061227</v>
      </c>
    </row>
    <row r="22" spans="1:15" x14ac:dyDescent="0.2">
      <c r="A22" s="13" t="s">
        <v>44</v>
      </c>
      <c r="B22" s="14" t="s">
        <v>45</v>
      </c>
      <c r="C22" s="15">
        <f>'[8]Team Report'!BA44</f>
        <v>774.43</v>
      </c>
      <c r="E22" s="20">
        <f>((C22/9)*12)*1.2</f>
        <v>1239.088</v>
      </c>
      <c r="F22" s="21">
        <f t="shared" si="1"/>
        <v>50.575020408163262</v>
      </c>
      <c r="I22" t="s">
        <v>37</v>
      </c>
      <c r="J22" s="17">
        <v>62400</v>
      </c>
      <c r="K22" s="17">
        <v>0</v>
      </c>
      <c r="L22" s="17">
        <f t="shared" si="2"/>
        <v>0</v>
      </c>
      <c r="O22" s="15">
        <f t="shared" si="0"/>
        <v>25.287510204081631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5422206.8300000001</v>
      </c>
      <c r="E23" s="28">
        <f>SUM(E8:E22)</f>
        <v>8675530.9279999994</v>
      </c>
      <c r="F23" s="28">
        <f>SUM(F8:F22)</f>
        <v>469739.61077551014</v>
      </c>
      <c r="I23" t="s">
        <v>97</v>
      </c>
      <c r="J23" s="17">
        <v>74400</v>
      </c>
      <c r="K23" s="17">
        <v>0</v>
      </c>
      <c r="L23" s="17">
        <f t="shared" si="2"/>
        <v>0</v>
      </c>
      <c r="O23" s="58">
        <f>SUM(O8:O22)</f>
        <v>234869.80538775507</v>
      </c>
    </row>
    <row r="24" spans="1:15" x14ac:dyDescent="0.2">
      <c r="I24" t="s">
        <v>98</v>
      </c>
      <c r="J24" s="17">
        <v>90000</v>
      </c>
      <c r="K24" s="17">
        <v>0</v>
      </c>
      <c r="L24" s="17">
        <f t="shared" si="2"/>
        <v>0</v>
      </c>
    </row>
    <row r="25" spans="1:15" x14ac:dyDescent="0.2">
      <c r="B25" s="27" t="s">
        <v>51</v>
      </c>
      <c r="C25" s="15"/>
      <c r="E25" s="31">
        <v>44</v>
      </c>
      <c r="F25" s="31">
        <f>+K29</f>
        <v>2</v>
      </c>
      <c r="I25" t="s">
        <v>99</v>
      </c>
      <c r="J25" s="17"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17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0</v>
      </c>
      <c r="I27" t="s">
        <v>101</v>
      </c>
      <c r="J27" s="17">
        <v>216000</v>
      </c>
      <c r="K27" s="17">
        <v>1</v>
      </c>
      <c r="L27" s="17">
        <f t="shared" si="2"/>
        <v>216000</v>
      </c>
      <c r="O27" s="31">
        <f>SUM(U21:U22)</f>
        <v>0</v>
      </c>
    </row>
    <row r="28" spans="1:15" x14ac:dyDescent="0.2">
      <c r="I28" t="s">
        <v>102</v>
      </c>
      <c r="J28" s="17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49</v>
      </c>
      <c r="F29" s="31">
        <f>+F27+F25</f>
        <v>2</v>
      </c>
      <c r="G29" s="25"/>
      <c r="K29" s="25">
        <f>SUM(K17:K28)</f>
        <v>2</v>
      </c>
      <c r="L29" s="17">
        <f>SUM(L17:L28)</f>
        <v>336000</v>
      </c>
      <c r="O29" s="31">
        <v>1</v>
      </c>
    </row>
    <row r="30" spans="1:15" hidden="1" x14ac:dyDescent="0.2"/>
    <row r="31" spans="1:15" hidden="1" x14ac:dyDescent="0.2">
      <c r="A31" s="13" t="s">
        <v>73</v>
      </c>
      <c r="B31" s="14" t="s">
        <v>74</v>
      </c>
      <c r="C31" s="15">
        <f>'[8]Team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'[8]Team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'[8]Team Report'!BA31</f>
        <v>0</v>
      </c>
      <c r="E33" s="15">
        <f t="shared" si="3"/>
        <v>0</v>
      </c>
      <c r="L33" s="25">
        <f>L29*1.2</f>
        <v>403200</v>
      </c>
    </row>
    <row r="34" spans="1:12" hidden="1" x14ac:dyDescent="0.2">
      <c r="A34" s="13" t="s">
        <v>79</v>
      </c>
      <c r="B34" s="14" t="s">
        <v>80</v>
      </c>
      <c r="C34" s="15">
        <f>'[8]Team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'[8]Team Report'!BA40</f>
        <v>147341.90000000002</v>
      </c>
      <c r="E35" s="15">
        <f t="shared" si="3"/>
        <v>196455.8666666667</v>
      </c>
    </row>
    <row r="36" spans="1:12" hidden="1" x14ac:dyDescent="0.2">
      <c r="A36" s="13" t="s">
        <v>83</v>
      </c>
      <c r="B36" s="14" t="s">
        <v>84</v>
      </c>
      <c r="C36" s="15">
        <f>'[8]Team Report'!BA41</f>
        <v>285701.8</v>
      </c>
      <c r="E36" s="15">
        <f t="shared" si="3"/>
        <v>380935.73333333328</v>
      </c>
    </row>
    <row r="37" spans="1:12" hidden="1" x14ac:dyDescent="0.2">
      <c r="A37" s="13" t="s">
        <v>85</v>
      </c>
      <c r="B37" s="14" t="s">
        <v>86</v>
      </c>
      <c r="C37" s="15">
        <f>'[8]Team Report'!BA43</f>
        <v>-4445984</v>
      </c>
      <c r="E37" s="15">
        <f t="shared" si="3"/>
        <v>-5927978.666666667</v>
      </c>
      <c r="G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'[8]Team Report'!BA45</f>
        <v>1176.06</v>
      </c>
      <c r="E38" s="15">
        <f t="shared" si="3"/>
        <v>1568.08</v>
      </c>
      <c r="I38" s="25"/>
      <c r="L38"/>
    </row>
    <row r="39" spans="1:12" hidden="1" x14ac:dyDescent="0.2"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C40" s="54">
        <f>C23+C31+C32+C33+C34+C35+C36+C37+C38</f>
        <v>1410442.5900000003</v>
      </c>
      <c r="G40" s="36">
        <f>SUM(E12:E22)</f>
        <v>1630220.4639999999</v>
      </c>
      <c r="I40" s="56">
        <f>+E29</f>
        <v>49</v>
      </c>
      <c r="J40" s="37">
        <f>+G40/I40</f>
        <v>33269.805387755099</v>
      </c>
      <c r="K40" s="56">
        <f>+K12</f>
        <v>2</v>
      </c>
      <c r="L40" s="37">
        <f>+J40*K40</f>
        <v>66539.610775510198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56"/>
  <sheetViews>
    <sheetView tabSelected="1" zoomScaleNormal="100" workbookViewId="0">
      <selection activeCell="S29" sqref="S29"/>
    </sheetView>
  </sheetViews>
  <sheetFormatPr defaultRowHeight="12.75" x14ac:dyDescent="0.2"/>
  <cols>
    <col min="2" max="2" width="26" customWidth="1"/>
    <col min="3" max="3" width="19.140625" customWidth="1"/>
    <col min="4" max="4" width="2.5703125" customWidth="1"/>
    <col min="5" max="6" width="13.85546875" customWidth="1"/>
    <col min="7" max="7" width="12.7109375" customWidth="1"/>
    <col min="8" max="8" width="1.7109375" customWidth="1"/>
    <col min="9" max="9" width="20.7109375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0" hidden="1" customWidth="1"/>
  </cols>
  <sheetData>
    <row r="1" spans="1:41" ht="18" x14ac:dyDescent="0.25">
      <c r="B1" s="125" t="str">
        <f>'[8]Team Report'!B1</f>
        <v>Enron North America</v>
      </c>
      <c r="C1" s="125"/>
      <c r="D1" s="125"/>
      <c r="E1" s="125"/>
      <c r="F1" s="125"/>
      <c r="G1" s="1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8" x14ac:dyDescent="0.25">
      <c r="B2" s="125" t="s">
        <v>248</v>
      </c>
      <c r="C2" s="125"/>
      <c r="D2" s="125"/>
      <c r="E2" s="125"/>
      <c r="F2" s="125"/>
      <c r="G2" s="1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5" spans="1:41" x14ac:dyDescent="0.2">
      <c r="I5" s="15"/>
      <c r="J5" s="15"/>
      <c r="K5" s="15"/>
      <c r="L5" s="15"/>
      <c r="M5" s="15"/>
      <c r="N5" s="15"/>
      <c r="O5" s="15"/>
      <c r="P5" s="15"/>
    </row>
    <row r="6" spans="1:41" x14ac:dyDescent="0.2">
      <c r="C6" s="10">
        <v>37135</v>
      </c>
      <c r="E6" s="44" t="s">
        <v>63</v>
      </c>
      <c r="F6" s="44" t="s">
        <v>65</v>
      </c>
      <c r="I6" s="15"/>
      <c r="J6" s="15" t="s">
        <v>2</v>
      </c>
      <c r="K6" s="15" t="s">
        <v>3</v>
      </c>
      <c r="L6" s="15" t="s">
        <v>109</v>
      </c>
      <c r="M6" s="15"/>
      <c r="N6" s="15"/>
      <c r="O6" s="15" t="s">
        <v>65</v>
      </c>
      <c r="P6" s="15"/>
    </row>
    <row r="7" spans="1:41" x14ac:dyDescent="0.2">
      <c r="C7" s="12" t="s">
        <v>6</v>
      </c>
      <c r="E7" s="12" t="s">
        <v>7</v>
      </c>
      <c r="F7" s="12" t="s">
        <v>8</v>
      </c>
      <c r="G7" s="33"/>
      <c r="I7" s="15"/>
      <c r="J7" s="15"/>
      <c r="K7" s="15"/>
      <c r="L7" s="15"/>
      <c r="M7" s="15"/>
      <c r="N7" s="15"/>
      <c r="O7" s="15" t="s">
        <v>8</v>
      </c>
      <c r="P7" s="15"/>
    </row>
    <row r="8" spans="1:41" x14ac:dyDescent="0.2">
      <c r="A8" s="13" t="s">
        <v>10</v>
      </c>
      <c r="B8" s="14" t="s">
        <v>11</v>
      </c>
      <c r="C8" s="15">
        <f>'[8]Team Report'!BA25</f>
        <v>3640949.9</v>
      </c>
      <c r="E8" s="15">
        <f>((C8/9)*12)*1.2</f>
        <v>5825519.8399999989</v>
      </c>
      <c r="F8" s="15">
        <f>L30</f>
        <v>1952400</v>
      </c>
      <c r="I8" s="15"/>
      <c r="J8" s="15"/>
      <c r="K8" s="15"/>
      <c r="L8" s="15"/>
      <c r="M8" s="15"/>
      <c r="N8" s="15"/>
      <c r="O8" s="15">
        <f>+F8/$F$30*$O$30</f>
        <v>177490.90909090909</v>
      </c>
      <c r="P8" s="15"/>
    </row>
    <row r="9" spans="1:41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15" t="s">
        <v>11</v>
      </c>
      <c r="J9" s="15">
        <v>0</v>
      </c>
      <c r="K9" s="15">
        <f>K30</f>
        <v>11</v>
      </c>
      <c r="L9" s="15">
        <f>L34</f>
        <v>2342880</v>
      </c>
      <c r="M9" s="15"/>
      <c r="N9" s="15"/>
      <c r="O9" s="15">
        <f t="shared" ref="O9:O23" si="0">+F9/$F$30*$O$30</f>
        <v>0</v>
      </c>
      <c r="P9" s="15"/>
    </row>
    <row r="10" spans="1:4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15"/>
      <c r="J10" s="15"/>
      <c r="K10" s="15"/>
      <c r="L10" s="15"/>
      <c r="M10" s="15"/>
      <c r="N10" s="15"/>
      <c r="O10" s="15">
        <f t="shared" si="0"/>
        <v>0</v>
      </c>
      <c r="P10" s="15"/>
    </row>
    <row r="11" spans="1:41" x14ac:dyDescent="0.2">
      <c r="A11" s="13" t="s">
        <v>14</v>
      </c>
      <c r="B11" s="14" t="s">
        <v>15</v>
      </c>
      <c r="C11" s="15">
        <f>'[8]Team Report'!BA26</f>
        <v>762369.14000000013</v>
      </c>
      <c r="E11" s="15">
        <f>((C11/9)*12)*1.2</f>
        <v>1219790.6240000003</v>
      </c>
      <c r="F11" s="15">
        <f>L34-L30</f>
        <v>390480</v>
      </c>
      <c r="I11" s="15"/>
      <c r="J11" s="15"/>
      <c r="K11" s="15"/>
      <c r="L11" s="15"/>
      <c r="M11" s="15"/>
      <c r="N11" s="15"/>
      <c r="O11" s="15">
        <f t="shared" si="0"/>
        <v>35498.181818181816</v>
      </c>
      <c r="P11" s="15"/>
    </row>
    <row r="12" spans="1:41" x14ac:dyDescent="0.2">
      <c r="A12" s="13" t="s">
        <v>17</v>
      </c>
      <c r="B12" s="14" t="s">
        <v>18</v>
      </c>
      <c r="C12" s="15">
        <f>'[8]Team Report'!BA27</f>
        <v>173944.72999999998</v>
      </c>
      <c r="E12" s="20">
        <f>((C12/9)*12)*1.2</f>
        <v>278311.56799999997</v>
      </c>
      <c r="F12" s="21">
        <f t="shared" ref="F12:F23" si="1">(E12/$E$30)*$F$30</f>
        <v>62478.107102040813</v>
      </c>
      <c r="I12" s="15" t="s">
        <v>16</v>
      </c>
      <c r="J12" s="15">
        <f>(E12+E13+E14+E16+E17+E18+E19+E20+E21+E22+E23)/E30</f>
        <v>33269.805387755099</v>
      </c>
      <c r="K12" s="15">
        <f>K30</f>
        <v>11</v>
      </c>
      <c r="L12" s="15">
        <f>J12*K12</f>
        <v>365967.85926530609</v>
      </c>
      <c r="M12" s="15"/>
      <c r="N12" s="15"/>
      <c r="O12" s="15">
        <f t="shared" si="0"/>
        <v>5679.8279183673467</v>
      </c>
      <c r="P12" s="15"/>
    </row>
    <row r="13" spans="1:41" x14ac:dyDescent="0.2">
      <c r="A13" s="13" t="s">
        <v>19</v>
      </c>
      <c r="B13" s="14" t="s">
        <v>20</v>
      </c>
      <c r="C13" s="15">
        <f>'[8]Team Report'!BA28</f>
        <v>293972.73</v>
      </c>
      <c r="E13" s="20">
        <f>((C13/9)*12)*1.2</f>
        <v>470356.36800000002</v>
      </c>
      <c r="F13" s="21">
        <f t="shared" si="1"/>
        <v>105590.20506122449</v>
      </c>
      <c r="I13" s="15"/>
      <c r="J13" s="15"/>
      <c r="K13" s="15"/>
      <c r="L13" s="15"/>
      <c r="M13" s="15"/>
      <c r="N13" s="15"/>
      <c r="O13" s="15">
        <f t="shared" si="0"/>
        <v>9599.1095510204086</v>
      </c>
      <c r="P13" s="15"/>
    </row>
    <row r="14" spans="1:41" x14ac:dyDescent="0.2">
      <c r="A14" s="13" t="s">
        <v>22</v>
      </c>
      <c r="B14" s="14" t="s">
        <v>23</v>
      </c>
      <c r="C14" s="15">
        <f>'[8]Team Report'!BA32</f>
        <v>67481.55</v>
      </c>
      <c r="E14" s="20">
        <f>((C14/9)*12)*1.2</f>
        <v>107970.48000000001</v>
      </c>
      <c r="F14" s="21">
        <f t="shared" si="1"/>
        <v>24238.271020408163</v>
      </c>
      <c r="I14" s="15" t="s">
        <v>21</v>
      </c>
      <c r="J14" s="15"/>
      <c r="K14" s="15"/>
      <c r="L14" s="15">
        <f>SUM(L9:L12)</f>
        <v>2708847.859265306</v>
      </c>
      <c r="M14" s="15"/>
      <c r="N14" s="15">
        <v>1699109</v>
      </c>
      <c r="O14" s="15">
        <f t="shared" si="0"/>
        <v>2203.4791836734694</v>
      </c>
      <c r="P14" s="15"/>
    </row>
    <row r="15" spans="1:41" x14ac:dyDescent="0.2">
      <c r="A15" s="13"/>
      <c r="B15" s="14" t="s">
        <v>249</v>
      </c>
      <c r="C15" s="15"/>
      <c r="E15" s="20"/>
      <c r="F15" s="21">
        <v>60000</v>
      </c>
      <c r="I15" s="15"/>
      <c r="J15" s="15"/>
      <c r="K15" s="15"/>
      <c r="L15" s="15"/>
      <c r="M15" s="15"/>
      <c r="N15" s="15"/>
      <c r="O15" s="15"/>
      <c r="P15" s="15"/>
    </row>
    <row r="16" spans="1:41" x14ac:dyDescent="0.2">
      <c r="A16" s="13" t="s">
        <v>24</v>
      </c>
      <c r="B16" s="14" t="s">
        <v>25</v>
      </c>
      <c r="C16" s="15">
        <f>'[8]Team Report'!BA33</f>
        <v>48511.92</v>
      </c>
      <c r="E16" s="20">
        <f>((C16/9)*12)*1.2</f>
        <v>77619.072</v>
      </c>
      <c r="F16" s="21">
        <f t="shared" si="1"/>
        <v>17424.689632653062</v>
      </c>
      <c r="I16" s="15"/>
      <c r="J16" s="15"/>
      <c r="K16" s="15"/>
      <c r="L16" s="15"/>
      <c r="M16" s="15"/>
      <c r="N16" s="15"/>
      <c r="O16" s="15">
        <f t="shared" si="0"/>
        <v>1584.0626938775511</v>
      </c>
      <c r="P16" s="15"/>
    </row>
    <row r="17" spans="1:16" x14ac:dyDescent="0.2">
      <c r="A17" s="13" t="s">
        <v>26</v>
      </c>
      <c r="B17" s="14" t="s">
        <v>27</v>
      </c>
      <c r="C17" s="15">
        <f>'[8]Team Report'!BA34</f>
        <v>0</v>
      </c>
      <c r="E17" s="20">
        <f>(C17/9)*12</f>
        <v>0</v>
      </c>
      <c r="F17" s="21">
        <f t="shared" si="1"/>
        <v>0</v>
      </c>
      <c r="I17" s="15"/>
      <c r="J17" s="15"/>
      <c r="K17" s="15"/>
      <c r="L17" s="15"/>
      <c r="M17" s="15"/>
      <c r="N17" s="15"/>
      <c r="O17" s="15">
        <f t="shared" si="0"/>
        <v>0</v>
      </c>
      <c r="P17" s="15"/>
    </row>
    <row r="18" spans="1:16" x14ac:dyDescent="0.2">
      <c r="A18" s="13" t="s">
        <v>29</v>
      </c>
      <c r="B18" s="14" t="s">
        <v>30</v>
      </c>
      <c r="C18" s="15">
        <f>'[8]Team Report'!BA35</f>
        <v>2500</v>
      </c>
      <c r="E18" s="20">
        <f>((C18/9)*12)*1.2</f>
        <v>3999.9999999999995</v>
      </c>
      <c r="F18" s="21">
        <f t="shared" si="1"/>
        <v>897.95918367346917</v>
      </c>
      <c r="I18" s="15" t="s">
        <v>28</v>
      </c>
      <c r="J18" s="15">
        <f>30000*1.2</f>
        <v>36000</v>
      </c>
      <c r="K18" s="15">
        <f>H18*J18</f>
        <v>0</v>
      </c>
      <c r="L18" s="15">
        <f t="shared" ref="L18:L29" si="2">J18*K18</f>
        <v>0</v>
      </c>
      <c r="M18" s="15"/>
      <c r="N18" s="15"/>
      <c r="O18" s="15">
        <f t="shared" si="0"/>
        <v>81.632653061224474</v>
      </c>
      <c r="P18" s="15"/>
    </row>
    <row r="19" spans="1:16" x14ac:dyDescent="0.2">
      <c r="A19" s="13" t="s">
        <v>32</v>
      </c>
      <c r="B19" s="14" t="s">
        <v>33</v>
      </c>
      <c r="C19" s="15">
        <f>'[8]Team Report'!BA36</f>
        <v>0</v>
      </c>
      <c r="E19" s="20">
        <f>(C19/9)*12</f>
        <v>0</v>
      </c>
      <c r="F19" s="21">
        <f t="shared" si="1"/>
        <v>0</v>
      </c>
      <c r="I19" s="15" t="s">
        <v>95</v>
      </c>
      <c r="J19" s="15">
        <v>48000</v>
      </c>
      <c r="K19" s="15">
        <v>1</v>
      </c>
      <c r="L19" s="15">
        <f t="shared" si="2"/>
        <v>48000</v>
      </c>
      <c r="M19" s="15"/>
      <c r="N19" s="15"/>
      <c r="O19" s="15">
        <f t="shared" si="0"/>
        <v>0</v>
      </c>
      <c r="P19" s="15"/>
    </row>
    <row r="20" spans="1:16" x14ac:dyDescent="0.2">
      <c r="A20" s="13" t="s">
        <v>35</v>
      </c>
      <c r="B20" s="14" t="s">
        <v>36</v>
      </c>
      <c r="C20" s="15">
        <f>'[8]Team Report'!BA37</f>
        <v>129576.91999999998</v>
      </c>
      <c r="E20" s="20">
        <f>((C20/9)*12)*1.2</f>
        <v>207323.07199999999</v>
      </c>
      <c r="F20" s="21">
        <f t="shared" si="1"/>
        <v>46541.914122448972</v>
      </c>
      <c r="I20" s="15" t="s">
        <v>34</v>
      </c>
      <c r="J20" s="15">
        <v>49200</v>
      </c>
      <c r="K20" s="15">
        <v>0</v>
      </c>
      <c r="L20" s="15">
        <f t="shared" si="2"/>
        <v>0</v>
      </c>
      <c r="M20" s="15"/>
      <c r="N20" s="15"/>
      <c r="O20" s="15">
        <f t="shared" si="0"/>
        <v>4231.0831020408159</v>
      </c>
      <c r="P20" s="15"/>
    </row>
    <row r="21" spans="1:16" x14ac:dyDescent="0.2">
      <c r="A21" s="13" t="s">
        <v>38</v>
      </c>
      <c r="B21" s="14" t="s">
        <v>39</v>
      </c>
      <c r="C21" s="15">
        <f>'[8]Team Report'!BA38</f>
        <v>10.029999999999999</v>
      </c>
      <c r="E21" s="20">
        <f>((C21/9)*12)*1.2</f>
        <v>16.047999999999998</v>
      </c>
      <c r="F21" s="21">
        <f t="shared" si="1"/>
        <v>3.6026122448979589</v>
      </c>
      <c r="I21" s="15" t="s">
        <v>96</v>
      </c>
      <c r="J21" s="15">
        <v>57600</v>
      </c>
      <c r="K21" s="15">
        <v>0</v>
      </c>
      <c r="L21" s="15">
        <f t="shared" si="2"/>
        <v>0</v>
      </c>
      <c r="M21" s="15"/>
      <c r="N21" s="15"/>
      <c r="O21" s="15">
        <f t="shared" si="0"/>
        <v>0.32751020408163262</v>
      </c>
      <c r="P21" s="15"/>
    </row>
    <row r="22" spans="1:16" x14ac:dyDescent="0.2">
      <c r="A22" s="13" t="s">
        <v>41</v>
      </c>
      <c r="B22" s="14" t="s">
        <v>42</v>
      </c>
      <c r="C22" s="15">
        <f>'[8]Team Report'!BA42</f>
        <v>302115.48</v>
      </c>
      <c r="E22" s="20">
        <f>((C22/9)*12)*1.2</f>
        <v>483384.76799999998</v>
      </c>
      <c r="F22" s="21">
        <f t="shared" si="1"/>
        <v>108514.94791836735</v>
      </c>
      <c r="I22" s="15" t="s">
        <v>46</v>
      </c>
      <c r="J22" s="15">
        <v>72000</v>
      </c>
      <c r="K22" s="15">
        <v>0</v>
      </c>
      <c r="L22" s="15">
        <f t="shared" si="2"/>
        <v>0</v>
      </c>
      <c r="M22" s="15"/>
      <c r="N22" s="15"/>
      <c r="O22" s="15">
        <f t="shared" si="0"/>
        <v>9864.9952653061227</v>
      </c>
      <c r="P22" s="15"/>
    </row>
    <row r="23" spans="1:16" x14ac:dyDescent="0.2">
      <c r="A23" s="13" t="s">
        <v>44</v>
      </c>
      <c r="B23" s="14" t="s">
        <v>45</v>
      </c>
      <c r="C23" s="15">
        <f>'[8]Team Report'!BA44</f>
        <v>774.43</v>
      </c>
      <c r="E23" s="20">
        <f>((C23/9)*12)*1.2</f>
        <v>1239.088</v>
      </c>
      <c r="F23" s="21">
        <f t="shared" si="1"/>
        <v>278.16261224489796</v>
      </c>
      <c r="I23" s="15" t="s">
        <v>37</v>
      </c>
      <c r="J23" s="15">
        <v>62400</v>
      </c>
      <c r="K23" s="15">
        <v>0</v>
      </c>
      <c r="L23" s="15">
        <f t="shared" si="2"/>
        <v>0</v>
      </c>
      <c r="M23" s="15"/>
      <c r="N23" s="15"/>
      <c r="O23" s="15">
        <f t="shared" si="0"/>
        <v>25.287510204081631</v>
      </c>
      <c r="P23" s="15"/>
    </row>
    <row r="24" spans="1:16" x14ac:dyDescent="0.2">
      <c r="A24" s="26" t="s">
        <v>47</v>
      </c>
      <c r="B24" s="27" t="s">
        <v>48</v>
      </c>
      <c r="C24" s="28">
        <f>SUM(C8:C23)</f>
        <v>5422206.8300000001</v>
      </c>
      <c r="E24" s="28">
        <f>SUM(E8:E23)</f>
        <v>8675530.9279999994</v>
      </c>
      <c r="F24" s="28">
        <f>SUM(F8:F23)</f>
        <v>2768847.859265306</v>
      </c>
      <c r="I24" s="15" t="s">
        <v>97</v>
      </c>
      <c r="J24" s="15">
        <v>74400</v>
      </c>
      <c r="K24" s="15">
        <v>1</v>
      </c>
      <c r="L24" s="15">
        <f t="shared" si="2"/>
        <v>74400</v>
      </c>
      <c r="M24" s="15"/>
      <c r="N24" s="15"/>
      <c r="O24" s="15">
        <f>SUM(O8:O23)</f>
        <v>246258.89629684598</v>
      </c>
      <c r="P24" s="15"/>
    </row>
    <row r="25" spans="1:16" x14ac:dyDescent="0.2">
      <c r="I25" s="15" t="s">
        <v>98</v>
      </c>
      <c r="J25" s="15">
        <v>90000</v>
      </c>
      <c r="K25" s="15">
        <v>1</v>
      </c>
      <c r="L25" s="15">
        <f t="shared" si="2"/>
        <v>90000</v>
      </c>
      <c r="M25" s="15"/>
      <c r="N25" s="15"/>
      <c r="O25" s="15"/>
      <c r="P25" s="15"/>
    </row>
    <row r="26" spans="1:16" x14ac:dyDescent="0.2">
      <c r="B26" s="27" t="s">
        <v>51</v>
      </c>
      <c r="C26" s="15"/>
      <c r="E26" s="31">
        <v>44</v>
      </c>
      <c r="F26" s="31">
        <f>+K30</f>
        <v>11</v>
      </c>
      <c r="I26" s="15" t="s">
        <v>99</v>
      </c>
      <c r="J26" s="15">
        <v>160000</v>
      </c>
      <c r="K26" s="15">
        <v>5</v>
      </c>
      <c r="L26" s="15">
        <f t="shared" si="2"/>
        <v>800000</v>
      </c>
      <c r="M26" s="15"/>
      <c r="N26" s="15"/>
      <c r="O26" s="15">
        <f>SUM(U17:U21,U24:U28)</f>
        <v>0</v>
      </c>
      <c r="P26" s="15"/>
    </row>
    <row r="27" spans="1:16" x14ac:dyDescent="0.2">
      <c r="C27" s="15"/>
      <c r="E27" s="15"/>
      <c r="F27" s="15"/>
      <c r="I27" s="15" t="s">
        <v>100</v>
      </c>
      <c r="J27" s="15">
        <v>180000</v>
      </c>
      <c r="K27" s="15"/>
      <c r="L27" s="15">
        <f t="shared" si="2"/>
        <v>0</v>
      </c>
      <c r="M27" s="15"/>
      <c r="N27" s="15"/>
      <c r="O27" s="15"/>
      <c r="P27" s="15"/>
    </row>
    <row r="28" spans="1:16" x14ac:dyDescent="0.2">
      <c r="B28" s="27" t="s">
        <v>103</v>
      </c>
      <c r="C28" s="15"/>
      <c r="E28" s="31">
        <v>5</v>
      </c>
      <c r="F28" s="31">
        <v>0</v>
      </c>
      <c r="I28" s="15" t="s">
        <v>101</v>
      </c>
      <c r="J28" s="15">
        <v>235000</v>
      </c>
      <c r="K28" s="15">
        <v>2</v>
      </c>
      <c r="L28" s="15">
        <f t="shared" si="2"/>
        <v>470000</v>
      </c>
      <c r="M28" s="15"/>
      <c r="N28" s="15"/>
      <c r="O28" s="15">
        <f>SUM(U22:U23)</f>
        <v>0</v>
      </c>
      <c r="P28" s="15"/>
    </row>
    <row r="29" spans="1:16" x14ac:dyDescent="0.2">
      <c r="I29" s="15" t="s">
        <v>250</v>
      </c>
      <c r="J29" s="15">
        <v>470000</v>
      </c>
      <c r="K29" s="15">
        <v>1</v>
      </c>
      <c r="L29" s="15">
        <f t="shared" si="2"/>
        <v>470000</v>
      </c>
      <c r="M29" s="15"/>
      <c r="N29" s="15"/>
      <c r="O29" s="15"/>
      <c r="P29" s="15"/>
    </row>
    <row r="30" spans="1:16" x14ac:dyDescent="0.2">
      <c r="B30" s="27" t="s">
        <v>56</v>
      </c>
      <c r="C30" s="15"/>
      <c r="E30" s="31">
        <f>+E28+E26</f>
        <v>49</v>
      </c>
      <c r="F30" s="31">
        <f>+F28+F26</f>
        <v>11</v>
      </c>
      <c r="G30" s="25"/>
      <c r="I30" s="15"/>
      <c r="J30" s="15"/>
      <c r="K30" s="15">
        <f>SUM(K18:K29)</f>
        <v>11</v>
      </c>
      <c r="L30" s="15">
        <f>SUM(L18:L29)</f>
        <v>1952400</v>
      </c>
      <c r="M30" s="15"/>
      <c r="N30" s="15"/>
      <c r="O30" s="15">
        <v>1</v>
      </c>
      <c r="P30" s="15"/>
    </row>
    <row r="31" spans="1:16" hidden="1" x14ac:dyDescent="0.2">
      <c r="I31" s="15"/>
      <c r="J31" s="15"/>
      <c r="K31" s="15"/>
      <c r="L31" s="15"/>
      <c r="M31" s="15"/>
      <c r="N31" s="15"/>
      <c r="O31" s="15"/>
      <c r="P31" s="15"/>
    </row>
    <row r="32" spans="1:16" hidden="1" x14ac:dyDescent="0.2">
      <c r="A32" s="13" t="s">
        <v>73</v>
      </c>
      <c r="B32" s="14" t="s">
        <v>74</v>
      </c>
      <c r="C32" s="15">
        <f>'[8]Team Report'!BA29</f>
        <v>0</v>
      </c>
      <c r="E32" s="15">
        <f t="shared" ref="E32:E39" si="3">(C32/9)*12</f>
        <v>0</v>
      </c>
      <c r="I32" s="15" t="s">
        <v>104</v>
      </c>
      <c r="J32" s="15"/>
      <c r="K32" s="15"/>
      <c r="L32" s="15">
        <v>0.2</v>
      </c>
      <c r="M32" s="15"/>
      <c r="N32" s="15"/>
      <c r="O32" s="15"/>
      <c r="P32" s="15"/>
    </row>
    <row r="33" spans="1:16" hidden="1" x14ac:dyDescent="0.2">
      <c r="A33" s="13" t="s">
        <v>75</v>
      </c>
      <c r="B33" s="14" t="s">
        <v>76</v>
      </c>
      <c r="C33" s="15">
        <f>'[8]Team Report'!BA30</f>
        <v>0</v>
      </c>
      <c r="E33" s="15">
        <f t="shared" si="3"/>
        <v>0</v>
      </c>
      <c r="I33" s="15"/>
      <c r="J33" s="15"/>
      <c r="K33" s="15"/>
      <c r="L33" s="15"/>
      <c r="M33" s="15"/>
      <c r="N33" s="15"/>
      <c r="O33" s="15"/>
      <c r="P33" s="15"/>
    </row>
    <row r="34" spans="1:16" hidden="1" x14ac:dyDescent="0.2">
      <c r="A34" s="13" t="s">
        <v>77</v>
      </c>
      <c r="B34" s="14" t="s">
        <v>78</v>
      </c>
      <c r="C34" s="15">
        <f>'[8]Team Report'!BA31</f>
        <v>0</v>
      </c>
      <c r="E34" s="15">
        <f t="shared" si="3"/>
        <v>0</v>
      </c>
      <c r="I34" s="15"/>
      <c r="J34" s="15"/>
      <c r="K34" s="15"/>
      <c r="L34" s="15">
        <f>L30*1.2</f>
        <v>2342880</v>
      </c>
      <c r="M34" s="15"/>
      <c r="N34" s="15"/>
      <c r="O34" s="15"/>
      <c r="P34" s="15"/>
    </row>
    <row r="35" spans="1:16" hidden="1" x14ac:dyDescent="0.2">
      <c r="A35" s="13" t="s">
        <v>79</v>
      </c>
      <c r="B35" s="14" t="s">
        <v>80</v>
      </c>
      <c r="C35" s="15">
        <f>'[8]Team Report'!BA39</f>
        <v>0</v>
      </c>
      <c r="E35" s="15">
        <f t="shared" si="3"/>
        <v>0</v>
      </c>
      <c r="I35" s="15"/>
      <c r="J35" s="15"/>
      <c r="K35" s="15"/>
      <c r="L35" s="15"/>
      <c r="M35" s="15"/>
      <c r="N35" s="15"/>
      <c r="O35" s="15"/>
      <c r="P35" s="15"/>
    </row>
    <row r="36" spans="1:16" hidden="1" x14ac:dyDescent="0.2">
      <c r="A36" s="13" t="s">
        <v>81</v>
      </c>
      <c r="B36" s="14" t="s">
        <v>82</v>
      </c>
      <c r="C36" s="15">
        <f>'[8]Team Report'!BA40</f>
        <v>147341.90000000002</v>
      </c>
      <c r="E36" s="15">
        <f t="shared" si="3"/>
        <v>196455.8666666667</v>
      </c>
      <c r="I36" s="15"/>
      <c r="J36" s="15"/>
      <c r="K36" s="15"/>
      <c r="L36" s="15"/>
      <c r="M36" s="15"/>
      <c r="N36" s="15"/>
      <c r="O36" s="15"/>
      <c r="P36" s="15"/>
    </row>
    <row r="37" spans="1:16" hidden="1" x14ac:dyDescent="0.2">
      <c r="A37" s="13" t="s">
        <v>83</v>
      </c>
      <c r="B37" s="14" t="s">
        <v>84</v>
      </c>
      <c r="C37" s="15">
        <f>'[8]Team Report'!BA41</f>
        <v>285701.8</v>
      </c>
      <c r="E37" s="15">
        <f t="shared" si="3"/>
        <v>380935.73333333328</v>
      </c>
      <c r="I37" s="15"/>
      <c r="J37" s="15"/>
      <c r="K37" s="15"/>
      <c r="L37" s="15"/>
      <c r="M37" s="15"/>
      <c r="N37" s="15"/>
      <c r="O37" s="15"/>
      <c r="P37" s="15"/>
    </row>
    <row r="38" spans="1:16" hidden="1" x14ac:dyDescent="0.2">
      <c r="A38" s="13" t="s">
        <v>85</v>
      </c>
      <c r="B38" s="14" t="s">
        <v>86</v>
      </c>
      <c r="C38" s="15">
        <f>'[8]Team Report'!BA43</f>
        <v>-4445984</v>
      </c>
      <c r="E38" s="15">
        <f t="shared" si="3"/>
        <v>-5927978.666666667</v>
      </c>
      <c r="G38" s="33" t="s">
        <v>57</v>
      </c>
      <c r="I38" s="15"/>
      <c r="J38" s="15"/>
      <c r="K38" s="15"/>
      <c r="L38" s="15"/>
      <c r="M38" s="15"/>
      <c r="N38" s="15"/>
      <c r="O38" s="15"/>
      <c r="P38" s="15"/>
    </row>
    <row r="39" spans="1:16" hidden="1" x14ac:dyDescent="0.2">
      <c r="A39" s="13" t="s">
        <v>87</v>
      </c>
      <c r="B39" s="14" t="s">
        <v>88</v>
      </c>
      <c r="C39" s="15">
        <f>'[8]Team Report'!BA45</f>
        <v>1176.06</v>
      </c>
      <c r="E39" s="15">
        <f t="shared" si="3"/>
        <v>1568.08</v>
      </c>
      <c r="I39" s="15"/>
      <c r="J39" s="15"/>
      <c r="K39" s="15"/>
      <c r="L39" s="15"/>
      <c r="M39" s="15"/>
      <c r="N39" s="15"/>
      <c r="O39" s="15"/>
      <c r="P39" s="15"/>
    </row>
    <row r="40" spans="1:16" hidden="1" x14ac:dyDescent="0.2">
      <c r="G40" s="34" t="s">
        <v>58</v>
      </c>
      <c r="I40" s="15" t="s">
        <v>59</v>
      </c>
      <c r="J40" s="15" t="s">
        <v>60</v>
      </c>
      <c r="K40" s="15" t="s">
        <v>3</v>
      </c>
      <c r="L40" s="15" t="s">
        <v>61</v>
      </c>
      <c r="M40" s="15"/>
      <c r="N40" s="15"/>
      <c r="O40" s="15"/>
      <c r="P40" s="15"/>
    </row>
    <row r="41" spans="1:16" hidden="1" x14ac:dyDescent="0.2">
      <c r="C41" s="54">
        <f>C24+C32+C33+C34+C35+C36+C37+C38+C39</f>
        <v>1410442.5900000003</v>
      </c>
      <c r="G41" s="36">
        <f>SUM(E12:E23)</f>
        <v>1630220.4639999999</v>
      </c>
      <c r="I41" s="15">
        <f>+E30</f>
        <v>49</v>
      </c>
      <c r="J41" s="15">
        <f>+G41/I41</f>
        <v>33269.805387755099</v>
      </c>
      <c r="K41" s="15">
        <f>+K12</f>
        <v>11</v>
      </c>
      <c r="L41" s="15">
        <f>+J41*K41</f>
        <v>365967.85926530609</v>
      </c>
      <c r="M41" s="15"/>
      <c r="N41" s="15"/>
      <c r="O41" s="15"/>
      <c r="P41" s="15"/>
    </row>
    <row r="42" spans="1:16" hidden="1" x14ac:dyDescent="0.2">
      <c r="I42" s="15"/>
      <c r="J42" s="15"/>
      <c r="K42" s="15"/>
      <c r="L42" s="15"/>
      <c r="M42" s="15"/>
      <c r="N42" s="15"/>
      <c r="O42" s="15"/>
      <c r="P42" s="15"/>
    </row>
    <row r="43" spans="1:16" hidden="1" x14ac:dyDescent="0.2">
      <c r="I43" s="15"/>
      <c r="J43" s="15"/>
      <c r="K43" s="15"/>
      <c r="L43" s="15"/>
      <c r="M43" s="15"/>
      <c r="N43" s="15"/>
      <c r="O43" s="15"/>
      <c r="P43" s="15"/>
    </row>
    <row r="44" spans="1:16" hidden="1" x14ac:dyDescent="0.2">
      <c r="I44" s="15"/>
      <c r="J44" s="15"/>
      <c r="K44" s="15"/>
      <c r="L44" s="15"/>
      <c r="M44" s="15"/>
      <c r="N44" s="15"/>
      <c r="O44" s="15"/>
      <c r="P44" s="15"/>
    </row>
    <row r="45" spans="1:16" hidden="1" x14ac:dyDescent="0.2">
      <c r="I45" s="15"/>
      <c r="J45" s="15"/>
      <c r="K45" s="15"/>
      <c r="L45" s="15"/>
      <c r="M45" s="15"/>
      <c r="N45" s="15"/>
      <c r="O45" s="15"/>
      <c r="P45" s="15"/>
    </row>
    <row r="46" spans="1:16" hidden="1" x14ac:dyDescent="0.2">
      <c r="I46" s="15"/>
      <c r="J46" s="15"/>
      <c r="K46" s="15"/>
      <c r="L46" s="15"/>
      <c r="M46" s="15"/>
      <c r="N46" s="15"/>
      <c r="O46" s="15"/>
      <c r="P46" s="15"/>
    </row>
    <row r="47" spans="1:16" hidden="1" x14ac:dyDescent="0.2">
      <c r="I47" s="15"/>
      <c r="J47" s="15"/>
      <c r="K47" s="15"/>
      <c r="L47" s="15"/>
      <c r="M47" s="15"/>
      <c r="N47" s="15"/>
      <c r="O47" s="15"/>
      <c r="P47" s="15"/>
    </row>
    <row r="48" spans="1:16" hidden="1" x14ac:dyDescent="0.2">
      <c r="I48" s="15"/>
      <c r="J48" s="15"/>
      <c r="K48" s="15"/>
      <c r="L48" s="15"/>
      <c r="M48" s="15"/>
      <c r="N48" s="15"/>
      <c r="O48" s="15"/>
      <c r="P48" s="15"/>
    </row>
    <row r="49" spans="9:16" hidden="1" x14ac:dyDescent="0.2">
      <c r="I49" s="15"/>
      <c r="J49" s="15"/>
      <c r="K49" s="15"/>
      <c r="L49" s="15"/>
      <c r="M49" s="15"/>
      <c r="N49" s="15"/>
      <c r="O49" s="15"/>
      <c r="P49" s="15"/>
    </row>
    <row r="50" spans="9:16" hidden="1" x14ac:dyDescent="0.2">
      <c r="I50" s="15"/>
      <c r="J50" s="15"/>
      <c r="K50" s="15"/>
      <c r="L50" s="15"/>
      <c r="M50" s="15"/>
      <c r="N50" s="15"/>
      <c r="O50" s="15"/>
      <c r="P50" s="15"/>
    </row>
    <row r="51" spans="9:16" hidden="1" x14ac:dyDescent="0.2">
      <c r="I51" s="15"/>
      <c r="J51" s="15"/>
      <c r="K51" s="15"/>
      <c r="L51" s="15"/>
      <c r="M51" s="15"/>
      <c r="N51" s="15"/>
      <c r="O51" s="15"/>
      <c r="P51" s="15"/>
    </row>
    <row r="52" spans="9:16" hidden="1" x14ac:dyDescent="0.2">
      <c r="I52" s="15"/>
      <c r="J52" s="15"/>
      <c r="K52" s="15"/>
      <c r="L52" s="15"/>
      <c r="M52" s="15"/>
      <c r="N52" s="15"/>
      <c r="O52" s="15"/>
      <c r="P52" s="15"/>
    </row>
    <row r="53" spans="9:16" hidden="1" x14ac:dyDescent="0.2">
      <c r="I53" s="15"/>
      <c r="J53" s="15"/>
      <c r="K53" s="15"/>
      <c r="L53" s="15"/>
      <c r="M53" s="15"/>
      <c r="N53" s="15"/>
      <c r="O53" s="15"/>
      <c r="P53" s="15"/>
    </row>
    <row r="54" spans="9:16" hidden="1" x14ac:dyDescent="0.2">
      <c r="I54" s="15"/>
      <c r="J54" s="15"/>
      <c r="K54" s="15"/>
      <c r="L54" s="15"/>
      <c r="M54" s="15"/>
      <c r="N54" s="15"/>
      <c r="O54" s="15"/>
      <c r="P54" s="15"/>
    </row>
    <row r="55" spans="9:16" x14ac:dyDescent="0.2">
      <c r="I55" s="15"/>
      <c r="J55" s="15"/>
      <c r="K55" s="15"/>
      <c r="L55" s="15"/>
      <c r="M55" s="15"/>
      <c r="N55" s="15"/>
      <c r="O55" s="15"/>
      <c r="P55" s="15"/>
    </row>
    <row r="56" spans="9:16" x14ac:dyDescent="0.2">
      <c r="I56" s="15"/>
      <c r="J56" s="15"/>
      <c r="K56" s="15"/>
      <c r="L56" s="15"/>
      <c r="M56" s="15"/>
      <c r="N56" s="15"/>
      <c r="O56" s="15"/>
      <c r="P56" s="15"/>
    </row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scale="115" orientation="portrait" verticalDpi="196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57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8" hidden="1" customWidth="1"/>
    <col min="6" max="6" width="2.28515625" customWidth="1"/>
    <col min="7" max="7" width="0" hidden="1" customWidth="1"/>
    <col min="8" max="8" width="17.7109375" customWidth="1"/>
    <col min="9" max="9" width="13" hidden="1" customWidth="1"/>
    <col min="10" max="10" width="10.42578125" style="25" hidden="1" customWidth="1"/>
    <col min="11" max="11" width="10.85546875" style="25" hidden="1" customWidth="1"/>
    <col min="12" max="12" width="11.42578125" style="25" hidden="1" customWidth="1"/>
    <col min="13" max="15" width="9.140625" hidden="1" customWidth="1"/>
    <col min="16" max="16" width="11.28515625" hidden="1" customWidth="1"/>
    <col min="17" max="29" width="9.140625" hidden="1" customWidth="1"/>
    <col min="30" max="55" width="0" hidden="1" customWidth="1"/>
  </cols>
  <sheetData>
    <row r="1" spans="1:39" ht="18" x14ac:dyDescent="0.25">
      <c r="B1" s="125" t="str">
        <f>'[5]Team Report'!B1</f>
        <v>Enron North America</v>
      </c>
      <c r="C1" s="125"/>
      <c r="D1" s="125"/>
      <c r="E1" s="125"/>
      <c r="F1" s="125"/>
      <c r="G1" s="125"/>
      <c r="H1" s="125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25">
      <c r="B2" s="125" t="s">
        <v>174</v>
      </c>
      <c r="C2" s="125"/>
      <c r="D2" s="125"/>
      <c r="E2" s="125"/>
      <c r="F2" s="125"/>
      <c r="G2" s="125"/>
      <c r="H2" s="125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" x14ac:dyDescent="0.25">
      <c r="B3" s="126" t="s">
        <v>1</v>
      </c>
      <c r="C3" s="126"/>
      <c r="D3" s="126"/>
      <c r="E3" s="126"/>
      <c r="F3" s="126"/>
      <c r="G3" s="126"/>
      <c r="H3" s="126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ht="13.5" thickBot="1" x14ac:dyDescent="0.25">
      <c r="I4" s="130" t="s">
        <v>175</v>
      </c>
      <c r="J4" s="130"/>
      <c r="K4" s="130"/>
      <c r="L4" s="130"/>
    </row>
    <row r="5" spans="1:39" x14ac:dyDescent="0.2">
      <c r="I5" s="4"/>
      <c r="J5" s="40"/>
      <c r="K5" s="40"/>
      <c r="L5" s="41"/>
      <c r="M5" s="8"/>
    </row>
    <row r="6" spans="1:39" x14ac:dyDescent="0.2">
      <c r="C6" s="10">
        <v>37135</v>
      </c>
      <c r="E6" s="44" t="s">
        <v>63</v>
      </c>
      <c r="G6" s="10" t="s">
        <v>5</v>
      </c>
      <c r="H6" s="44" t="s">
        <v>65</v>
      </c>
      <c r="I6" s="7"/>
      <c r="J6" s="19" t="s">
        <v>2</v>
      </c>
      <c r="K6" s="19" t="s">
        <v>3</v>
      </c>
      <c r="L6" s="74" t="s">
        <v>109</v>
      </c>
      <c r="M6" s="8"/>
      <c r="Q6" s="44" t="s">
        <v>65</v>
      </c>
    </row>
    <row r="7" spans="1:39" x14ac:dyDescent="0.2">
      <c r="C7" s="12" t="s">
        <v>6</v>
      </c>
      <c r="E7" s="12" t="s">
        <v>7</v>
      </c>
      <c r="G7" s="12" t="s">
        <v>9</v>
      </c>
      <c r="H7" s="12" t="s">
        <v>8</v>
      </c>
      <c r="I7" s="7"/>
      <c r="J7" s="17"/>
      <c r="K7" s="17"/>
      <c r="L7" s="43"/>
      <c r="M7" s="8"/>
      <c r="Q7" s="12" t="s">
        <v>8</v>
      </c>
    </row>
    <row r="8" spans="1:39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((C8/9)*12)*1.3</f>
        <v>8641537.1986666676</v>
      </c>
      <c r="H8" s="15">
        <f>L29-H10</f>
        <v>13408750</v>
      </c>
      <c r="I8" s="7"/>
      <c r="J8" s="17"/>
      <c r="K8" s="17"/>
      <c r="L8" s="43"/>
      <c r="M8" s="8"/>
      <c r="Q8" s="15">
        <f>+H8/$H$29*$Q$29</f>
        <v>72873.641304347824</v>
      </c>
    </row>
    <row r="9" spans="1:39" hidden="1" x14ac:dyDescent="0.2">
      <c r="A9" s="13"/>
      <c r="B9" s="14" t="s">
        <v>12</v>
      </c>
      <c r="C9" s="15">
        <v>0</v>
      </c>
      <c r="E9" s="15">
        <f>(C9/9)*12</f>
        <v>0</v>
      </c>
      <c r="H9" s="15">
        <v>0</v>
      </c>
      <c r="I9" s="7" t="s">
        <v>11</v>
      </c>
      <c r="J9" s="17">
        <v>0</v>
      </c>
      <c r="K9" s="17">
        <f>K29</f>
        <v>184</v>
      </c>
      <c r="L9" s="43">
        <f>L33</f>
        <v>17530500</v>
      </c>
      <c r="M9" s="8"/>
      <c r="Q9" s="15">
        <f t="shared" ref="Q9:Q22" si="0">+H9/$H$29*$Q$29</f>
        <v>0</v>
      </c>
    </row>
    <row r="10" spans="1:39" x14ac:dyDescent="0.2">
      <c r="A10" s="13"/>
      <c r="B10" s="14" t="s">
        <v>72</v>
      </c>
      <c r="C10" s="15">
        <v>0</v>
      </c>
      <c r="E10" s="15">
        <f>(C10/9)*12</f>
        <v>0</v>
      </c>
      <c r="H10" s="15">
        <f>L20+L21</f>
        <v>1200000</v>
      </c>
      <c r="I10" s="7"/>
      <c r="J10" s="17"/>
      <c r="K10" s="17"/>
      <c r="L10" s="43"/>
      <c r="M10" s="8"/>
      <c r="Q10" s="15">
        <f t="shared" si="0"/>
        <v>6521.739130434783</v>
      </c>
    </row>
    <row r="11" spans="1:39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((C11/9)*12)*1.3</f>
        <v>2097820.5906666671</v>
      </c>
      <c r="H11" s="15">
        <f>L33-L29</f>
        <v>2921750</v>
      </c>
      <c r="I11" s="7"/>
      <c r="J11" s="17"/>
      <c r="K11" s="17"/>
      <c r="L11" s="43"/>
      <c r="M11" s="8"/>
      <c r="Q11" s="15">
        <f t="shared" si="0"/>
        <v>15879.076086956522</v>
      </c>
    </row>
    <row r="12" spans="1:39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((C12/9)*12)*1.3</f>
        <v>329385.28133333335</v>
      </c>
      <c r="H12" s="15">
        <f t="shared" ref="H12:H22" si="1">(E12/$E$29)*$K$12</f>
        <v>513617.72682485881</v>
      </c>
      <c r="I12" s="7" t="s">
        <v>16</v>
      </c>
      <c r="J12" s="17">
        <f>(E12+E13+E14+E15+E16+E17+E18+E19+E20+E21+E22)/E29</f>
        <v>72139.841887005648</v>
      </c>
      <c r="K12" s="17">
        <f>K29</f>
        <v>184</v>
      </c>
      <c r="L12" s="43">
        <f>J12*K12</f>
        <v>13273730.907209039</v>
      </c>
      <c r="M12" s="8"/>
      <c r="Q12" s="15">
        <f t="shared" si="0"/>
        <v>2791.400689265537</v>
      </c>
    </row>
    <row r="13" spans="1:39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((C13/9)*12)*1.3</f>
        <v>135877.00533333333</v>
      </c>
      <c r="H13" s="15">
        <f t="shared" si="1"/>
        <v>211876.00831638416</v>
      </c>
      <c r="I13" s="7"/>
      <c r="J13" s="17"/>
      <c r="K13" s="17"/>
      <c r="L13" s="43"/>
      <c r="M13" s="8"/>
      <c r="Q13" s="15">
        <f t="shared" si="0"/>
        <v>1151.5000451977401</v>
      </c>
    </row>
    <row r="14" spans="1:39" ht="13.5" thickBot="1" x14ac:dyDescent="0.25">
      <c r="A14" s="13" t="s">
        <v>22</v>
      </c>
      <c r="B14" s="14" t="s">
        <v>23</v>
      </c>
      <c r="C14" s="15">
        <v>0</v>
      </c>
      <c r="E14" s="15">
        <f>(4000000*1.2)+222800</f>
        <v>5022800</v>
      </c>
      <c r="H14" s="15">
        <f t="shared" si="1"/>
        <v>7832162.7118644072</v>
      </c>
      <c r="I14" s="22" t="s">
        <v>21</v>
      </c>
      <c r="J14" s="47"/>
      <c r="K14" s="47"/>
      <c r="L14" s="48">
        <f>SUM(L9:L12)</f>
        <v>30804230.907209039</v>
      </c>
      <c r="M14" s="8"/>
      <c r="N14">
        <v>36500125</v>
      </c>
      <c r="P14" s="49">
        <f>N14-L14</f>
        <v>5695894.0927909613</v>
      </c>
      <c r="Q14" s="15">
        <f t="shared" si="0"/>
        <v>42566.101694915254</v>
      </c>
    </row>
    <row r="15" spans="1:39" x14ac:dyDescent="0.2">
      <c r="A15" s="13" t="s">
        <v>24</v>
      </c>
      <c r="B15" s="14" t="s">
        <v>25</v>
      </c>
      <c r="C15" s="15">
        <f>'[5]Team Report'!BA33</f>
        <v>69921.63</v>
      </c>
      <c r="E15" s="15">
        <f>2087875*1.3</f>
        <v>2714237.5</v>
      </c>
      <c r="H15" s="15">
        <f t="shared" si="1"/>
        <v>4232370.3389830505</v>
      </c>
      <c r="I15" s="8"/>
      <c r="J15" s="17"/>
      <c r="K15" s="17"/>
      <c r="L15" s="17"/>
      <c r="M15" s="8"/>
      <c r="Q15" s="15">
        <f t="shared" si="0"/>
        <v>23002.012711864405</v>
      </c>
    </row>
    <row r="16" spans="1:39" x14ac:dyDescent="0.2">
      <c r="A16" s="13" t="s">
        <v>26</v>
      </c>
      <c r="B16" s="14" t="s">
        <v>27</v>
      </c>
      <c r="C16" s="15">
        <f>'[5]Team Report'!BA34</f>
        <v>0</v>
      </c>
      <c r="E16" s="15">
        <f>(C16/9)*12</f>
        <v>0</v>
      </c>
      <c r="H16" s="15">
        <f t="shared" si="1"/>
        <v>0</v>
      </c>
      <c r="I16" s="8"/>
      <c r="J16" s="17"/>
      <c r="K16" s="17"/>
      <c r="L16" s="17"/>
      <c r="M16" s="8"/>
      <c r="Q16" s="15">
        <f t="shared" si="0"/>
        <v>0</v>
      </c>
    </row>
    <row r="17" spans="1:17" x14ac:dyDescent="0.2">
      <c r="A17" s="13" t="s">
        <v>29</v>
      </c>
      <c r="B17" s="14" t="s">
        <v>30</v>
      </c>
      <c r="C17" s="15">
        <f>'[5]Team Report'!BA35</f>
        <v>0</v>
      </c>
      <c r="E17" s="15">
        <f>(C17/9)*12</f>
        <v>0</v>
      </c>
      <c r="H17" s="15">
        <f t="shared" si="1"/>
        <v>0</v>
      </c>
      <c r="I17" s="8" t="s">
        <v>28</v>
      </c>
      <c r="J17" s="25">
        <v>37500</v>
      </c>
      <c r="K17">
        <f>1+1</f>
        <v>2</v>
      </c>
      <c r="L17" s="17">
        <f t="shared" ref="L17:L28" si="2">J17*K17</f>
        <v>75000</v>
      </c>
      <c r="N17">
        <v>1.25</v>
      </c>
      <c r="Q17" s="15">
        <f t="shared" si="0"/>
        <v>0</v>
      </c>
    </row>
    <row r="18" spans="1:17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((C18/9)*12)*1.3</f>
        <v>33002.094666666671</v>
      </c>
      <c r="H18" s="15">
        <f t="shared" si="1"/>
        <v>51460.89337853108</v>
      </c>
      <c r="I18" t="s">
        <v>95</v>
      </c>
      <c r="J18" s="25">
        <v>52500</v>
      </c>
      <c r="K18">
        <f>1+2+1+1</f>
        <v>5</v>
      </c>
      <c r="L18" s="17">
        <f t="shared" si="2"/>
        <v>262500</v>
      </c>
      <c r="Q18" s="15">
        <f t="shared" si="0"/>
        <v>279.67876836158194</v>
      </c>
    </row>
    <row r="19" spans="1:17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v>145000</v>
      </c>
      <c r="H19" s="15">
        <f t="shared" si="1"/>
        <v>226101.69491525422</v>
      </c>
      <c r="I19" t="s">
        <v>34</v>
      </c>
      <c r="J19" s="25">
        <v>56250</v>
      </c>
      <c r="K19">
        <f>7+2+1+1+4+2</f>
        <v>17</v>
      </c>
      <c r="L19" s="17">
        <f t="shared" si="2"/>
        <v>956250</v>
      </c>
      <c r="Q19" s="15">
        <f t="shared" si="0"/>
        <v>1228.8135593220338</v>
      </c>
    </row>
    <row r="20" spans="1:17" x14ac:dyDescent="0.2">
      <c r="A20" s="13" t="s">
        <v>38</v>
      </c>
      <c r="B20" s="14" t="s">
        <v>39</v>
      </c>
      <c r="C20" s="15">
        <f>'[5]Team Report'!BA38</f>
        <v>0</v>
      </c>
      <c r="E20" s="15">
        <f>(C20/9)*12</f>
        <v>0</v>
      </c>
      <c r="H20" s="15">
        <f t="shared" si="1"/>
        <v>0</v>
      </c>
      <c r="I20" t="s">
        <v>46</v>
      </c>
      <c r="J20" s="25">
        <v>75000</v>
      </c>
      <c r="K20">
        <f>3+1</f>
        <v>4</v>
      </c>
      <c r="L20" s="17">
        <f t="shared" si="2"/>
        <v>300000</v>
      </c>
      <c r="Q20" s="15">
        <f t="shared" si="0"/>
        <v>0</v>
      </c>
    </row>
    <row r="21" spans="1:17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((C21/9)*12)*1.3</f>
        <v>130073.97866666669</v>
      </c>
      <c r="H21" s="15">
        <f t="shared" si="1"/>
        <v>202827.22097175146</v>
      </c>
      <c r="I21" t="s">
        <v>96</v>
      </c>
      <c r="J21" s="25">
        <v>60000</v>
      </c>
      <c r="K21">
        <f>2+12+1</f>
        <v>15</v>
      </c>
      <c r="L21" s="17">
        <f t="shared" si="2"/>
        <v>900000</v>
      </c>
      <c r="Q21" s="15">
        <f t="shared" si="0"/>
        <v>1102.3218531073449</v>
      </c>
    </row>
    <row r="22" spans="1:17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((C22/9)*12)*1.3</f>
        <v>2125.4826666666668</v>
      </c>
      <c r="H22" s="15">
        <f t="shared" si="1"/>
        <v>3314.3119548022601</v>
      </c>
      <c r="I22" t="s">
        <v>37</v>
      </c>
      <c r="J22" s="25">
        <v>65000</v>
      </c>
      <c r="K22">
        <f>8+4+5+10+9+2+2+4+4+1</f>
        <v>49</v>
      </c>
      <c r="L22" s="17">
        <f t="shared" si="2"/>
        <v>3185000</v>
      </c>
      <c r="Q22" s="15">
        <f t="shared" si="0"/>
        <v>18.012564971751413</v>
      </c>
    </row>
    <row r="23" spans="1:17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19251859.132000003</v>
      </c>
      <c r="H23" s="28">
        <f>SUM(H8:H22)</f>
        <v>30804230.907209039</v>
      </c>
      <c r="I23" t="s">
        <v>110</v>
      </c>
      <c r="J23" s="25">
        <v>82500</v>
      </c>
      <c r="K23">
        <f>10+1+13+6+6+3+7+1+2+6</f>
        <v>55</v>
      </c>
      <c r="L23" s="17">
        <f t="shared" si="2"/>
        <v>4537500</v>
      </c>
      <c r="Q23" s="28">
        <f>SUM(Q8:Q22)</f>
        <v>167414.29840874474</v>
      </c>
    </row>
    <row r="24" spans="1:17" x14ac:dyDescent="0.2">
      <c r="I24" t="s">
        <v>98</v>
      </c>
      <c r="J24" s="25">
        <v>100000</v>
      </c>
      <c r="K24">
        <f>2+1+8+6+3+1+4</f>
        <v>25</v>
      </c>
      <c r="L24" s="17">
        <f t="shared" si="2"/>
        <v>2500000</v>
      </c>
    </row>
    <row r="25" spans="1:17" x14ac:dyDescent="0.2">
      <c r="B25" s="27" t="s">
        <v>51</v>
      </c>
      <c r="C25" s="55"/>
      <c r="E25" s="55">
        <v>114</v>
      </c>
      <c r="H25" s="55">
        <f>SUM(K17:K19,K22:K28)</f>
        <v>165</v>
      </c>
      <c r="I25" t="s">
        <v>99</v>
      </c>
      <c r="J25" s="25">
        <v>145000</v>
      </c>
      <c r="K25">
        <f>1+1+1+1+2+1+2</f>
        <v>9</v>
      </c>
      <c r="L25" s="17">
        <f t="shared" si="2"/>
        <v>1305000</v>
      </c>
      <c r="Q25" s="31">
        <f>+T16+T17+T18+T19+T20+T23+T24+T25+T26+T27</f>
        <v>0</v>
      </c>
    </row>
    <row r="26" spans="1:17" x14ac:dyDescent="0.2">
      <c r="I26" t="s">
        <v>100</v>
      </c>
      <c r="J26" s="25">
        <v>175000</v>
      </c>
      <c r="K26">
        <f>1+1</f>
        <v>2</v>
      </c>
      <c r="L26" s="17">
        <f t="shared" si="2"/>
        <v>350000</v>
      </c>
      <c r="Q26" s="15"/>
    </row>
    <row r="27" spans="1:17" x14ac:dyDescent="0.2">
      <c r="B27" s="27" t="s">
        <v>69</v>
      </c>
      <c r="C27" s="55"/>
      <c r="E27" s="55">
        <v>4</v>
      </c>
      <c r="H27" s="55">
        <f>SUM(K20:K21)</f>
        <v>19</v>
      </c>
      <c r="I27" t="s">
        <v>101</v>
      </c>
      <c r="J27" s="25">
        <v>237500</v>
      </c>
      <c r="K27">
        <f>1</f>
        <v>1</v>
      </c>
      <c r="L27" s="17">
        <f t="shared" si="2"/>
        <v>237500</v>
      </c>
      <c r="Q27" s="31">
        <f>+T21+T22</f>
        <v>0</v>
      </c>
    </row>
    <row r="28" spans="1:17" x14ac:dyDescent="0.2">
      <c r="I28" t="s">
        <v>102</v>
      </c>
      <c r="J28" s="25">
        <v>312500</v>
      </c>
      <c r="K28">
        <v>0</v>
      </c>
      <c r="L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118</v>
      </c>
      <c r="H29" s="55">
        <f>SUM(H25:H28)</f>
        <v>184</v>
      </c>
      <c r="K29" s="25">
        <f>SUM(K17:K28)</f>
        <v>184</v>
      </c>
      <c r="L29" s="25">
        <f>SUM(L17:L28)</f>
        <v>14608750</v>
      </c>
      <c r="Q29" s="31">
        <v>1</v>
      </c>
    </row>
    <row r="30" spans="1:17" hidden="1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7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3"/>
        <v>0</v>
      </c>
      <c r="L33" s="25">
        <f>L29*1.2</f>
        <v>17530500</v>
      </c>
    </row>
    <row r="34" spans="1:12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3"/>
        <v>32893.85333333334</v>
      </c>
    </row>
    <row r="36" spans="1:12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3"/>
        <v>641393.90666666673</v>
      </c>
    </row>
    <row r="37" spans="1:12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3"/>
        <v>-1029221.1733333333</v>
      </c>
      <c r="H37" s="33" t="s">
        <v>57</v>
      </c>
    </row>
    <row r="38" spans="1:12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3"/>
        <v>0</v>
      </c>
    </row>
    <row r="39" spans="1:12" hidden="1" x14ac:dyDescent="0.2">
      <c r="A39" s="13"/>
      <c r="B39" s="14"/>
      <c r="C39" s="15"/>
      <c r="E39" s="15"/>
      <c r="H39" t="s">
        <v>136</v>
      </c>
    </row>
    <row r="40" spans="1:12" hidden="1" x14ac:dyDescent="0.2"/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6380656.0699999994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</sheetData>
  <mergeCells count="4">
    <mergeCell ref="I4:L4"/>
    <mergeCell ref="B1:H1"/>
    <mergeCell ref="B2:H2"/>
    <mergeCell ref="B3:H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60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.28515625" customWidth="1"/>
    <col min="7" max="7" width="15.140625" customWidth="1"/>
    <col min="8" max="8" width="13.5703125" hidden="1" customWidth="1"/>
    <col min="9" max="9" width="20.7109375" hidden="1" customWidth="1"/>
    <col min="10" max="10" width="11.85546875" style="25" hidden="1" customWidth="1"/>
    <col min="11" max="11" width="10.85546875" style="25" hidden="1" customWidth="1"/>
    <col min="12" max="12" width="12.28515625" style="25" hidden="1" customWidth="1"/>
    <col min="13" max="13" width="12.140625" hidden="1" customWidth="1"/>
    <col min="14" max="16" width="9.140625" hidden="1" customWidth="1"/>
    <col min="17" max="46" width="0" hidden="1" customWidth="1"/>
  </cols>
  <sheetData>
    <row r="1" spans="1:44" ht="18" x14ac:dyDescent="0.25">
      <c r="B1" s="125" t="str">
        <f>'[9]Team Report'!B1</f>
        <v>Enron North America</v>
      </c>
      <c r="C1" s="125"/>
      <c r="D1" s="125"/>
      <c r="E1" s="125"/>
      <c r="F1" s="125"/>
      <c r="G1" s="125"/>
      <c r="H1" s="1"/>
      <c r="I1" s="1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127</v>
      </c>
      <c r="C2" s="125"/>
      <c r="D2" s="125"/>
      <c r="E2" s="125"/>
      <c r="F2" s="125"/>
      <c r="G2" s="125"/>
      <c r="H2" s="1"/>
      <c r="I2" s="1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131" t="s">
        <v>1</v>
      </c>
      <c r="C3" s="131"/>
      <c r="D3" s="131"/>
      <c r="E3" s="131"/>
      <c r="F3" s="131"/>
      <c r="G3" s="131"/>
      <c r="H3" s="3"/>
      <c r="I3" s="3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3.5" thickBot="1" x14ac:dyDescent="0.25"/>
    <row r="5" spans="1:44" x14ac:dyDescent="0.2">
      <c r="I5" s="4"/>
      <c r="J5" s="40"/>
      <c r="K5" s="40"/>
      <c r="L5" s="41"/>
    </row>
    <row r="6" spans="1:44" x14ac:dyDescent="0.2">
      <c r="C6" s="10">
        <v>37135</v>
      </c>
      <c r="E6" s="44" t="s">
        <v>63</v>
      </c>
      <c r="G6" s="44" t="s">
        <v>65</v>
      </c>
      <c r="I6" s="7"/>
      <c r="J6" s="19" t="s">
        <v>2</v>
      </c>
      <c r="K6" s="19" t="s">
        <v>3</v>
      </c>
      <c r="L6" s="74" t="s">
        <v>109</v>
      </c>
      <c r="O6" s="11">
        <v>2002</v>
      </c>
    </row>
    <row r="7" spans="1:44" x14ac:dyDescent="0.2">
      <c r="C7" s="12" t="s">
        <v>6</v>
      </c>
      <c r="E7" s="12" t="s">
        <v>7</v>
      </c>
      <c r="G7" s="12" t="s">
        <v>8</v>
      </c>
      <c r="I7" s="7"/>
      <c r="J7" s="17"/>
      <c r="K7" s="17"/>
      <c r="L7" s="43"/>
      <c r="O7" s="12" t="s">
        <v>8</v>
      </c>
    </row>
    <row r="8" spans="1:44" x14ac:dyDescent="0.2">
      <c r="A8" s="13" t="s">
        <v>10</v>
      </c>
      <c r="B8" s="14" t="s">
        <v>11</v>
      </c>
      <c r="C8" s="53">
        <f>'[9]Team Report'!BA25</f>
        <v>3696902.5199999996</v>
      </c>
      <c r="E8" s="15">
        <f>(C8/9)*12</f>
        <v>4929203.3599999994</v>
      </c>
      <c r="G8" s="15">
        <f>L29-G10</f>
        <v>1005600</v>
      </c>
      <c r="I8" s="7"/>
      <c r="J8" s="17"/>
      <c r="K8" s="17"/>
      <c r="L8" s="43"/>
      <c r="O8" s="15">
        <f>+G8/$G$29*$O$29</f>
        <v>71828.571428571435</v>
      </c>
    </row>
    <row r="9" spans="1:44" x14ac:dyDescent="0.2">
      <c r="A9" s="13"/>
      <c r="B9" s="14" t="s">
        <v>12</v>
      </c>
      <c r="C9" s="15">
        <v>0</v>
      </c>
      <c r="E9" s="15">
        <f>(C9/9)*12</f>
        <v>0</v>
      </c>
      <c r="G9" s="15">
        <v>0</v>
      </c>
      <c r="I9" s="7" t="s">
        <v>11</v>
      </c>
      <c r="J9" s="17">
        <v>0</v>
      </c>
      <c r="K9" s="17">
        <v>19</v>
      </c>
      <c r="L9" s="43">
        <f>L33</f>
        <v>1448640</v>
      </c>
      <c r="O9" s="15">
        <f t="shared" ref="O9:O21" si="0">+G9/$G$29*$O$29</f>
        <v>0</v>
      </c>
    </row>
    <row r="10" spans="1:44" x14ac:dyDescent="0.2">
      <c r="A10" s="13"/>
      <c r="B10" s="14" t="s">
        <v>72</v>
      </c>
      <c r="C10" s="15">
        <v>0</v>
      </c>
      <c r="E10" s="15">
        <f>(C10/9)*12</f>
        <v>0</v>
      </c>
      <c r="G10" s="15">
        <f>L20+L21</f>
        <v>201600</v>
      </c>
      <c r="I10" s="7"/>
      <c r="J10" s="17"/>
      <c r="K10" s="17"/>
      <c r="L10" s="43"/>
      <c r="O10" s="15">
        <f t="shared" si="0"/>
        <v>14400</v>
      </c>
    </row>
    <row r="11" spans="1:44" x14ac:dyDescent="0.2">
      <c r="A11" s="13" t="s">
        <v>14</v>
      </c>
      <c r="B11" s="14" t="s">
        <v>15</v>
      </c>
      <c r="C11" s="15">
        <f>'[9]Team Report'!BA26</f>
        <v>823813.24</v>
      </c>
      <c r="E11" s="15">
        <f>(C11/9)*12</f>
        <v>1098417.6533333333</v>
      </c>
      <c r="G11" s="15">
        <f>L33-L29</f>
        <v>241440</v>
      </c>
      <c r="I11" s="7"/>
      <c r="J11" s="17"/>
      <c r="K11" s="17"/>
      <c r="L11" s="43"/>
      <c r="O11" s="15">
        <f t="shared" si="0"/>
        <v>17245.714285714286</v>
      </c>
    </row>
    <row r="12" spans="1:44" x14ac:dyDescent="0.2">
      <c r="A12" s="13" t="s">
        <v>17</v>
      </c>
      <c r="B12" s="14" t="s">
        <v>18</v>
      </c>
      <c r="C12" s="15">
        <f>'[9]Team Report'!BA27</f>
        <v>-177210.59000000003</v>
      </c>
      <c r="E12" s="20">
        <f>((C12/9)*12+350000)*1.4</f>
        <v>159206.89866666665</v>
      </c>
      <c r="G12" s="21">
        <f t="shared" ref="G12:G22" si="1">(E12/$E$29)*$G$29</f>
        <v>26534.483111111105</v>
      </c>
      <c r="I12" s="7" t="s">
        <v>16</v>
      </c>
      <c r="J12" s="17">
        <f>(E12+E13+E14+E15+E16+E17+E18+E19+E20+E21+E22)/E29</f>
        <v>13598.373873015877</v>
      </c>
      <c r="K12" s="17">
        <v>19</v>
      </c>
      <c r="L12" s="43">
        <f>J12*K12</f>
        <v>258369.10358730165</v>
      </c>
      <c r="O12" s="15">
        <f t="shared" si="0"/>
        <v>1895.3202222222219</v>
      </c>
    </row>
    <row r="13" spans="1:44" x14ac:dyDescent="0.2">
      <c r="A13" s="13" t="s">
        <v>19</v>
      </c>
      <c r="B13" s="14" t="s">
        <v>20</v>
      </c>
      <c r="C13" s="15">
        <f>'[9]Team Report'!BA28</f>
        <v>238343.32</v>
      </c>
      <c r="E13" s="20">
        <f>((C13/9)*12)*1.4</f>
        <v>444907.53066666669</v>
      </c>
      <c r="G13" s="21">
        <f t="shared" si="1"/>
        <v>74151.255111111124</v>
      </c>
      <c r="I13" s="7"/>
      <c r="J13" s="17"/>
      <c r="K13" s="17"/>
      <c r="L13" s="43"/>
      <c r="O13" s="15">
        <f t="shared" si="0"/>
        <v>5296.5182222222229</v>
      </c>
    </row>
    <row r="14" spans="1:44" ht="13.5" thickBot="1" x14ac:dyDescent="0.25">
      <c r="A14" s="13" t="s">
        <v>22</v>
      </c>
      <c r="B14" s="14" t="s">
        <v>23</v>
      </c>
      <c r="C14" s="15">
        <v>0</v>
      </c>
      <c r="E14" s="20">
        <f>(C14/9)*12</f>
        <v>0</v>
      </c>
      <c r="G14" s="21">
        <f t="shared" si="1"/>
        <v>0</v>
      </c>
      <c r="I14" s="22" t="s">
        <v>21</v>
      </c>
      <c r="J14" s="47"/>
      <c r="K14" s="47"/>
      <c r="L14" s="48">
        <f>SUM(L9:L12)</f>
        <v>1707009.1035873017</v>
      </c>
      <c r="N14">
        <v>2206762</v>
      </c>
      <c r="O14" s="15">
        <f t="shared" si="0"/>
        <v>0</v>
      </c>
      <c r="P14" s="49">
        <f>N14-L14</f>
        <v>499752.89641269832</v>
      </c>
    </row>
    <row r="15" spans="1:44" x14ac:dyDescent="0.2">
      <c r="A15" s="13" t="s">
        <v>24</v>
      </c>
      <c r="B15" s="14" t="s">
        <v>25</v>
      </c>
      <c r="C15" s="15">
        <f>'[9]Team Report'!BA33</f>
        <v>93641.700000000012</v>
      </c>
      <c r="E15" s="20">
        <f>((C15/9)*12)*1.4</f>
        <v>174797.84000000003</v>
      </c>
      <c r="G15" s="21">
        <f t="shared" si="1"/>
        <v>29132.973333333342</v>
      </c>
      <c r="I15" s="8"/>
      <c r="J15" s="17"/>
      <c r="K15" s="17"/>
      <c r="L15" s="17"/>
      <c r="O15" s="15">
        <f t="shared" si="0"/>
        <v>2080.9266666666672</v>
      </c>
    </row>
    <row r="16" spans="1:44" x14ac:dyDescent="0.2">
      <c r="A16" s="13" t="s">
        <v>26</v>
      </c>
      <c r="B16" s="14" t="s">
        <v>27</v>
      </c>
      <c r="C16" s="15">
        <f>'[9]Team Report'!BA34</f>
        <v>0</v>
      </c>
      <c r="E16" s="20">
        <f>(C16/9)*12</f>
        <v>0</v>
      </c>
      <c r="G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'[9]Team Report'!BA35</f>
        <v>0</v>
      </c>
      <c r="E17" s="20">
        <f>(C17/9)*12</f>
        <v>0</v>
      </c>
      <c r="G17" s="21">
        <f t="shared" si="1"/>
        <v>0</v>
      </c>
      <c r="I17" s="8" t="s">
        <v>28</v>
      </c>
      <c r="J17" s="17">
        <v>30000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'[9]Team Report'!BA36</f>
        <v>3626.4</v>
      </c>
      <c r="E18" s="20">
        <f>((C18/9)*12)*1.4</f>
        <v>6769.28</v>
      </c>
      <c r="G18" s="21">
        <f t="shared" si="1"/>
        <v>1128.2133333333331</v>
      </c>
      <c r="I18" t="s">
        <v>95</v>
      </c>
      <c r="J18" s="25">
        <f>40000*1.2</f>
        <v>48000</v>
      </c>
      <c r="K18" s="17">
        <v>1</v>
      </c>
      <c r="L18" s="17">
        <f t="shared" si="2"/>
        <v>48000</v>
      </c>
      <c r="O18" s="15">
        <f t="shared" si="0"/>
        <v>80.586666666666659</v>
      </c>
    </row>
    <row r="19" spans="1:15" x14ac:dyDescent="0.2">
      <c r="A19" s="13" t="s">
        <v>35</v>
      </c>
      <c r="B19" s="14" t="s">
        <v>36</v>
      </c>
      <c r="C19" s="15">
        <f>'[9]Team Report'!BA37</f>
        <v>121524.64000000001</v>
      </c>
      <c r="E19" s="20">
        <f>((C19/9)*12)*1.6+21500</f>
        <v>280752.56533333339</v>
      </c>
      <c r="G19" s="21">
        <f t="shared" si="1"/>
        <v>46792.094222222237</v>
      </c>
      <c r="I19" t="s">
        <v>34</v>
      </c>
      <c r="J19" s="25">
        <v>41000</v>
      </c>
      <c r="K19" s="17">
        <f>H19*J19</f>
        <v>0</v>
      </c>
      <c r="L19" s="17">
        <f t="shared" si="2"/>
        <v>0</v>
      </c>
      <c r="O19" s="15">
        <f t="shared" si="0"/>
        <v>3342.2924444444457</v>
      </c>
    </row>
    <row r="20" spans="1:15" x14ac:dyDescent="0.2">
      <c r="A20" s="13" t="s">
        <v>38</v>
      </c>
      <c r="B20" s="14" t="s">
        <v>39</v>
      </c>
      <c r="C20" s="15">
        <f>'[9]Team Report'!BA38</f>
        <v>1258.2</v>
      </c>
      <c r="E20" s="20">
        <f>((C20/9)*12)*1.2</f>
        <v>2013.1200000000001</v>
      </c>
      <c r="G20" s="21">
        <f t="shared" si="1"/>
        <v>335.52000000000004</v>
      </c>
      <c r="I20" t="s">
        <v>96</v>
      </c>
      <c r="J20" s="25">
        <f>48000*1.2</f>
        <v>57600</v>
      </c>
      <c r="K20" s="17">
        <v>1</v>
      </c>
      <c r="L20" s="17">
        <f t="shared" si="2"/>
        <v>57600</v>
      </c>
      <c r="O20" s="15">
        <f t="shared" si="0"/>
        <v>23.965714285714288</v>
      </c>
    </row>
    <row r="21" spans="1:15" x14ac:dyDescent="0.2">
      <c r="A21" s="13" t="s">
        <v>41</v>
      </c>
      <c r="B21" s="14" t="s">
        <v>42</v>
      </c>
      <c r="C21" s="15">
        <f>'[9]Team Report'!BA42</f>
        <v>33298.459999999992</v>
      </c>
      <c r="E21" s="20">
        <f>((C21/9)*12)*1.6</f>
        <v>71036.714666666652</v>
      </c>
      <c r="G21" s="21">
        <f t="shared" si="1"/>
        <v>11839.452444444443</v>
      </c>
      <c r="I21" t="s">
        <v>46</v>
      </c>
      <c r="J21" s="25">
        <f>60000*1.2</f>
        <v>72000</v>
      </c>
      <c r="K21" s="25">
        <v>2</v>
      </c>
      <c r="L21" s="17">
        <f t="shared" si="2"/>
        <v>144000</v>
      </c>
      <c r="O21" s="15">
        <f t="shared" si="0"/>
        <v>845.67517460317447</v>
      </c>
    </row>
    <row r="22" spans="1:15" x14ac:dyDescent="0.2">
      <c r="A22" s="13" t="s">
        <v>44</v>
      </c>
      <c r="B22" s="14" t="s">
        <v>45</v>
      </c>
      <c r="C22" s="15">
        <f>'[9]Team Report'!BA44</f>
        <v>1737.16</v>
      </c>
      <c r="E22" s="20">
        <f>((C22/9)*12)*1.2</f>
        <v>2779.4559999999997</v>
      </c>
      <c r="G22" s="21">
        <f t="shared" si="1"/>
        <v>463.24266666666665</v>
      </c>
      <c r="I22" t="s">
        <v>37</v>
      </c>
      <c r="J22" s="25">
        <f>52000*1.2</f>
        <v>62400</v>
      </c>
      <c r="K22" s="17">
        <v>3</v>
      </c>
      <c r="L22" s="17">
        <f t="shared" si="2"/>
        <v>187200</v>
      </c>
      <c r="O22" s="15">
        <f>+G22/$G$29*$O$29</f>
        <v>33.088761904761903</v>
      </c>
    </row>
    <row r="23" spans="1:15" x14ac:dyDescent="0.2">
      <c r="A23" s="26" t="s">
        <v>47</v>
      </c>
      <c r="B23" s="27" t="s">
        <v>48</v>
      </c>
      <c r="C23" s="28">
        <f>SUM(C8:C22)</f>
        <v>4836935.0500000007</v>
      </c>
      <c r="E23" s="28">
        <f>SUM(E8:E22)</f>
        <v>7169884.4186666673</v>
      </c>
      <c r="G23" s="28">
        <f>SUM(G8:G22)</f>
        <v>1639017.2342222224</v>
      </c>
      <c r="I23" t="s">
        <v>97</v>
      </c>
      <c r="J23" s="25">
        <f>62000*1.2</f>
        <v>74400</v>
      </c>
      <c r="K23" s="17">
        <v>1</v>
      </c>
      <c r="L23" s="17">
        <f t="shared" si="2"/>
        <v>74400</v>
      </c>
      <c r="O23" s="28">
        <f>SUM(O8:O22)</f>
        <v>117072.6595873016</v>
      </c>
    </row>
    <row r="24" spans="1:15" x14ac:dyDescent="0.2">
      <c r="I24" t="s">
        <v>98</v>
      </c>
      <c r="J24" s="25">
        <f>75000*1.2</f>
        <v>90000</v>
      </c>
      <c r="K24" s="17">
        <v>4</v>
      </c>
      <c r="L24" s="17">
        <f t="shared" si="2"/>
        <v>360000</v>
      </c>
    </row>
    <row r="25" spans="1:15" x14ac:dyDescent="0.2">
      <c r="B25" s="27" t="s">
        <v>51</v>
      </c>
      <c r="C25" s="55"/>
      <c r="E25" s="55">
        <v>84</v>
      </c>
      <c r="G25" s="79">
        <f>SUM(K17:K19,K22:K28)</f>
        <v>11</v>
      </c>
      <c r="I25" t="s">
        <v>99</v>
      </c>
      <c r="J25" s="25">
        <f>100000*1.2</f>
        <v>120000</v>
      </c>
      <c r="K25" s="17">
        <v>1</v>
      </c>
      <c r="L25" s="17">
        <f t="shared" si="2"/>
        <v>120000</v>
      </c>
      <c r="O25" s="31">
        <f>SUM(U16:U20,U23:U27)</f>
        <v>0</v>
      </c>
    </row>
    <row r="26" spans="1:15" x14ac:dyDescent="0.2">
      <c r="I26" t="s">
        <v>121</v>
      </c>
      <c r="J26" s="25">
        <f>149000*1.2</f>
        <v>178800</v>
      </c>
      <c r="K26" s="17">
        <f>H25*J26</f>
        <v>0</v>
      </c>
      <c r="L26" s="17">
        <f t="shared" si="2"/>
        <v>0</v>
      </c>
      <c r="O26" s="15"/>
    </row>
    <row r="27" spans="1:15" x14ac:dyDescent="0.2">
      <c r="B27" s="27" t="s">
        <v>69</v>
      </c>
      <c r="C27" s="55"/>
      <c r="E27" s="55"/>
      <c r="G27" s="79">
        <f>SUM(K20:K21)</f>
        <v>3</v>
      </c>
      <c r="I27" t="s">
        <v>101</v>
      </c>
      <c r="J27" s="25">
        <f>180000*1.2</f>
        <v>216000</v>
      </c>
      <c r="K27" s="17">
        <v>1</v>
      </c>
      <c r="L27" s="17">
        <f t="shared" si="2"/>
        <v>216000</v>
      </c>
      <c r="O27" s="31">
        <f>+U21+U22</f>
        <v>0</v>
      </c>
    </row>
    <row r="28" spans="1:15" x14ac:dyDescent="0.2">
      <c r="I28" t="s">
        <v>102</v>
      </c>
      <c r="J28" s="25">
        <f>260000*1.2</f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84</v>
      </c>
      <c r="G29" s="55">
        <f>SUM(G25:G28)</f>
        <v>14</v>
      </c>
      <c r="K29" s="25">
        <f>SUM(K17:K28)</f>
        <v>14</v>
      </c>
      <c r="L29" s="17">
        <f>SUM(L17:L28)</f>
        <v>1207200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'[9]Team Report'!BA29</f>
        <v>0</v>
      </c>
      <c r="E31" s="15">
        <f t="shared" ref="E31:E38" si="3">(C31/9)*12</f>
        <v>0</v>
      </c>
      <c r="I31" t="s">
        <v>104</v>
      </c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'[9]Team Report'!BA30</f>
        <v>0</v>
      </c>
      <c r="E32" s="15">
        <f t="shared" si="3"/>
        <v>0</v>
      </c>
    </row>
    <row r="33" spans="1:12" hidden="1" x14ac:dyDescent="0.2">
      <c r="A33" s="13" t="s">
        <v>77</v>
      </c>
      <c r="B33" s="14" t="s">
        <v>78</v>
      </c>
      <c r="C33" s="15">
        <f>'[9]Team Report'!BA31</f>
        <v>0</v>
      </c>
      <c r="E33" s="15">
        <f t="shared" si="3"/>
        <v>0</v>
      </c>
      <c r="L33" s="25">
        <f>L29*1.2</f>
        <v>1448640</v>
      </c>
    </row>
    <row r="34" spans="1:12" hidden="1" x14ac:dyDescent="0.2">
      <c r="A34" s="13" t="s">
        <v>79</v>
      </c>
      <c r="B34" s="14" t="s">
        <v>80</v>
      </c>
      <c r="C34" s="15">
        <f>'[9]Team Report'!BA39</f>
        <v>0</v>
      </c>
      <c r="E34" s="15">
        <f t="shared" si="3"/>
        <v>0</v>
      </c>
    </row>
    <row r="35" spans="1:12" hidden="1" x14ac:dyDescent="0.2">
      <c r="A35" s="13" t="s">
        <v>81</v>
      </c>
      <c r="B35" s="14" t="s">
        <v>82</v>
      </c>
      <c r="C35" s="15">
        <f>'[9]Team Report'!BA40</f>
        <v>77797.26999999999</v>
      </c>
      <c r="E35" s="15">
        <f t="shared" si="3"/>
        <v>103729.69333333333</v>
      </c>
    </row>
    <row r="36" spans="1:12" hidden="1" x14ac:dyDescent="0.2">
      <c r="A36" s="13" t="s">
        <v>83</v>
      </c>
      <c r="B36" s="14" t="s">
        <v>84</v>
      </c>
      <c r="C36" s="15">
        <f>'[9]Team Report'!BA41</f>
        <v>677124.53999999992</v>
      </c>
      <c r="E36" s="15">
        <f t="shared" si="3"/>
        <v>902832.72</v>
      </c>
    </row>
    <row r="37" spans="1:12" hidden="1" x14ac:dyDescent="0.2">
      <c r="A37" s="13" t="s">
        <v>85</v>
      </c>
      <c r="B37" s="14" t="s">
        <v>86</v>
      </c>
      <c r="C37" s="15">
        <f>'[9]Team Report'!BA43</f>
        <v>-1637349.75</v>
      </c>
      <c r="E37" s="15">
        <f t="shared" si="3"/>
        <v>-2183133</v>
      </c>
      <c r="H37" s="33" t="s">
        <v>57</v>
      </c>
      <c r="I37" s="25"/>
      <c r="L37"/>
    </row>
    <row r="38" spans="1:12" hidden="1" x14ac:dyDescent="0.2">
      <c r="A38" s="13" t="s">
        <v>87</v>
      </c>
      <c r="B38" s="14" t="s">
        <v>88</v>
      </c>
      <c r="C38" s="15">
        <f>'[9]Team Report'!BA45</f>
        <v>15745.09</v>
      </c>
      <c r="E38" s="15">
        <f t="shared" si="3"/>
        <v>20993.453333333335</v>
      </c>
      <c r="I38" s="25"/>
      <c r="L38"/>
    </row>
    <row r="39" spans="1:12" hidden="1" x14ac:dyDescent="0.2">
      <c r="A39" s="77" t="s">
        <v>22</v>
      </c>
      <c r="B39" s="14" t="s">
        <v>23</v>
      </c>
      <c r="C39" s="15">
        <v>180700.52</v>
      </c>
      <c r="E39" s="15">
        <v>240934.02666666661</v>
      </c>
      <c r="H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H40" s="36">
        <f>SUM(E12:E22)</f>
        <v>1142263.4053333336</v>
      </c>
      <c r="I40" s="56">
        <f>+E29</f>
        <v>84</v>
      </c>
      <c r="J40" s="37">
        <f>+H40/I40</f>
        <v>13598.373873015877</v>
      </c>
      <c r="K40" s="56">
        <f>+K12</f>
        <v>19</v>
      </c>
      <c r="L40" s="37">
        <f>+J40*K40</f>
        <v>258369.10358730165</v>
      </c>
    </row>
    <row r="41" spans="1:12" hidden="1" x14ac:dyDescent="0.2"/>
    <row r="42" spans="1:12" hidden="1" x14ac:dyDescent="0.2"/>
    <row r="43" spans="1:12" hidden="1" x14ac:dyDescent="0.2"/>
    <row r="44" spans="1:12" hidden="1" x14ac:dyDescent="0.2">
      <c r="C44" s="54">
        <f>C23+C31+C32+C33+C34+C35+C36+C37+C38</f>
        <v>3970252.2</v>
      </c>
    </row>
    <row r="45" spans="1:12" hidden="1" x14ac:dyDescent="0.2"/>
    <row r="46" spans="1:12" hidden="1" x14ac:dyDescent="0.2"/>
    <row r="47" spans="1:12" hidden="1" x14ac:dyDescent="0.2"/>
    <row r="48" spans="1:12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</sheetData>
  <mergeCells count="3">
    <mergeCell ref="B1:G1"/>
    <mergeCell ref="B2:G2"/>
    <mergeCell ref="B3:G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48"/>
  <sheetViews>
    <sheetView topLeftCell="A4"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4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SUM(M17:M28)</f>
        <v>16234800</v>
      </c>
      <c r="J8" s="7"/>
      <c r="K8" s="17"/>
      <c r="L8" s="17"/>
      <c r="M8" s="43"/>
      <c r="O8" s="15">
        <f t="shared" ref="O8:O22" si="1">+G8/$G$29*$O$29</f>
        <v>115962.85714285714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140</v>
      </c>
      <c r="M9" s="43">
        <f>M35</f>
        <v>19481760</v>
      </c>
      <c r="O9" s="15">
        <f t="shared" si="1"/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3246960</v>
      </c>
      <c r="J11" s="7"/>
      <c r="K11" s="17"/>
      <c r="L11" s="17"/>
      <c r="M11" s="43"/>
      <c r="O11" s="15">
        <f t="shared" si="1"/>
        <v>23192.571428571428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Dev'!G12+'IT EOL'!G12</f>
        <v>2204342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15745.3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Dev'!G13+'IT EOL'!G13</f>
        <v>1196257.8400000001</v>
      </c>
      <c r="J13" s="7"/>
      <c r="K13" s="17"/>
      <c r="L13" s="17"/>
      <c r="M13" s="43"/>
      <c r="O13" s="15">
        <f t="shared" si="1"/>
        <v>8544.6988571428574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Dev'!G14+'IT EOL'!G14</f>
        <v>0</v>
      </c>
      <c r="J14" s="22" t="s">
        <v>21</v>
      </c>
      <c r="K14" s="47"/>
      <c r="L14" s="47"/>
      <c r="M14" s="48">
        <f>SUM(M9:M12)</f>
        <v>22588920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Dev'!G15+'IT EOL'!G15</f>
        <v>495389.44</v>
      </c>
      <c r="J15" s="8"/>
      <c r="K15" s="17"/>
      <c r="L15" s="17"/>
      <c r="M15" s="17"/>
      <c r="O15" s="15">
        <f t="shared" si="1"/>
        <v>3538.4960000000001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Dev'!G16+'IT EOL'!G16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Dev'!G17+'IT EOL'!G17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Dev'!G18+'IT EOL'!G18</f>
        <v>0</v>
      </c>
      <c r="J18" t="s">
        <v>31</v>
      </c>
      <c r="K18" s="25">
        <v>57600</v>
      </c>
      <c r="L18" s="25">
        <v>3</v>
      </c>
      <c r="M18" s="17">
        <f t="shared" si="2"/>
        <v>172800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Dev'!G19+'IT EOL'!G19</f>
        <v>2825299.92</v>
      </c>
      <c r="J19" t="s">
        <v>34</v>
      </c>
      <c r="K19" s="25">
        <v>60000</v>
      </c>
      <c r="L19" s="25">
        <v>1</v>
      </c>
      <c r="M19" s="17">
        <f t="shared" si="2"/>
        <v>60000</v>
      </c>
      <c r="O19" s="15">
        <f t="shared" si="1"/>
        <v>20180.713714285714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Dev'!G20+'IT EOL'!G20</f>
        <v>0</v>
      </c>
      <c r="J20" t="s">
        <v>37</v>
      </c>
      <c r="K20" s="25">
        <v>78000</v>
      </c>
      <c r="L20" s="25">
        <f>27+1</f>
        <v>28</v>
      </c>
      <c r="M20" s="17">
        <f t="shared" si="2"/>
        <v>2184000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Dev'!G21+'IT EOL'!G21</f>
        <v>9788077.4000000004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69914.838571428569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Dev'!G22+'IT EOL'!G22</f>
        <v>0</v>
      </c>
      <c r="J22" t="s">
        <v>138</v>
      </c>
      <c r="K22" s="25">
        <v>192000</v>
      </c>
      <c r="L22" s="25">
        <v>0</v>
      </c>
      <c r="M22" s="17">
        <f t="shared" si="2"/>
        <v>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35991126.600000001</v>
      </c>
      <c r="J23" t="s">
        <v>139</v>
      </c>
      <c r="K23" s="25">
        <v>192000</v>
      </c>
      <c r="L23" s="25">
        <v>0</v>
      </c>
      <c r="M23" s="17">
        <f t="shared" si="2"/>
        <v>0</v>
      </c>
      <c r="O23" s="28">
        <f>SUM(O8:O22)</f>
        <v>257079.47571428574</v>
      </c>
    </row>
    <row r="24" spans="1:15" x14ac:dyDescent="0.2">
      <c r="J24" t="s">
        <v>49</v>
      </c>
      <c r="K24" s="25">
        <v>144000</v>
      </c>
      <c r="L24" s="25">
        <v>28</v>
      </c>
      <c r="M24" s="17">
        <f t="shared" si="2"/>
        <v>4032000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f>+L29</f>
        <v>140</v>
      </c>
      <c r="J25" t="s">
        <v>50</v>
      </c>
      <c r="K25" s="25">
        <v>168000</v>
      </c>
      <c r="L25" s="25">
        <v>9</v>
      </c>
      <c r="M25" s="17">
        <f t="shared" si="2"/>
        <v>1512000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140</v>
      </c>
      <c r="L29" s="25">
        <f>SUM(L17:L28)</f>
        <v>140</v>
      </c>
      <c r="M29" s="25">
        <f>SUM(M17:M28)</f>
        <v>16234800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19481760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1" max="1" width="5.140625" customWidth="1"/>
    <col min="2" max="2" width="23.42578125" bestFit="1" customWidth="1"/>
    <col min="3" max="3" width="15.85546875" hidden="1" customWidth="1"/>
    <col min="4" max="4" width="1.85546875" customWidth="1"/>
    <col min="5" max="5" width="13.85546875" hidden="1" customWidth="1"/>
    <col min="6" max="7" width="2.28515625" hidden="1" customWidth="1"/>
    <col min="8" max="8" width="13" customWidth="1"/>
    <col min="9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50" width="0" hidden="1" customWidth="1"/>
  </cols>
  <sheetData>
    <row r="1" spans="1:45" ht="18" x14ac:dyDescent="0.25">
      <c r="B1" s="125" t="str">
        <f>'[12]Team Report'!B1</f>
        <v>Enron North America</v>
      </c>
      <c r="C1" s="125"/>
      <c r="D1" s="125"/>
      <c r="E1" s="125"/>
      <c r="F1" s="127"/>
      <c r="G1" s="127"/>
      <c r="H1" s="127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Infrastructure"</f>
        <v>IT Infrastructure</v>
      </c>
      <c r="C2" s="125"/>
      <c r="D2" s="125"/>
      <c r="E2" s="125"/>
      <c r="F2" s="127"/>
      <c r="G2" s="127"/>
      <c r="H2" s="127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127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H6" s="11">
        <v>2002</v>
      </c>
      <c r="J6" s="7"/>
      <c r="K6" s="19" t="s">
        <v>2</v>
      </c>
      <c r="L6" s="19" t="s">
        <v>3</v>
      </c>
      <c r="M6" s="74" t="s">
        <v>109</v>
      </c>
      <c r="Q6" s="44" t="s">
        <v>65</v>
      </c>
    </row>
    <row r="7" spans="1:45" x14ac:dyDescent="0.2">
      <c r="C7" s="12" t="s">
        <v>6</v>
      </c>
      <c r="E7" s="12" t="s">
        <v>7</v>
      </c>
      <c r="H7" s="12" t="s">
        <v>8</v>
      </c>
      <c r="J7" s="7"/>
      <c r="K7" s="17"/>
      <c r="L7" s="17"/>
      <c r="M7" s="43"/>
      <c r="Q7" s="12" t="s">
        <v>8</v>
      </c>
    </row>
    <row r="8" spans="1:45" x14ac:dyDescent="0.2">
      <c r="A8" s="13" t="s">
        <v>10</v>
      </c>
      <c r="B8" s="14" t="s">
        <v>11</v>
      </c>
      <c r="C8" s="53">
        <f>'[12]Team Report'!BA25</f>
        <v>10228335.790000001</v>
      </c>
      <c r="E8" s="15">
        <f>+C8/9*12</f>
        <v>13637781.053333335</v>
      </c>
      <c r="H8" s="15">
        <f>+M29</f>
        <v>7011600</v>
      </c>
      <c r="J8" s="7"/>
      <c r="K8" s="17"/>
      <c r="L8" s="17"/>
      <c r="M8" s="43"/>
      <c r="Q8" s="15">
        <f>+H8/$H$29*$Q$29</f>
        <v>118840.67796610169</v>
      </c>
    </row>
    <row r="9" spans="1:45" hidden="1" x14ac:dyDescent="0.2">
      <c r="A9" s="13"/>
      <c r="B9" s="14" t="s">
        <v>12</v>
      </c>
      <c r="C9" s="15">
        <v>0</v>
      </c>
      <c r="E9" s="15">
        <f t="shared" ref="E9:E20" si="0">(C9/9)*12</f>
        <v>0</v>
      </c>
      <c r="H9" s="15">
        <f>(F9/9)*12</f>
        <v>0</v>
      </c>
      <c r="J9" s="7" t="s">
        <v>11</v>
      </c>
      <c r="K9" s="17">
        <v>0</v>
      </c>
      <c r="L9" s="17">
        <f>+L35</f>
        <v>67</v>
      </c>
      <c r="M9" s="43">
        <f>M35</f>
        <v>9949920</v>
      </c>
      <c r="Q9" s="15">
        <f t="shared" ref="Q9:Q22" si="1">+H9/$H$29*$Q$29</f>
        <v>0</v>
      </c>
    </row>
    <row r="10" spans="1:45" hidden="1" x14ac:dyDescent="0.2">
      <c r="A10" s="13"/>
      <c r="B10" s="14" t="s">
        <v>124</v>
      </c>
      <c r="C10" s="15">
        <v>0</v>
      </c>
      <c r="E10" s="15">
        <f t="shared" si="0"/>
        <v>0</v>
      </c>
      <c r="H10" s="15">
        <f>(F10/9)*12</f>
        <v>0</v>
      </c>
      <c r="J10" s="7"/>
      <c r="K10" s="17"/>
      <c r="L10" s="17"/>
      <c r="M10" s="43"/>
      <c r="Q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'[12]Team Report'!BA26</f>
        <v>1877442.13</v>
      </c>
      <c r="E11" s="15">
        <f t="shared" si="0"/>
        <v>2503256.1733333333</v>
      </c>
      <c r="H11" s="15">
        <f>+H8*0.2</f>
        <v>1402320</v>
      </c>
      <c r="J11" s="7"/>
      <c r="K11" s="17"/>
      <c r="L11" s="17"/>
      <c r="M11" s="43"/>
      <c r="Q11" s="15">
        <f t="shared" si="1"/>
        <v>23768.135593220341</v>
      </c>
    </row>
    <row r="12" spans="1:45" x14ac:dyDescent="0.2">
      <c r="A12" s="13" t="s">
        <v>17</v>
      </c>
      <c r="B12" s="14" t="s">
        <v>18</v>
      </c>
      <c r="C12" s="15">
        <f>'[12]Team Report'!BA27</f>
        <v>405632.98</v>
      </c>
      <c r="E12" s="15">
        <f t="shared" si="0"/>
        <v>540843.97333333339</v>
      </c>
      <c r="H12" s="15">
        <f>(2485728*0.35+1000000)*0.559633027522936</f>
        <v>1046516.4477064218</v>
      </c>
      <c r="J12" s="7" t="s">
        <v>16</v>
      </c>
      <c r="K12" s="17">
        <f>18495*1.2</f>
        <v>22194</v>
      </c>
      <c r="L12" s="17">
        <f>+L35</f>
        <v>67</v>
      </c>
      <c r="M12" s="43">
        <f>K12*L12+32600125</f>
        <v>34087123</v>
      </c>
      <c r="Q12" s="15">
        <f t="shared" si="1"/>
        <v>17737.566910278336</v>
      </c>
    </row>
    <row r="13" spans="1:45" x14ac:dyDescent="0.2">
      <c r="A13" s="13" t="s">
        <v>19</v>
      </c>
      <c r="B13" s="14" t="s">
        <v>20</v>
      </c>
      <c r="C13" s="15">
        <f>'[12]Team Report'!BA28</f>
        <v>648740.16999999993</v>
      </c>
      <c r="E13" s="15">
        <f t="shared" si="0"/>
        <v>864986.8933333332</v>
      </c>
      <c r="H13" s="15">
        <f>(2485728*0.13+1000000)*0.559633027522936</f>
        <v>740475.440733945</v>
      </c>
      <c r="J13" s="7"/>
      <c r="K13" s="17"/>
      <c r="L13" s="17"/>
      <c r="M13" s="43"/>
      <c r="Q13" s="15">
        <f t="shared" si="1"/>
        <v>12550.431198880424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H14" s="15">
        <v>0</v>
      </c>
      <c r="J14" s="22" t="s">
        <v>21</v>
      </c>
      <c r="K14" s="47"/>
      <c r="L14" s="47"/>
      <c r="M14" s="48">
        <f>SUM(M9:M12)</f>
        <v>44037043</v>
      </c>
      <c r="Q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'[12]Team Report'!BA33</f>
        <v>76876.320000000007</v>
      </c>
      <c r="E15" s="15">
        <f t="shared" si="0"/>
        <v>102501.76000000001</v>
      </c>
      <c r="H15" s="15">
        <f>(2485728*0.08+100000)*0.559633027522936</f>
        <v>167250.94165137614</v>
      </c>
      <c r="J15" s="8"/>
      <c r="K15" s="17"/>
      <c r="L15" s="17"/>
      <c r="M15" s="17"/>
      <c r="Q15" s="15">
        <f t="shared" si="1"/>
        <v>2834.7617229046805</v>
      </c>
    </row>
    <row r="16" spans="1:45" x14ac:dyDescent="0.2">
      <c r="A16" s="13" t="s">
        <v>26</v>
      </c>
      <c r="B16" s="14" t="s">
        <v>27</v>
      </c>
      <c r="C16" s="15">
        <f>'[12]Team Report'!BA34</f>
        <v>0</v>
      </c>
      <c r="E16" s="15">
        <f t="shared" si="0"/>
        <v>0</v>
      </c>
      <c r="H16" s="15">
        <v>0</v>
      </c>
      <c r="J16" s="8"/>
      <c r="K16" s="17"/>
      <c r="L16" s="78"/>
      <c r="M16" s="17"/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'[12]Team Report'!BA35</f>
        <v>0</v>
      </c>
      <c r="E17" s="15">
        <f t="shared" si="0"/>
        <v>0</v>
      </c>
      <c r="H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Q17" s="15">
        <f t="shared" si="1"/>
        <v>0</v>
      </c>
    </row>
    <row r="18" spans="1:17" x14ac:dyDescent="0.2">
      <c r="A18" s="13" t="s">
        <v>32</v>
      </c>
      <c r="B18" s="14" t="s">
        <v>33</v>
      </c>
      <c r="C18" s="15">
        <f>'[12]Team Report'!BA36</f>
        <v>5744.1</v>
      </c>
      <c r="E18" s="15">
        <f t="shared" si="0"/>
        <v>7658.8</v>
      </c>
      <c r="H18" s="15">
        <v>0</v>
      </c>
      <c r="J18" t="s">
        <v>31</v>
      </c>
      <c r="K18" s="25">
        <v>57600</v>
      </c>
      <c r="L18" s="25">
        <v>1</v>
      </c>
      <c r="M18" s="17">
        <f t="shared" si="2"/>
        <v>57600</v>
      </c>
      <c r="Q18" s="15">
        <f t="shared" si="1"/>
        <v>0</v>
      </c>
    </row>
    <row r="19" spans="1:17" x14ac:dyDescent="0.2">
      <c r="A19" s="13" t="s">
        <v>35</v>
      </c>
      <c r="B19" s="14" t="s">
        <v>36</v>
      </c>
      <c r="C19" s="15">
        <f>'[12]Team Report'!BA37</f>
        <v>67058.599999999991</v>
      </c>
      <c r="E19" s="15">
        <f t="shared" si="0"/>
        <v>89411.466666666645</v>
      </c>
      <c r="H19" s="15">
        <f>(2485728*0.29+2500000)*0.559633027522936</f>
        <v>1802500.2598165136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Q19" s="15">
        <f t="shared" si="1"/>
        <v>30550.85186129684</v>
      </c>
    </row>
    <row r="20" spans="1:17" x14ac:dyDescent="0.2">
      <c r="A20" s="13" t="s">
        <v>38</v>
      </c>
      <c r="B20" s="14" t="s">
        <v>39</v>
      </c>
      <c r="C20" s="15">
        <f>'[12]Team Report'!BA38</f>
        <v>0</v>
      </c>
      <c r="E20" s="15">
        <f t="shared" si="0"/>
        <v>0</v>
      </c>
      <c r="H20" s="15">
        <v>0</v>
      </c>
      <c r="J20" t="s">
        <v>37</v>
      </c>
      <c r="K20" s="25">
        <v>78000</v>
      </c>
      <c r="L20" s="25">
        <v>9</v>
      </c>
      <c r="M20" s="17">
        <f t="shared" si="2"/>
        <v>702000</v>
      </c>
      <c r="Q20" s="15">
        <f t="shared" si="1"/>
        <v>0</v>
      </c>
    </row>
    <row r="21" spans="1:17" x14ac:dyDescent="0.2">
      <c r="A21" s="13" t="s">
        <v>41</v>
      </c>
      <c r="B21" s="14" t="s">
        <v>42</v>
      </c>
      <c r="C21" s="15">
        <f>'[12]Team Report'!BA42</f>
        <v>842429.76</v>
      </c>
      <c r="E21" s="15">
        <f>(C21/9)*12+32600125</f>
        <v>33723364.68</v>
      </c>
      <c r="H21" s="15">
        <f>2485728*0.15+2500000+35100000</f>
        <v>37972859.200000003</v>
      </c>
      <c r="J21" t="s">
        <v>40</v>
      </c>
      <c r="K21" s="25">
        <v>102000</v>
      </c>
      <c r="L21" s="25">
        <v>25</v>
      </c>
      <c r="M21" s="17">
        <f t="shared" si="2"/>
        <v>2550000</v>
      </c>
      <c r="Q21" s="15">
        <f t="shared" si="1"/>
        <v>643607.78305084747</v>
      </c>
    </row>
    <row r="22" spans="1:17" x14ac:dyDescent="0.2">
      <c r="A22" s="13" t="s">
        <v>44</v>
      </c>
      <c r="B22" s="14" t="s">
        <v>45</v>
      </c>
      <c r="C22" s="15">
        <f>'[12]Team Report'!BA44</f>
        <v>6453.6999999999989</v>
      </c>
      <c r="E22" s="15">
        <f>(C22/9)*12</f>
        <v>8604.9333333333325</v>
      </c>
      <c r="H22" s="15">
        <f>(F22/9)*12</f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Q22" s="15">
        <f t="shared" si="1"/>
        <v>0</v>
      </c>
    </row>
    <row r="23" spans="1:17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51478409.733333327</v>
      </c>
      <c r="H23" s="28">
        <f>SUM(H8:H22)</f>
        <v>50143522.28990826</v>
      </c>
      <c r="J23" t="s">
        <v>139</v>
      </c>
      <c r="K23" s="25">
        <v>192000</v>
      </c>
      <c r="L23" s="25">
        <v>0</v>
      </c>
      <c r="M23" s="17">
        <f t="shared" si="2"/>
        <v>0</v>
      </c>
      <c r="Q23" s="28">
        <f>SUM(Q8:Q22)</f>
        <v>849890.20830352977</v>
      </c>
    </row>
    <row r="24" spans="1:17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7" x14ac:dyDescent="0.2">
      <c r="B25" s="27" t="s">
        <v>51</v>
      </c>
      <c r="C25" s="55"/>
      <c r="E25" s="55">
        <v>111</v>
      </c>
      <c r="F25">
        <v>40</v>
      </c>
      <c r="H25" s="79">
        <f>+L29-1</f>
        <v>58</v>
      </c>
      <c r="J25" t="s">
        <v>50</v>
      </c>
      <c r="K25" s="25">
        <v>168000</v>
      </c>
      <c r="L25" s="25">
        <v>2</v>
      </c>
      <c r="M25" s="17">
        <f t="shared" si="2"/>
        <v>336000</v>
      </c>
      <c r="Q25" s="31">
        <f>+T16+T17+T18+T19+T20+T23+T24+T25+T26+T27</f>
        <v>0</v>
      </c>
    </row>
    <row r="26" spans="1:17" x14ac:dyDescent="0.2">
      <c r="J26" t="s">
        <v>52</v>
      </c>
      <c r="K26" s="25">
        <v>216000</v>
      </c>
      <c r="L26" s="25">
        <v>4</v>
      </c>
      <c r="M26" s="17">
        <f t="shared" si="2"/>
        <v>864000</v>
      </c>
      <c r="Q26" s="15"/>
    </row>
    <row r="27" spans="1:17" x14ac:dyDescent="0.2">
      <c r="B27" s="27" t="s">
        <v>69</v>
      </c>
      <c r="C27" s="55"/>
      <c r="E27" s="55"/>
      <c r="H27" s="55">
        <v>1</v>
      </c>
      <c r="J27" t="s">
        <v>53</v>
      </c>
      <c r="K27" s="25">
        <v>222000</v>
      </c>
      <c r="L27" s="25">
        <v>1</v>
      </c>
      <c r="M27" s="17">
        <f t="shared" si="2"/>
        <v>222000</v>
      </c>
      <c r="Q27" s="31">
        <f>+T21+T22</f>
        <v>0</v>
      </c>
    </row>
    <row r="28" spans="1:17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7" x14ac:dyDescent="0.2">
      <c r="B29" s="27" t="s">
        <v>56</v>
      </c>
      <c r="C29" s="55"/>
      <c r="E29" s="55">
        <f>SUM(E25:E28)</f>
        <v>111</v>
      </c>
      <c r="H29" s="55">
        <f>SUM(H25:H28)</f>
        <v>59</v>
      </c>
      <c r="L29" s="25">
        <f>SUM(L17:L28)</f>
        <v>59</v>
      </c>
      <c r="M29" s="25">
        <f>SUM(M17:M28)</f>
        <v>7011600</v>
      </c>
      <c r="Q29" s="31">
        <v>1</v>
      </c>
    </row>
    <row r="30" spans="1:17" x14ac:dyDescent="0.2">
      <c r="B30" s="27"/>
    </row>
    <row r="31" spans="1:17" hidden="1" x14ac:dyDescent="0.2">
      <c r="A31" s="13" t="s">
        <v>73</v>
      </c>
      <c r="B31" s="14" t="s">
        <v>74</v>
      </c>
      <c r="C31" s="15">
        <f>'[12]Team Report'!BA29</f>
        <v>-24140467.679999996</v>
      </c>
      <c r="E31" s="15">
        <v>0</v>
      </c>
      <c r="J31" t="s">
        <v>104</v>
      </c>
      <c r="L31" s="52"/>
      <c r="M31" s="52">
        <v>0.2</v>
      </c>
    </row>
    <row r="32" spans="1:17" hidden="1" x14ac:dyDescent="0.2">
      <c r="A32" s="13" t="s">
        <v>75</v>
      </c>
      <c r="B32" s="14" t="s">
        <v>76</v>
      </c>
      <c r="C32" s="15">
        <f>'[12]Team Report'!BA30</f>
        <v>0</v>
      </c>
      <c r="E32" s="15">
        <f>(C32/9)*12</f>
        <v>0</v>
      </c>
    </row>
    <row r="33" spans="1:13" hidden="1" x14ac:dyDescent="0.2">
      <c r="A33" s="13" t="s">
        <v>77</v>
      </c>
      <c r="B33" s="14" t="s">
        <v>78</v>
      </c>
      <c r="C33" s="15">
        <f>'[12]Team Report'!BA31</f>
        <v>0</v>
      </c>
      <c r="E33" s="15">
        <f>(C33/9)*12</f>
        <v>0</v>
      </c>
      <c r="J33" t="s">
        <v>135</v>
      </c>
      <c r="K33" s="25">
        <v>192000</v>
      </c>
      <c r="L33" s="25">
        <v>8</v>
      </c>
      <c r="M33" s="17">
        <f>K33*L33</f>
        <v>1536000</v>
      </c>
    </row>
    <row r="34" spans="1:13" hidden="1" x14ac:dyDescent="0.2">
      <c r="A34" s="13" t="s">
        <v>79</v>
      </c>
      <c r="B34" s="14" t="s">
        <v>80</v>
      </c>
      <c r="C34" s="15">
        <f>'[12]Team Report'!BA39</f>
        <v>0</v>
      </c>
      <c r="E34" s="15">
        <f>(C34/9)*12</f>
        <v>0</v>
      </c>
    </row>
    <row r="35" spans="1:13" hidden="1" x14ac:dyDescent="0.2">
      <c r="A35" s="13" t="s">
        <v>81</v>
      </c>
      <c r="B35" s="14" t="s">
        <v>82</v>
      </c>
      <c r="C35" s="15">
        <f>'[12]Team Report'!BA40</f>
        <v>164920.93000000002</v>
      </c>
      <c r="E35" s="15">
        <v>0</v>
      </c>
      <c r="L35" s="25">
        <f>+L29+L33</f>
        <v>67</v>
      </c>
      <c r="M35" s="25">
        <f>M29*1.2+M33</f>
        <v>9949920</v>
      </c>
    </row>
    <row r="36" spans="1:13" hidden="1" x14ac:dyDescent="0.2">
      <c r="A36" s="13" t="s">
        <v>83</v>
      </c>
      <c r="B36" s="14" t="s">
        <v>84</v>
      </c>
      <c r="C36" s="15">
        <f>'[12]Team Report'!BA41</f>
        <v>945381.27</v>
      </c>
      <c r="E36" s="15">
        <v>0</v>
      </c>
    </row>
    <row r="37" spans="1:13" hidden="1" x14ac:dyDescent="0.2">
      <c r="A37" s="13" t="s">
        <v>85</v>
      </c>
      <c r="B37" s="14" t="s">
        <v>86</v>
      </c>
      <c r="C37" s="15">
        <f>'[12]Team Report'!BA43</f>
        <v>-5121278.5200000005</v>
      </c>
      <c r="E37" s="15">
        <v>0</v>
      </c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'[12]Team Report'!BA45</f>
        <v>0</v>
      </c>
      <c r="E38" s="15">
        <f>(C38/9)*12</f>
        <v>0</v>
      </c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I39" t="s">
        <v>136</v>
      </c>
    </row>
    <row r="40" spans="1:13" x14ac:dyDescent="0.2">
      <c r="J40">
        <f>61/109</f>
        <v>0.55963302752293576</v>
      </c>
    </row>
    <row r="42" spans="1:13" x14ac:dyDescent="0.2">
      <c r="B42" s="14" t="s">
        <v>170</v>
      </c>
    </row>
    <row r="43" spans="1:13" x14ac:dyDescent="0.2">
      <c r="B43" s="14" t="s">
        <v>176</v>
      </c>
    </row>
    <row r="44" spans="1:13" x14ac:dyDescent="0.2">
      <c r="B44" s="14" t="s">
        <v>177</v>
      </c>
      <c r="C44" s="54">
        <f>C23+C31+C32+C33+C34+C35+C36+C37+C38</f>
        <v>-13992730.449999996</v>
      </c>
    </row>
  </sheetData>
  <mergeCells count="4">
    <mergeCell ref="J4:M4"/>
    <mergeCell ref="B1:H1"/>
    <mergeCell ref="B2:H2"/>
    <mergeCell ref="B3:H3"/>
  </mergeCells>
  <phoneticPr fontId="0" type="noConversion"/>
  <printOptions horizontalCentered="1"/>
  <pageMargins left="2.17" right="0.75" top="0.56000000000000005" bottom="0.48" header="0.94" footer="0.5"/>
  <pageSetup orientation="portrait" verticalDpi="196" r:id="rId1"/>
  <headerFooter alignWithMargins="0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hidden="1" customWidth="1"/>
    <col min="5" max="5" width="13.85546875" hidden="1" customWidth="1"/>
    <col min="6" max="6" width="2" customWidth="1"/>
    <col min="7" max="7" width="13.85546875" customWidth="1"/>
    <col min="8" max="8" width="2.28515625" hidden="1" customWidth="1"/>
    <col min="9" max="10" width="9.140625" hidden="1" customWidth="1"/>
    <col min="11" max="11" width="13" hidden="1" customWidth="1"/>
    <col min="12" max="12" width="10.42578125" style="25" hidden="1" customWidth="1"/>
    <col min="13" max="13" width="10.85546875" style="25" hidden="1" customWidth="1"/>
    <col min="14" max="14" width="11.42578125" style="25" hidden="1" customWidth="1"/>
    <col min="15" max="15" width="9.140625" hidden="1" customWidth="1"/>
    <col min="16" max="16" width="12.85546875" hidden="1" customWidth="1"/>
    <col min="17" max="17" width="8.7109375" hidden="1" customWidth="1"/>
    <col min="18" max="18" width="8.85546875" hidden="1" customWidth="1"/>
    <col min="19" max="19" width="10.28515625" hidden="1" customWidth="1"/>
    <col min="20" max="49" width="0" hidden="1" customWidth="1"/>
  </cols>
  <sheetData>
    <row r="1" spans="1:45" ht="18" x14ac:dyDescent="0.25">
      <c r="B1" s="125" t="str">
        <f>'[5]Team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1"/>
      <c r="L1" s="38"/>
      <c r="M1" s="38"/>
      <c r="N1" s="3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141</v>
      </c>
      <c r="C2" s="125"/>
      <c r="D2" s="125"/>
      <c r="E2" s="125"/>
      <c r="F2" s="127"/>
      <c r="G2" s="127"/>
      <c r="H2" s="1"/>
      <c r="I2" s="1"/>
      <c r="J2" s="1"/>
      <c r="K2" s="1"/>
      <c r="L2" s="38"/>
      <c r="M2" s="38"/>
      <c r="N2" s="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7"/>
      <c r="G3" s="127"/>
      <c r="H3" s="3"/>
      <c r="I3" s="3"/>
      <c r="J3" s="3"/>
      <c r="K3" s="3"/>
      <c r="L3" s="38"/>
      <c r="M3" s="38"/>
      <c r="N3" s="38"/>
      <c r="O3" s="3"/>
      <c r="P3" s="81"/>
      <c r="Q3" s="81"/>
      <c r="R3" s="81"/>
      <c r="S3" s="81"/>
      <c r="T3" s="81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K4" s="130"/>
      <c r="L4" s="130"/>
      <c r="M4" s="130"/>
      <c r="N4" s="130"/>
      <c r="P4" s="133"/>
      <c r="Q4" s="133"/>
      <c r="R4" s="133"/>
      <c r="S4" s="133"/>
      <c r="T4" s="8"/>
    </row>
    <row r="5" spans="1:45" x14ac:dyDescent="0.2">
      <c r="K5" s="4"/>
      <c r="L5" s="40"/>
      <c r="M5" s="40"/>
      <c r="N5" s="41"/>
      <c r="O5" s="8"/>
      <c r="P5" s="8"/>
      <c r="Q5" s="17"/>
      <c r="R5" s="17"/>
      <c r="S5" s="17"/>
      <c r="T5" s="8"/>
    </row>
    <row r="6" spans="1:45" x14ac:dyDescent="0.2">
      <c r="C6" s="10">
        <v>37135</v>
      </c>
      <c r="E6" s="11">
        <v>2001</v>
      </c>
      <c r="F6" s="11"/>
      <c r="G6" s="11">
        <v>2002</v>
      </c>
      <c r="I6" s="10"/>
      <c r="K6" s="7"/>
      <c r="L6" s="19" t="s">
        <v>2</v>
      </c>
      <c r="M6" s="19" t="s">
        <v>3</v>
      </c>
      <c r="N6" s="74" t="s">
        <v>109</v>
      </c>
      <c r="O6" s="11">
        <v>2002</v>
      </c>
      <c r="P6" s="8"/>
      <c r="Q6" s="19"/>
      <c r="R6" s="19"/>
      <c r="S6" s="82"/>
      <c r="T6" s="8"/>
    </row>
    <row r="7" spans="1:45" x14ac:dyDescent="0.2">
      <c r="C7" s="12" t="s">
        <v>6</v>
      </c>
      <c r="E7" s="12" t="s">
        <v>7</v>
      </c>
      <c r="F7" s="12"/>
      <c r="G7" s="12" t="s">
        <v>7</v>
      </c>
      <c r="I7" s="12"/>
      <c r="K7" s="7"/>
      <c r="L7" s="17"/>
      <c r="M7" s="17"/>
      <c r="N7" s="43"/>
      <c r="O7" s="12" t="s">
        <v>8</v>
      </c>
      <c r="P7" s="8"/>
      <c r="Q7" s="17"/>
      <c r="R7" s="17"/>
      <c r="S7" s="17"/>
      <c r="T7" s="8"/>
    </row>
    <row r="8" spans="1:45" x14ac:dyDescent="0.2">
      <c r="A8" s="13" t="s">
        <v>10</v>
      </c>
      <c r="B8" s="14" t="s">
        <v>11</v>
      </c>
      <c r="C8" s="53">
        <f>'[5]Team Report'!BA25</f>
        <v>4985502.2300000004</v>
      </c>
      <c r="E8" s="15">
        <f>(C8/9)*12</f>
        <v>6647336.3066666666</v>
      </c>
      <c r="F8" s="15"/>
      <c r="G8" s="15">
        <f>SUM(N17:N19,N21:N27)</f>
        <v>2792400</v>
      </c>
      <c r="K8" s="7"/>
      <c r="L8" s="17"/>
      <c r="M8" s="17"/>
      <c r="N8" s="43"/>
      <c r="O8" s="15">
        <f>+G8/$G$29*$O$29</f>
        <v>71600</v>
      </c>
      <c r="P8" s="8"/>
      <c r="Q8" s="17"/>
      <c r="R8" s="17"/>
      <c r="S8" s="17"/>
      <c r="T8" s="8"/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G9" s="15">
        <f>(E9/9)*12</f>
        <v>0</v>
      </c>
      <c r="K9" s="7" t="s">
        <v>11</v>
      </c>
      <c r="L9" s="17">
        <v>0</v>
      </c>
      <c r="M9" s="17">
        <f>M28</f>
        <v>39</v>
      </c>
      <c r="N9" s="43">
        <f>N32</f>
        <v>3558240</v>
      </c>
      <c r="O9" s="15">
        <f t="shared" ref="O9:O21" si="0">+G9/$G$29*$O$29</f>
        <v>0</v>
      </c>
      <c r="P9" s="8"/>
      <c r="Q9" s="17"/>
      <c r="R9" s="17"/>
      <c r="S9" s="17"/>
      <c r="T9" s="8"/>
    </row>
    <row r="10" spans="1:45" x14ac:dyDescent="0.2">
      <c r="A10" s="13"/>
      <c r="B10" s="14" t="s">
        <v>124</v>
      </c>
      <c r="C10" s="15">
        <v>0</v>
      </c>
      <c r="E10" s="15">
        <f>(C10/9)*12</f>
        <v>0</v>
      </c>
      <c r="F10" s="15"/>
      <c r="G10" s="15">
        <f>+N20</f>
        <v>172800</v>
      </c>
      <c r="K10" s="7"/>
      <c r="L10" s="17"/>
      <c r="M10" s="17"/>
      <c r="N10" s="43"/>
      <c r="O10" s="15">
        <f t="shared" si="0"/>
        <v>4430.7692307692305</v>
      </c>
      <c r="P10" s="8"/>
      <c r="Q10" s="17"/>
      <c r="R10" s="17"/>
      <c r="S10" s="17"/>
      <c r="T10" s="8"/>
    </row>
    <row r="11" spans="1:45" x14ac:dyDescent="0.2">
      <c r="A11" s="13" t="s">
        <v>14</v>
      </c>
      <c r="B11" s="14" t="s">
        <v>15</v>
      </c>
      <c r="C11" s="15">
        <f>'[5]Team Report'!BA26</f>
        <v>1210281.1100000001</v>
      </c>
      <c r="E11" s="15">
        <f>(C11/9)*12</f>
        <v>1613708.146666667</v>
      </c>
      <c r="F11" s="15"/>
      <c r="G11" s="15">
        <f>SUM(G8:G10)*0.2</f>
        <v>593040</v>
      </c>
      <c r="K11" s="7"/>
      <c r="L11" s="17"/>
      <c r="M11" s="17"/>
      <c r="N11" s="43"/>
      <c r="O11" s="15">
        <f t="shared" si="0"/>
        <v>15206.153846153846</v>
      </c>
      <c r="P11" s="8"/>
      <c r="Q11" s="17"/>
      <c r="R11" s="17"/>
      <c r="S11" s="17"/>
      <c r="T11" s="8"/>
    </row>
    <row r="12" spans="1:45" x14ac:dyDescent="0.2">
      <c r="A12" s="13" t="s">
        <v>17</v>
      </c>
      <c r="B12" s="14" t="s">
        <v>18</v>
      </c>
      <c r="C12" s="15">
        <f>'[5]Team Report'!BA27</f>
        <v>190029.97</v>
      </c>
      <c r="E12" s="15">
        <f>((C12/9)*12)*1.99</f>
        <v>504212.85373333335</v>
      </c>
      <c r="F12" s="15"/>
      <c r="G12" s="15">
        <f>348924+240000</f>
        <v>588924</v>
      </c>
      <c r="K12" s="7" t="s">
        <v>16</v>
      </c>
      <c r="L12" s="17">
        <f>(E12+E13+E14+E15+E16+E17+E18+E19+E20+E21+E22)/E29</f>
        <v>10001.264925423728</v>
      </c>
      <c r="M12" s="17">
        <f>M28</f>
        <v>39</v>
      </c>
      <c r="N12" s="43">
        <f>L12*M12+500000+630554</f>
        <v>1520603.3320915254</v>
      </c>
      <c r="O12" s="15">
        <f t="shared" si="0"/>
        <v>15100.615384615385</v>
      </c>
      <c r="P12" s="8"/>
      <c r="Q12" s="17"/>
      <c r="R12" s="17"/>
      <c r="S12" s="17"/>
      <c r="T12" s="8"/>
    </row>
    <row r="13" spans="1:45" x14ac:dyDescent="0.2">
      <c r="A13" s="13" t="s">
        <v>19</v>
      </c>
      <c r="B13" s="14" t="s">
        <v>20</v>
      </c>
      <c r="C13" s="15">
        <f>'[5]Team Report'!BA28</f>
        <v>78390.58</v>
      </c>
      <c r="E13" s="15">
        <f>((C13/9)*12)*2.35</f>
        <v>245623.81733333334</v>
      </c>
      <c r="F13" s="15"/>
      <c r="G13" s="15">
        <f>262411+100000</f>
        <v>362411</v>
      </c>
      <c r="K13" s="7"/>
      <c r="L13" s="17"/>
      <c r="M13" s="17"/>
      <c r="N13" s="43"/>
      <c r="O13" s="15">
        <f t="shared" si="0"/>
        <v>9292.5897435897441</v>
      </c>
      <c r="P13" s="8"/>
      <c r="Q13" s="17"/>
      <c r="R13" s="17"/>
      <c r="S13" s="17"/>
      <c r="T13" s="8"/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>((C14/9)*12)*1.2</f>
        <v>0</v>
      </c>
      <c r="F14" s="15"/>
      <c r="G14" s="15">
        <v>0</v>
      </c>
      <c r="K14" s="22" t="s">
        <v>21</v>
      </c>
      <c r="L14" s="47"/>
      <c r="M14" s="47"/>
      <c r="N14" s="48">
        <f>SUM(N9:N12)</f>
        <v>5078843.3320915252</v>
      </c>
      <c r="O14" s="15">
        <f t="shared" si="0"/>
        <v>0</v>
      </c>
      <c r="P14" s="8"/>
      <c r="Q14" s="17"/>
      <c r="R14" s="17"/>
      <c r="S14" s="17"/>
      <c r="T14" s="8"/>
    </row>
    <row r="15" spans="1:45" x14ac:dyDescent="0.2">
      <c r="A15" s="13" t="s">
        <v>24</v>
      </c>
      <c r="B15" s="14" t="s">
        <v>25</v>
      </c>
      <c r="C15" s="15">
        <f>'[5]Team Report'!BA33</f>
        <v>69921.63</v>
      </c>
      <c r="E15" s="15">
        <f>((C15/9)*12)*1.81</f>
        <v>168744.20040000003</v>
      </c>
      <c r="F15" s="15"/>
      <c r="G15" s="15">
        <f>96365+40000</f>
        <v>136365</v>
      </c>
      <c r="K15" s="8"/>
      <c r="L15" s="17"/>
      <c r="M15" s="17"/>
      <c r="N15" s="17"/>
      <c r="O15" s="15">
        <f t="shared" si="0"/>
        <v>3496.5384615384614</v>
      </c>
      <c r="P15" s="8"/>
      <c r="Q15" s="8"/>
      <c r="R15" s="8"/>
      <c r="S15" s="8"/>
      <c r="T15" s="8"/>
    </row>
    <row r="16" spans="1:45" x14ac:dyDescent="0.2">
      <c r="A16" s="13" t="s">
        <v>26</v>
      </c>
      <c r="B16" s="14" t="s">
        <v>27</v>
      </c>
      <c r="C16" s="15">
        <f>'[5]Team Report'!BA34</f>
        <v>0</v>
      </c>
      <c r="E16" s="15">
        <f>((C16/9)*12)*1.2</f>
        <v>0</v>
      </c>
      <c r="F16" s="15"/>
      <c r="G16" s="15">
        <v>0</v>
      </c>
      <c r="K16" s="8"/>
      <c r="L16" s="17"/>
      <c r="M16" s="17"/>
      <c r="N16" s="17"/>
      <c r="O16" s="15">
        <f t="shared" si="0"/>
        <v>0</v>
      </c>
      <c r="P16" s="8"/>
      <c r="Q16" s="8"/>
      <c r="R16" s="8"/>
      <c r="S16" s="8"/>
      <c r="T16" s="8"/>
    </row>
    <row r="17" spans="1:20" x14ac:dyDescent="0.2">
      <c r="A17" s="13" t="s">
        <v>29</v>
      </c>
      <c r="B17" s="14" t="s">
        <v>30</v>
      </c>
      <c r="C17" s="15">
        <f>'[5]Team Report'!BA35</f>
        <v>0</v>
      </c>
      <c r="E17" s="15">
        <f>((C17/9)*12)*1.2</f>
        <v>0</v>
      </c>
      <c r="F17" s="15"/>
      <c r="G17" s="15">
        <v>0</v>
      </c>
      <c r="K17" s="8" t="s">
        <v>28</v>
      </c>
      <c r="L17" s="17">
        <v>36000</v>
      </c>
      <c r="M17">
        <v>0</v>
      </c>
      <c r="N17" s="17">
        <f t="shared" ref="N17:N27" si="1">L17*M17</f>
        <v>0</v>
      </c>
      <c r="O17" s="15">
        <f t="shared" si="0"/>
        <v>0</v>
      </c>
      <c r="P17" s="8"/>
      <c r="Q17" s="17"/>
      <c r="R17" s="8"/>
      <c r="S17" s="75"/>
      <c r="T17" s="8"/>
    </row>
    <row r="18" spans="1:20" x14ac:dyDescent="0.2">
      <c r="A18" s="13" t="s">
        <v>32</v>
      </c>
      <c r="B18" s="14" t="s">
        <v>33</v>
      </c>
      <c r="C18" s="15">
        <f>'[5]Team Report'!BA36</f>
        <v>19039.670000000002</v>
      </c>
      <c r="E18" s="15">
        <f>((C18/9)*12)*1.29</f>
        <v>32748.232400000004</v>
      </c>
      <c r="F18" s="15"/>
      <c r="G18" s="15">
        <v>0</v>
      </c>
      <c r="K18" t="s">
        <v>95</v>
      </c>
      <c r="L18" s="25">
        <v>48000</v>
      </c>
      <c r="M18">
        <v>2</v>
      </c>
      <c r="N18" s="17">
        <f t="shared" si="1"/>
        <v>96000</v>
      </c>
      <c r="O18" s="15">
        <f t="shared" si="0"/>
        <v>0</v>
      </c>
      <c r="Q18" s="25"/>
      <c r="S18" s="49"/>
    </row>
    <row r="19" spans="1:20" x14ac:dyDescent="0.2">
      <c r="A19" s="13" t="s">
        <v>35</v>
      </c>
      <c r="B19" s="14" t="s">
        <v>36</v>
      </c>
      <c r="C19" s="15">
        <f>'[5]Team Report'!BA37</f>
        <v>17422.019999999997</v>
      </c>
      <c r="E19" s="15">
        <f>((C19/9)*12)*2.2</f>
        <v>51104.591999999997</v>
      </c>
      <c r="F19" s="15"/>
      <c r="G19" s="15">
        <f>+$N$12*0.19+150000</f>
        <v>438914.63309738983</v>
      </c>
      <c r="K19" t="s">
        <v>34</v>
      </c>
      <c r="L19" s="25">
        <v>49200</v>
      </c>
      <c r="M19">
        <v>7</v>
      </c>
      <c r="N19" s="17">
        <f t="shared" si="1"/>
        <v>344400</v>
      </c>
      <c r="O19" s="15">
        <f t="shared" si="0"/>
        <v>11254.221361471535</v>
      </c>
      <c r="Q19" s="25"/>
      <c r="S19" s="49"/>
    </row>
    <row r="20" spans="1:20" x14ac:dyDescent="0.2">
      <c r="A20" s="13" t="s">
        <v>38</v>
      </c>
      <c r="B20" s="14" t="s">
        <v>39</v>
      </c>
      <c r="C20" s="15">
        <f>'[5]Team Report'!BA38</f>
        <v>0</v>
      </c>
      <c r="E20" s="15">
        <f>((C20/9)*12)*1.2</f>
        <v>0</v>
      </c>
      <c r="F20" s="15"/>
      <c r="G20" s="15">
        <v>0</v>
      </c>
      <c r="K20" t="s">
        <v>96</v>
      </c>
      <c r="L20" s="25">
        <v>57600</v>
      </c>
      <c r="M20">
        <v>3</v>
      </c>
      <c r="N20" s="17">
        <f t="shared" si="1"/>
        <v>172800</v>
      </c>
      <c r="O20" s="15">
        <f t="shared" si="0"/>
        <v>0</v>
      </c>
      <c r="Q20" s="25"/>
      <c r="S20" s="49"/>
    </row>
    <row r="21" spans="1:20" x14ac:dyDescent="0.2">
      <c r="A21" s="13" t="s">
        <v>41</v>
      </c>
      <c r="B21" s="14" t="s">
        <v>42</v>
      </c>
      <c r="C21" s="15">
        <f>'[5]Team Report'!BA42</f>
        <v>75042.680000000008</v>
      </c>
      <c r="E21" s="15">
        <f>((C21/9)*12)*1.75</f>
        <v>175099.58666666667</v>
      </c>
      <c r="F21" s="15"/>
      <c r="G21" s="15">
        <f>264168+100000+405121</f>
        <v>769289</v>
      </c>
      <c r="K21" t="s">
        <v>37</v>
      </c>
      <c r="L21" s="25">
        <v>62400</v>
      </c>
      <c r="M21">
        <v>8</v>
      </c>
      <c r="N21" s="17">
        <f t="shared" si="1"/>
        <v>499200</v>
      </c>
      <c r="O21" s="15">
        <f t="shared" si="0"/>
        <v>19725.358974358973</v>
      </c>
      <c r="Q21" s="25"/>
      <c r="S21" s="49"/>
    </row>
    <row r="22" spans="1:20" x14ac:dyDescent="0.2">
      <c r="A22" s="13" t="s">
        <v>44</v>
      </c>
      <c r="B22" s="14" t="s">
        <v>45</v>
      </c>
      <c r="C22" s="15">
        <f>'[5]Team Report'!BA44</f>
        <v>1226.24</v>
      </c>
      <c r="E22" s="15">
        <f>((C22/9)*12)*1.6</f>
        <v>2615.9786666666669</v>
      </c>
      <c r="F22" s="15"/>
      <c r="G22" s="15">
        <v>0</v>
      </c>
      <c r="K22" t="s">
        <v>110</v>
      </c>
      <c r="L22" s="25">
        <v>74400</v>
      </c>
      <c r="M22">
        <v>7</v>
      </c>
      <c r="N22" s="17">
        <f t="shared" si="1"/>
        <v>520800</v>
      </c>
      <c r="O22" s="15">
        <f>+G22/$G$29*$O$29</f>
        <v>0</v>
      </c>
      <c r="Q22" s="25"/>
      <c r="S22" s="49"/>
    </row>
    <row r="23" spans="1:20" x14ac:dyDescent="0.2">
      <c r="A23" s="26" t="s">
        <v>47</v>
      </c>
      <c r="B23" s="27" t="s">
        <v>48</v>
      </c>
      <c r="C23" s="28">
        <f>SUM(C8:C22)</f>
        <v>6646856.1299999999</v>
      </c>
      <c r="E23" s="28">
        <f>SUM(E8:E22)</f>
        <v>9441193.7145333327</v>
      </c>
      <c r="F23" s="29"/>
      <c r="G23" s="28">
        <f>SUM(G8:G22)</f>
        <v>5854143.6330973897</v>
      </c>
      <c r="K23" t="s">
        <v>98</v>
      </c>
      <c r="L23" s="25">
        <v>96000</v>
      </c>
      <c r="M23">
        <v>8</v>
      </c>
      <c r="N23" s="17">
        <f t="shared" si="1"/>
        <v>768000</v>
      </c>
      <c r="O23" s="28">
        <f>SUM(O8:O22)</f>
        <v>150106.2470024972</v>
      </c>
      <c r="Q23" s="25"/>
      <c r="S23" s="49"/>
    </row>
    <row r="24" spans="1:20" x14ac:dyDescent="0.2">
      <c r="K24" t="s">
        <v>99</v>
      </c>
      <c r="L24" s="25">
        <v>120000</v>
      </c>
      <c r="M24">
        <v>3</v>
      </c>
      <c r="N24" s="17">
        <f t="shared" si="1"/>
        <v>360000</v>
      </c>
      <c r="Q24" s="25"/>
      <c r="S24" s="49"/>
    </row>
    <row r="25" spans="1:20" x14ac:dyDescent="0.2">
      <c r="B25" s="27" t="s">
        <v>51</v>
      </c>
      <c r="C25" s="55"/>
      <c r="E25" s="55">
        <v>114</v>
      </c>
      <c r="F25" s="60"/>
      <c r="G25" s="55">
        <f>SUM(M17:M19,M21:M27)</f>
        <v>36</v>
      </c>
      <c r="K25" t="s">
        <v>100</v>
      </c>
      <c r="L25" s="25">
        <v>156000</v>
      </c>
      <c r="M25">
        <v>0</v>
      </c>
      <c r="N25" s="17">
        <f t="shared" si="1"/>
        <v>0</v>
      </c>
      <c r="O25" s="31">
        <f>SUM(U16:U20,U23:U27)</f>
        <v>0</v>
      </c>
      <c r="Q25" s="25"/>
      <c r="S25" s="49"/>
    </row>
    <row r="26" spans="1:20" x14ac:dyDescent="0.2">
      <c r="K26" t="s">
        <v>101</v>
      </c>
      <c r="L26" s="25">
        <v>204000</v>
      </c>
      <c r="M26">
        <v>1</v>
      </c>
      <c r="N26" s="17">
        <f t="shared" si="1"/>
        <v>204000</v>
      </c>
      <c r="O26" s="15"/>
      <c r="Q26" s="25"/>
      <c r="S26" s="49"/>
    </row>
    <row r="27" spans="1:20" x14ac:dyDescent="0.2">
      <c r="B27" s="27" t="s">
        <v>69</v>
      </c>
      <c r="C27" s="55"/>
      <c r="E27" s="55">
        <v>4</v>
      </c>
      <c r="F27" s="60"/>
      <c r="G27" s="55">
        <f>SUM(M20)</f>
        <v>3</v>
      </c>
      <c r="K27" t="s">
        <v>102</v>
      </c>
      <c r="L27" s="25">
        <v>240000</v>
      </c>
      <c r="M27">
        <v>0</v>
      </c>
      <c r="N27" s="17">
        <f t="shared" si="1"/>
        <v>0</v>
      </c>
      <c r="O27" s="31">
        <f>+U21+U22</f>
        <v>0</v>
      </c>
      <c r="Q27" s="25"/>
      <c r="S27" s="49"/>
    </row>
    <row r="28" spans="1:20" x14ac:dyDescent="0.2">
      <c r="M28" s="25">
        <f>SUM(M17:M27)</f>
        <v>39</v>
      </c>
      <c r="N28" s="25">
        <f>SUM(N17:N27)</f>
        <v>2965200</v>
      </c>
      <c r="Q28" s="25"/>
      <c r="S28" s="49"/>
    </row>
    <row r="29" spans="1:20" x14ac:dyDescent="0.2">
      <c r="B29" s="27" t="s">
        <v>56</v>
      </c>
      <c r="C29" s="55"/>
      <c r="E29" s="55">
        <f>SUM(E25:E28)</f>
        <v>118</v>
      </c>
      <c r="F29" s="60"/>
      <c r="G29" s="55">
        <f>SUM(G25:G28)</f>
        <v>39</v>
      </c>
      <c r="O29" s="31">
        <v>1</v>
      </c>
      <c r="Q29" s="25"/>
      <c r="R29" s="25"/>
    </row>
    <row r="30" spans="1:20" x14ac:dyDescent="0.2">
      <c r="B30" s="27"/>
      <c r="K30" t="s">
        <v>104</v>
      </c>
      <c r="M30" s="52"/>
      <c r="N30" s="52">
        <v>0.2</v>
      </c>
      <c r="Q30" s="25"/>
      <c r="R30" s="52"/>
      <c r="S30" s="52"/>
    </row>
    <row r="31" spans="1:20" hidden="1" x14ac:dyDescent="0.2">
      <c r="A31" s="13" t="s">
        <v>73</v>
      </c>
      <c r="B31" s="14" t="s">
        <v>74</v>
      </c>
      <c r="C31" s="15">
        <f>'[5]Team Report'!BA29</f>
        <v>0</v>
      </c>
      <c r="E31" s="15">
        <f t="shared" ref="E31:E38" si="2">(C31/9)*12</f>
        <v>0</v>
      </c>
      <c r="F31" s="15"/>
      <c r="G31" s="15"/>
      <c r="Q31" s="25"/>
      <c r="R31" s="25"/>
    </row>
    <row r="32" spans="1:20" hidden="1" x14ac:dyDescent="0.2">
      <c r="A32" s="13" t="s">
        <v>75</v>
      </c>
      <c r="B32" s="14" t="s">
        <v>76</v>
      </c>
      <c r="C32" s="15">
        <f>'[5]Team Report'!BA30</f>
        <v>0</v>
      </c>
      <c r="E32" s="15">
        <f t="shared" si="2"/>
        <v>0</v>
      </c>
      <c r="F32" s="15"/>
      <c r="G32" s="15"/>
      <c r="N32" s="25">
        <f>N28*1.2</f>
        <v>3558240</v>
      </c>
      <c r="Q32" s="25"/>
      <c r="R32" s="25"/>
      <c r="S32" s="25"/>
    </row>
    <row r="33" spans="1:18" hidden="1" x14ac:dyDescent="0.2">
      <c r="A33" s="13" t="s">
        <v>77</v>
      </c>
      <c r="B33" s="14" t="s">
        <v>78</v>
      </c>
      <c r="C33" s="15">
        <f>'[5]Team Report'!BA31</f>
        <v>0</v>
      </c>
      <c r="E33" s="15">
        <f t="shared" si="2"/>
        <v>0</v>
      </c>
      <c r="F33" s="15"/>
      <c r="G33" s="15"/>
      <c r="Q33" s="25"/>
      <c r="R33" s="25"/>
    </row>
    <row r="34" spans="1:18" hidden="1" x14ac:dyDescent="0.2">
      <c r="A34" s="13" t="s">
        <v>79</v>
      </c>
      <c r="B34" s="14" t="s">
        <v>80</v>
      </c>
      <c r="C34" s="15">
        <f>'[5]Team Report'!BA39</f>
        <v>0</v>
      </c>
      <c r="E34" s="15">
        <f t="shared" si="2"/>
        <v>0</v>
      </c>
      <c r="F34" s="15"/>
      <c r="G34" s="15"/>
    </row>
    <row r="35" spans="1:18" hidden="1" x14ac:dyDescent="0.2">
      <c r="A35" s="13" t="s">
        <v>81</v>
      </c>
      <c r="B35" s="14" t="s">
        <v>82</v>
      </c>
      <c r="C35" s="15">
        <f>'[5]Team Report'!BA40</f>
        <v>24670.390000000003</v>
      </c>
      <c r="E35" s="15">
        <f t="shared" si="2"/>
        <v>32893.85333333334</v>
      </c>
      <c r="F35" s="15"/>
      <c r="G35" s="15"/>
    </row>
    <row r="36" spans="1:18" hidden="1" x14ac:dyDescent="0.2">
      <c r="A36" s="13" t="s">
        <v>83</v>
      </c>
      <c r="B36" s="14" t="s">
        <v>84</v>
      </c>
      <c r="C36" s="15">
        <f>'[5]Team Report'!BA41</f>
        <v>481045.43000000005</v>
      </c>
      <c r="E36" s="15">
        <f t="shared" si="2"/>
        <v>641393.90666666673</v>
      </c>
      <c r="F36" s="15"/>
      <c r="G36" s="15"/>
    </row>
    <row r="37" spans="1:18" hidden="1" x14ac:dyDescent="0.2">
      <c r="A37" s="13" t="s">
        <v>85</v>
      </c>
      <c r="B37" s="14" t="s">
        <v>86</v>
      </c>
      <c r="C37" s="15">
        <f>'[5]Team Report'!BA43</f>
        <v>-771915.88</v>
      </c>
      <c r="E37" s="15">
        <f t="shared" si="2"/>
        <v>-1029221.1733333333</v>
      </c>
      <c r="F37" s="15"/>
      <c r="G37" s="15"/>
      <c r="J37" s="33" t="s">
        <v>57</v>
      </c>
    </row>
    <row r="38" spans="1:18" hidden="1" x14ac:dyDescent="0.2">
      <c r="A38" s="13" t="s">
        <v>87</v>
      </c>
      <c r="B38" s="14" t="s">
        <v>88</v>
      </c>
      <c r="C38" s="15">
        <f>'[5]Team Report'!BA45</f>
        <v>0</v>
      </c>
      <c r="E38" s="15">
        <f t="shared" si="2"/>
        <v>0</v>
      </c>
      <c r="F38" s="15"/>
      <c r="G38" s="15"/>
    </row>
    <row r="39" spans="1:18" x14ac:dyDescent="0.2">
      <c r="A39" s="13"/>
      <c r="B39" s="14"/>
      <c r="C39" s="15"/>
      <c r="E39" s="15"/>
      <c r="F39" s="15"/>
      <c r="G39" s="15"/>
      <c r="J39" t="s">
        <v>136</v>
      </c>
    </row>
    <row r="44" spans="1:18" x14ac:dyDescent="0.2">
      <c r="C44" s="54">
        <f>C23+C31+C32+C33+C34+C35+C36+C37+C38</f>
        <v>6380656.0699999994</v>
      </c>
    </row>
  </sheetData>
  <mergeCells count="5">
    <mergeCell ref="P4:S4"/>
    <mergeCell ref="K4:N4"/>
    <mergeCell ref="B1:G1"/>
    <mergeCell ref="B2:G2"/>
    <mergeCell ref="B3:G3"/>
  </mergeCells>
  <phoneticPr fontId="0" type="noConversion"/>
  <printOptions horizontalCentered="1"/>
  <pageMargins left="0.75" right="0.75" top="0.88" bottom="0.48" header="1.23" footer="0.5"/>
  <pageSetup orientation="portrait" verticalDpi="196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T125"/>
  <sheetViews>
    <sheetView zoomScaleNormal="100" workbookViewId="0">
      <selection activeCell="F12" sqref="F12"/>
    </sheetView>
  </sheetViews>
  <sheetFormatPr defaultRowHeight="12.75" x14ac:dyDescent="0.2"/>
  <cols>
    <col min="1" max="1" width="7.140625" customWidth="1"/>
    <col min="2" max="2" width="23.5703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10.42578125" hidden="1" customWidth="1"/>
    <col min="8" max="8" width="2.5703125" hidden="1" customWidth="1"/>
    <col min="9" max="9" width="5.28515625" hidden="1" customWidth="1"/>
    <col min="10" max="10" width="13.140625" hidden="1" customWidth="1"/>
    <col min="11" max="11" width="10.28515625" hidden="1" customWidth="1"/>
    <col min="12" max="12" width="9.42578125" hidden="1" customWidth="1"/>
    <col min="13" max="13" width="13.85546875" hidden="1" customWidth="1"/>
    <col min="14" max="14" width="9.28515625" hidden="1" customWidth="1"/>
    <col min="15" max="46" width="9.140625" hidden="1" customWidth="1"/>
  </cols>
  <sheetData>
    <row r="1" spans="1:35" ht="18" x14ac:dyDescent="0.25">
      <c r="B1" s="125" t="str">
        <f>'[10]Team Report'!B1</f>
        <v>Enron North America</v>
      </c>
      <c r="C1" s="125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8" x14ac:dyDescent="0.25">
      <c r="B2" s="125" t="str">
        <f>'[10]Pull Sheet'!E9</f>
        <v>Canada Support</v>
      </c>
      <c r="C2" s="125"/>
      <c r="D2" s="127"/>
      <c r="E2" s="127"/>
      <c r="F2" s="12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8.75" thickBot="1" x14ac:dyDescent="0.3">
      <c r="B3" s="125" t="s">
        <v>1</v>
      </c>
      <c r="C3" s="125"/>
      <c r="D3" s="127"/>
      <c r="E3" s="127"/>
      <c r="F3" s="12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J4" s="4"/>
      <c r="K4" s="5"/>
      <c r="L4" s="5"/>
      <c r="M4" s="6"/>
    </row>
    <row r="5" spans="1:35" x14ac:dyDescent="0.2">
      <c r="J5" s="7"/>
      <c r="K5" s="8" t="s">
        <v>2</v>
      </c>
      <c r="L5" s="8" t="s">
        <v>3</v>
      </c>
      <c r="M5" s="9" t="s">
        <v>4</v>
      </c>
    </row>
    <row r="6" spans="1:35" x14ac:dyDescent="0.2">
      <c r="C6" s="10">
        <v>37135</v>
      </c>
      <c r="E6" s="44" t="s">
        <v>63</v>
      </c>
      <c r="F6" s="76">
        <v>2002</v>
      </c>
      <c r="J6" s="7"/>
      <c r="K6" s="8"/>
      <c r="L6" s="8"/>
      <c r="M6" s="9"/>
      <c r="O6" s="44" t="s">
        <v>65</v>
      </c>
    </row>
    <row r="7" spans="1:35" x14ac:dyDescent="0.2">
      <c r="C7" s="12" t="s">
        <v>6</v>
      </c>
      <c r="E7" s="12" t="s">
        <v>7</v>
      </c>
      <c r="F7" s="12" t="s">
        <v>8</v>
      </c>
      <c r="H7" s="33"/>
      <c r="J7" s="7"/>
      <c r="K7" s="8"/>
      <c r="L7" s="8"/>
      <c r="M7" s="9"/>
      <c r="O7" s="12" t="s">
        <v>8</v>
      </c>
    </row>
    <row r="8" spans="1:35" x14ac:dyDescent="0.2">
      <c r="A8" s="13" t="s">
        <v>10</v>
      </c>
      <c r="B8" s="14" t="s">
        <v>11</v>
      </c>
      <c r="C8" s="15">
        <f>'[10]Team Report'!BA25</f>
        <v>3097005.1799999992</v>
      </c>
      <c r="E8" s="15">
        <f>(C8/9)*12</f>
        <v>4129340.2399999993</v>
      </c>
      <c r="F8" s="15">
        <f>SUM(M16:M21,M25:M27,M31:M36,M40:M42,M46,M49:M50)</f>
        <v>3205200</v>
      </c>
      <c r="J8" s="7" t="s">
        <v>11</v>
      </c>
      <c r="K8" s="17">
        <v>0</v>
      </c>
      <c r="L8" s="8"/>
      <c r="M8" s="18">
        <f>M22+M28+M37+M43+M47+M51</f>
        <v>3846240</v>
      </c>
      <c r="O8" s="15">
        <f>+F8/$F$29*$O$29</f>
        <v>97127.272727272721</v>
      </c>
    </row>
    <row r="9" spans="1:35" hidden="1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J9" s="7"/>
      <c r="K9" s="8"/>
      <c r="L9" s="8"/>
      <c r="M9" s="9"/>
      <c r="O9" s="15">
        <f t="shared" ref="O9:O22" si="0">+F9/$F$29*$O$29</f>
        <v>0</v>
      </c>
    </row>
    <row r="10" spans="1:35" hidden="1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J10" s="7"/>
      <c r="K10" s="8"/>
      <c r="L10" s="8"/>
      <c r="M10" s="9"/>
      <c r="O10" s="15">
        <f t="shared" si="0"/>
        <v>0</v>
      </c>
    </row>
    <row r="11" spans="1:35" x14ac:dyDescent="0.2">
      <c r="A11" s="13" t="s">
        <v>14</v>
      </c>
      <c r="B11" s="14" t="s">
        <v>15</v>
      </c>
      <c r="C11" s="15">
        <f>'[10]Team Report'!BA26</f>
        <v>405010.39999999997</v>
      </c>
      <c r="E11" s="15">
        <f>(C11/9)*12</f>
        <v>540013.8666666667</v>
      </c>
      <c r="F11" s="15">
        <f>+F8*0.2</f>
        <v>641040</v>
      </c>
      <c r="J11" s="7" t="s">
        <v>16</v>
      </c>
      <c r="K11" s="19">
        <f>(E12+E13+E14+E15+E16+E17+E18+E19+E20+E21+E22)/E29</f>
        <v>28886.151724137919</v>
      </c>
      <c r="L11" s="8">
        <f>+L22+L28+L37+L43+L47+L51</f>
        <v>32</v>
      </c>
      <c r="M11" s="18">
        <f>K11*L11</f>
        <v>924356.8551724134</v>
      </c>
      <c r="O11" s="15">
        <f t="shared" si="0"/>
        <v>19425.454545454544</v>
      </c>
    </row>
    <row r="12" spans="1:35" x14ac:dyDescent="0.2">
      <c r="A12" s="13" t="s">
        <v>17</v>
      </c>
      <c r="B12" s="14" t="s">
        <v>18</v>
      </c>
      <c r="C12" s="15">
        <f>'[10]Team Report'!BA27</f>
        <v>309437.02</v>
      </c>
      <c r="E12" s="20">
        <f t="shared" ref="E12:E22" si="1">(C12/9)*12*1.2</f>
        <v>495099.23200000002</v>
      </c>
      <c r="F12" s="21">
        <f>+E12/$E$29*$L$11</f>
        <v>182105.46464367816</v>
      </c>
      <c r="J12" s="7"/>
      <c r="K12" s="8"/>
      <c r="L12" s="8"/>
      <c r="M12" s="9"/>
      <c r="O12" s="15">
        <f t="shared" si="0"/>
        <v>5518.3474134447924</v>
      </c>
    </row>
    <row r="13" spans="1:35" ht="13.5" thickBot="1" x14ac:dyDescent="0.25">
      <c r="A13" s="13" t="s">
        <v>19</v>
      </c>
      <c r="B13" s="14" t="s">
        <v>20</v>
      </c>
      <c r="C13" s="15">
        <f>'[10]Team Report'!BA28</f>
        <v>270791.23</v>
      </c>
      <c r="E13" s="20">
        <f t="shared" si="1"/>
        <v>433265.96799999999</v>
      </c>
      <c r="F13" s="21">
        <f>+E13/$E$29*$L$11</f>
        <v>159362.19512643677</v>
      </c>
      <c r="J13" s="22" t="s">
        <v>21</v>
      </c>
      <c r="K13" s="23"/>
      <c r="L13" s="23"/>
      <c r="M13" s="24">
        <f>M8+M11</f>
        <v>4770596.8551724134</v>
      </c>
      <c r="O13" s="15">
        <f t="shared" si="0"/>
        <v>4829.1574280738414</v>
      </c>
    </row>
    <row r="14" spans="1:35" x14ac:dyDescent="0.2">
      <c r="A14" s="13" t="s">
        <v>22</v>
      </c>
      <c r="B14" s="14" t="s">
        <v>23</v>
      </c>
      <c r="C14" s="15">
        <f>'[10]Team Report'!BA32-C39</f>
        <v>-0.42000000085681677</v>
      </c>
      <c r="E14" s="20">
        <f t="shared" si="1"/>
        <v>-0.67200000137090676</v>
      </c>
      <c r="F14" s="21">
        <v>0</v>
      </c>
      <c r="N14" s="49"/>
      <c r="O14" s="15">
        <f t="shared" si="0"/>
        <v>0</v>
      </c>
    </row>
    <row r="15" spans="1:35" x14ac:dyDescent="0.2">
      <c r="A15" s="13" t="s">
        <v>24</v>
      </c>
      <c r="B15" s="14" t="s">
        <v>25</v>
      </c>
      <c r="C15" s="15">
        <f>'[10]Team Report'!BA33</f>
        <v>132382.80000000002</v>
      </c>
      <c r="E15" s="20">
        <f t="shared" si="1"/>
        <v>211812.48000000001</v>
      </c>
      <c r="F15" s="21">
        <f t="shared" ref="F15:F22" si="2">+E15/$E$29*$L$11</f>
        <v>77908.038620689666</v>
      </c>
      <c r="J15" s="33" t="s">
        <v>128</v>
      </c>
      <c r="N15" s="25"/>
      <c r="O15" s="15">
        <f t="shared" si="0"/>
        <v>2360.8496551724143</v>
      </c>
    </row>
    <row r="16" spans="1:35" x14ac:dyDescent="0.2">
      <c r="A16" s="13" t="s">
        <v>26</v>
      </c>
      <c r="B16" s="14" t="s">
        <v>27</v>
      </c>
      <c r="C16" s="15">
        <f>'[10]Team Report'!BA34</f>
        <v>0</v>
      </c>
      <c r="E16" s="20">
        <f t="shared" si="1"/>
        <v>0</v>
      </c>
      <c r="F16" s="21">
        <f t="shared" si="2"/>
        <v>0</v>
      </c>
      <c r="J16" t="s">
        <v>28</v>
      </c>
      <c r="K16" s="25">
        <v>36000</v>
      </c>
      <c r="L16">
        <v>1</v>
      </c>
      <c r="M16" s="25">
        <f t="shared" ref="M16:M21" si="3">K16*L16</f>
        <v>36000</v>
      </c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'[10]Team Report'!BA35</f>
        <v>36209.440000000002</v>
      </c>
      <c r="E17" s="20">
        <f t="shared" si="1"/>
        <v>57935.103999999999</v>
      </c>
      <c r="F17" s="21">
        <f t="shared" si="2"/>
        <v>21309.463540229885</v>
      </c>
      <c r="J17" t="s">
        <v>34</v>
      </c>
      <c r="K17" s="25">
        <v>54000</v>
      </c>
      <c r="L17">
        <v>2</v>
      </c>
      <c r="M17" s="25">
        <f t="shared" si="3"/>
        <v>108000</v>
      </c>
      <c r="O17" s="15">
        <f t="shared" si="0"/>
        <v>645.74131940090558</v>
      </c>
    </row>
    <row r="18" spans="1:15" x14ac:dyDescent="0.2">
      <c r="A18" s="13" t="s">
        <v>32</v>
      </c>
      <c r="B18" s="14" t="s">
        <v>33</v>
      </c>
      <c r="C18" s="15">
        <f>'[10]Team Report'!BA36</f>
        <v>489327.92000000004</v>
      </c>
      <c r="E18" s="20">
        <f t="shared" si="1"/>
        <v>782924.67200000014</v>
      </c>
      <c r="F18" s="21">
        <f t="shared" si="2"/>
        <v>287972.29314942536</v>
      </c>
      <c r="J18" t="s">
        <v>37</v>
      </c>
      <c r="K18" s="25">
        <v>62400</v>
      </c>
      <c r="L18">
        <f>3+1</f>
        <v>4</v>
      </c>
      <c r="M18" s="25">
        <f t="shared" si="3"/>
        <v>249600</v>
      </c>
      <c r="N18" t="s">
        <v>218</v>
      </c>
      <c r="O18" s="15">
        <f t="shared" si="0"/>
        <v>8726.4331257401627</v>
      </c>
    </row>
    <row r="19" spans="1:15" x14ac:dyDescent="0.2">
      <c r="A19" s="13" t="s">
        <v>35</v>
      </c>
      <c r="B19" s="14" t="s">
        <v>36</v>
      </c>
      <c r="C19" s="15">
        <f>'[10]Team Report'!BA37</f>
        <v>23628.120000000003</v>
      </c>
      <c r="E19" s="20">
        <f t="shared" si="1"/>
        <v>37804.992000000006</v>
      </c>
      <c r="F19" s="21">
        <f t="shared" si="2"/>
        <v>13905.284413793106</v>
      </c>
      <c r="J19" t="s">
        <v>40</v>
      </c>
      <c r="K19" s="25">
        <v>79200</v>
      </c>
      <c r="L19">
        <v>2</v>
      </c>
      <c r="M19" s="25">
        <f t="shared" si="3"/>
        <v>158400</v>
      </c>
      <c r="O19" s="15">
        <f t="shared" si="0"/>
        <v>421.37225496342745</v>
      </c>
    </row>
    <row r="20" spans="1:15" x14ac:dyDescent="0.2">
      <c r="A20" s="13" t="s">
        <v>38</v>
      </c>
      <c r="B20" s="14" t="s">
        <v>39</v>
      </c>
      <c r="C20" s="15">
        <f>'[10]Team Report'!BA38</f>
        <v>0</v>
      </c>
      <c r="E20" s="20">
        <f t="shared" si="1"/>
        <v>0</v>
      </c>
      <c r="F20" s="21">
        <f t="shared" si="2"/>
        <v>0</v>
      </c>
      <c r="J20" t="s">
        <v>49</v>
      </c>
      <c r="K20" s="25">
        <v>96000</v>
      </c>
      <c r="L20">
        <v>2</v>
      </c>
      <c r="M20" s="25">
        <f t="shared" si="3"/>
        <v>192000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'[10]Team Report'!BA42</f>
        <v>308878.27000000008</v>
      </c>
      <c r="E21" s="20">
        <f t="shared" si="1"/>
        <v>494205.23200000013</v>
      </c>
      <c r="F21" s="21">
        <f t="shared" si="2"/>
        <v>181776.63705747132</v>
      </c>
      <c r="J21" t="s">
        <v>53</v>
      </c>
      <c r="K21" s="25">
        <v>216000</v>
      </c>
      <c r="L21">
        <v>1</v>
      </c>
      <c r="M21" s="25">
        <f t="shared" si="3"/>
        <v>216000</v>
      </c>
      <c r="O21" s="15">
        <f t="shared" si="0"/>
        <v>5508.3829411354945</v>
      </c>
    </row>
    <row r="22" spans="1:15" x14ac:dyDescent="0.2">
      <c r="A22" s="13" t="s">
        <v>44</v>
      </c>
      <c r="B22" s="14" t="s">
        <v>45</v>
      </c>
      <c r="C22" s="15">
        <f>'[10]Team Report'!BA44</f>
        <v>30.12</v>
      </c>
      <c r="E22" s="20">
        <f t="shared" si="1"/>
        <v>48.191999999999993</v>
      </c>
      <c r="F22" s="21">
        <f t="shared" si="2"/>
        <v>17.725793103448272</v>
      </c>
      <c r="L22">
        <f>SUM(L16:L21)</f>
        <v>12</v>
      </c>
      <c r="M22" s="25">
        <f>SUM(M16:M21)*1.2</f>
        <v>1152000</v>
      </c>
      <c r="O22" s="15">
        <f t="shared" si="0"/>
        <v>0.53714524555903853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5072700.0799999991</v>
      </c>
      <c r="E23" s="28">
        <f>SUM(E8:E22)</f>
        <v>7182449.3066666648</v>
      </c>
      <c r="F23" s="28">
        <f>SUM(F8:F22)</f>
        <v>4770597.1023448277</v>
      </c>
      <c r="O23" s="58">
        <f>SUM(O8:O22)</f>
        <v>144563.54855590386</v>
      </c>
    </row>
    <row r="24" spans="1:15" x14ac:dyDescent="0.2">
      <c r="J24" s="33" t="s">
        <v>129</v>
      </c>
    </row>
    <row r="25" spans="1:15" x14ac:dyDescent="0.2">
      <c r="B25" s="27" t="s">
        <v>51</v>
      </c>
      <c r="C25" s="15"/>
      <c r="E25" s="31">
        <v>82</v>
      </c>
      <c r="F25" s="31">
        <f>SUM(L16:L21,L25:L27,L31:L36,L40:L42,L46,L49:L50)-1</f>
        <v>32</v>
      </c>
      <c r="J25" t="s">
        <v>34</v>
      </c>
      <c r="K25" s="25">
        <v>60000</v>
      </c>
      <c r="L25">
        <v>2</v>
      </c>
      <c r="M25" s="25">
        <f>K25*L25</f>
        <v>120000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37</v>
      </c>
      <c r="K26" s="25">
        <v>78000</v>
      </c>
      <c r="L26">
        <v>1</v>
      </c>
      <c r="M26" s="25">
        <f>K26*L26</f>
        <v>78000</v>
      </c>
      <c r="O26" s="15"/>
    </row>
    <row r="27" spans="1:15" x14ac:dyDescent="0.2">
      <c r="B27" s="27" t="s">
        <v>103</v>
      </c>
      <c r="C27" s="15"/>
      <c r="E27" s="31">
        <v>5</v>
      </c>
      <c r="F27" s="31">
        <v>1</v>
      </c>
      <c r="J27" t="s">
        <v>40</v>
      </c>
      <c r="K27" s="25">
        <v>102000</v>
      </c>
      <c r="L27">
        <v>0</v>
      </c>
      <c r="M27" s="25">
        <f>K27*L27</f>
        <v>0</v>
      </c>
      <c r="O27" s="31">
        <f>SUM(U21:U22)</f>
        <v>0</v>
      </c>
    </row>
    <row r="28" spans="1:15" x14ac:dyDescent="0.2">
      <c r="L28">
        <f>SUM(L25:L27)</f>
        <v>3</v>
      </c>
      <c r="M28" s="25">
        <f>SUM(M25:M27)*1.2</f>
        <v>237600</v>
      </c>
    </row>
    <row r="29" spans="1:15" x14ac:dyDescent="0.2">
      <c r="B29" s="27" t="s">
        <v>56</v>
      </c>
      <c r="C29" s="15"/>
      <c r="E29" s="31">
        <f>+E27+E25</f>
        <v>87</v>
      </c>
      <c r="F29" s="31">
        <f>+F27+F25</f>
        <v>33</v>
      </c>
      <c r="G29" s="32"/>
      <c r="H29" s="25"/>
      <c r="O29" s="31">
        <v>1</v>
      </c>
    </row>
    <row r="30" spans="1:15" ht="11.25" customHeight="1" x14ac:dyDescent="0.2">
      <c r="J30" s="33" t="s">
        <v>130</v>
      </c>
    </row>
    <row r="31" spans="1:15" hidden="1" x14ac:dyDescent="0.2">
      <c r="A31" s="13" t="s">
        <v>73</v>
      </c>
      <c r="B31" s="14" t="s">
        <v>74</v>
      </c>
      <c r="C31" s="15">
        <f>'[10]Team Report'!BA29</f>
        <v>0</v>
      </c>
      <c r="E31" s="15">
        <f t="shared" ref="E31:E38" si="4">(C31/9)*12</f>
        <v>0</v>
      </c>
      <c r="F31" s="15"/>
      <c r="J31" t="s">
        <v>34</v>
      </c>
      <c r="K31" s="25">
        <v>49200</v>
      </c>
      <c r="L31">
        <v>0</v>
      </c>
      <c r="M31" s="25">
        <f t="shared" ref="M31:M36" si="5">K31*L31</f>
        <v>0</v>
      </c>
    </row>
    <row r="32" spans="1:15" hidden="1" x14ac:dyDescent="0.2">
      <c r="A32" s="13" t="s">
        <v>75</v>
      </c>
      <c r="B32" s="14" t="s">
        <v>76</v>
      </c>
      <c r="C32" s="15">
        <f>'[10]Team Report'!BA30</f>
        <v>0</v>
      </c>
      <c r="E32" s="15">
        <f t="shared" si="4"/>
        <v>0</v>
      </c>
      <c r="F32" s="15"/>
      <c r="J32" t="s">
        <v>37</v>
      </c>
      <c r="K32" s="25">
        <v>62400</v>
      </c>
      <c r="L32">
        <v>2</v>
      </c>
      <c r="M32" s="25">
        <f t="shared" si="5"/>
        <v>124800</v>
      </c>
    </row>
    <row r="33" spans="1:14" hidden="1" x14ac:dyDescent="0.2">
      <c r="A33" s="13" t="s">
        <v>77</v>
      </c>
      <c r="B33" s="14" t="s">
        <v>78</v>
      </c>
      <c r="C33" s="15">
        <f>'[10]Team Report'!BA31</f>
        <v>0</v>
      </c>
      <c r="E33" s="15">
        <f t="shared" si="4"/>
        <v>0</v>
      </c>
      <c r="F33" s="15"/>
      <c r="J33" t="s">
        <v>40</v>
      </c>
      <c r="K33" s="25">
        <v>74400</v>
      </c>
      <c r="L33">
        <f>2+1</f>
        <v>3</v>
      </c>
      <c r="M33" s="25">
        <f t="shared" si="5"/>
        <v>223200</v>
      </c>
      <c r="N33" t="s">
        <v>198</v>
      </c>
    </row>
    <row r="34" spans="1:14" hidden="1" x14ac:dyDescent="0.2">
      <c r="A34" s="13" t="s">
        <v>79</v>
      </c>
      <c r="B34" s="14" t="s">
        <v>80</v>
      </c>
      <c r="C34" s="15">
        <f>'[10]Team Report'!BA39</f>
        <v>0</v>
      </c>
      <c r="E34" s="15">
        <f t="shared" si="4"/>
        <v>0</v>
      </c>
      <c r="F34" s="15"/>
      <c r="J34" t="s">
        <v>49</v>
      </c>
      <c r="K34" s="25">
        <v>90000</v>
      </c>
      <c r="L34">
        <v>1</v>
      </c>
      <c r="M34" s="25">
        <f t="shared" si="5"/>
        <v>90000</v>
      </c>
    </row>
    <row r="35" spans="1:14" hidden="1" x14ac:dyDescent="0.2">
      <c r="A35" s="13" t="s">
        <v>81</v>
      </c>
      <c r="B35" s="14" t="s">
        <v>82</v>
      </c>
      <c r="C35" s="15">
        <f>'[10]Team Report'!BA40</f>
        <v>25924.200000000004</v>
      </c>
      <c r="E35" s="15">
        <f t="shared" si="4"/>
        <v>34565.600000000006</v>
      </c>
      <c r="F35" s="15"/>
      <c r="J35" t="s">
        <v>50</v>
      </c>
      <c r="K35" s="25">
        <v>120000</v>
      </c>
      <c r="L35">
        <v>1</v>
      </c>
      <c r="M35" s="25">
        <f t="shared" si="5"/>
        <v>120000</v>
      </c>
    </row>
    <row r="36" spans="1:14" hidden="1" x14ac:dyDescent="0.2">
      <c r="A36" s="13" t="s">
        <v>83</v>
      </c>
      <c r="B36" s="14" t="s">
        <v>84</v>
      </c>
      <c r="C36" s="15">
        <f>'[10]Team Report'!BA41</f>
        <v>1904.7300000000002</v>
      </c>
      <c r="E36" s="15">
        <f t="shared" si="4"/>
        <v>2539.6400000000003</v>
      </c>
      <c r="F36" s="15"/>
      <c r="J36" t="s">
        <v>53</v>
      </c>
      <c r="K36" s="25">
        <v>216000</v>
      </c>
      <c r="L36">
        <v>1</v>
      </c>
      <c r="M36" s="25">
        <f t="shared" si="5"/>
        <v>216000</v>
      </c>
    </row>
    <row r="37" spans="1:14" hidden="1" x14ac:dyDescent="0.2">
      <c r="A37" s="13" t="s">
        <v>85</v>
      </c>
      <c r="B37" s="14" t="s">
        <v>86</v>
      </c>
      <c r="C37" s="15">
        <f>'[10]Team Report'!BA43</f>
        <v>-612901.88</v>
      </c>
      <c r="E37" s="15">
        <f t="shared" si="4"/>
        <v>-817202.5066666666</v>
      </c>
      <c r="F37" s="15"/>
      <c r="L37">
        <f>SUM(L31:L36)</f>
        <v>8</v>
      </c>
      <c r="M37" s="25">
        <f>SUM(M31:M36)*1.2</f>
        <v>928800</v>
      </c>
    </row>
    <row r="38" spans="1:14" hidden="1" x14ac:dyDescent="0.2">
      <c r="A38" s="13" t="s">
        <v>87</v>
      </c>
      <c r="B38" s="14" t="s">
        <v>88</v>
      </c>
      <c r="C38" s="15">
        <f>'[10]Team Report'!BA45</f>
        <v>0</v>
      </c>
      <c r="E38" s="15">
        <f t="shared" si="4"/>
        <v>0</v>
      </c>
      <c r="F38" s="15"/>
    </row>
    <row r="39" spans="1:14" hidden="1" x14ac:dyDescent="0.2">
      <c r="A39" s="13"/>
      <c r="B39" s="14" t="s">
        <v>23</v>
      </c>
      <c r="C39" s="15">
        <v>5703580</v>
      </c>
      <c r="E39" s="15"/>
      <c r="F39" s="15"/>
      <c r="J39" s="33" t="s">
        <v>131</v>
      </c>
    </row>
    <row r="40" spans="1:14" hidden="1" x14ac:dyDescent="0.2">
      <c r="J40" t="s">
        <v>31</v>
      </c>
      <c r="K40" s="25">
        <v>52800</v>
      </c>
      <c r="L40">
        <v>1</v>
      </c>
      <c r="M40" s="25">
        <f>K40*L40</f>
        <v>52800</v>
      </c>
    </row>
    <row r="41" spans="1:14" hidden="1" x14ac:dyDescent="0.2">
      <c r="C41" s="54">
        <f>C23+C31+C32+C33+C34+C35+C36+C37+C38</f>
        <v>4487627.13</v>
      </c>
      <c r="J41" t="s">
        <v>132</v>
      </c>
      <c r="K41" s="25">
        <v>195600</v>
      </c>
      <c r="L41">
        <f>2+1</f>
        <v>3</v>
      </c>
      <c r="M41" s="25">
        <f>K41*L41</f>
        <v>586800</v>
      </c>
      <c r="N41" t="s">
        <v>217</v>
      </c>
    </row>
    <row r="42" spans="1:14" hidden="1" x14ac:dyDescent="0.2">
      <c r="J42" t="s">
        <v>53</v>
      </c>
      <c r="K42" s="25">
        <v>217200</v>
      </c>
      <c r="L42">
        <v>1</v>
      </c>
      <c r="M42" s="25">
        <f>K42*L42</f>
        <v>217200</v>
      </c>
    </row>
    <row r="43" spans="1:14" hidden="1" x14ac:dyDescent="0.2">
      <c r="L43">
        <f>SUM(L40:L42)</f>
        <v>5</v>
      </c>
      <c r="M43" s="25">
        <f>SUM(M40:M42)*1.2</f>
        <v>1028160</v>
      </c>
    </row>
    <row r="44" spans="1:14" hidden="1" x14ac:dyDescent="0.2">
      <c r="A44" s="33" t="s">
        <v>57</v>
      </c>
      <c r="B44" s="25"/>
      <c r="C44" s="25"/>
      <c r="D44" s="25"/>
    </row>
    <row r="45" spans="1:14" hidden="1" x14ac:dyDescent="0.2">
      <c r="B45" s="25"/>
      <c r="C45" s="25"/>
      <c r="D45" s="25"/>
      <c r="J45" s="33" t="s">
        <v>31</v>
      </c>
    </row>
    <row r="46" spans="1:14" hidden="1" x14ac:dyDescent="0.2">
      <c r="A46" s="34" t="s">
        <v>9</v>
      </c>
      <c r="B46" s="35" t="s">
        <v>59</v>
      </c>
      <c r="C46" s="35" t="s">
        <v>60</v>
      </c>
      <c r="E46" s="35" t="s">
        <v>3</v>
      </c>
      <c r="F46" s="35"/>
      <c r="G46" s="35" t="s">
        <v>61</v>
      </c>
      <c r="J46" t="s">
        <v>31</v>
      </c>
      <c r="K46" s="25">
        <v>52800</v>
      </c>
      <c r="L46">
        <v>3</v>
      </c>
      <c r="M46" s="25">
        <f>K46*L46</f>
        <v>158400</v>
      </c>
    </row>
    <row r="47" spans="1:14" hidden="1" x14ac:dyDescent="0.2">
      <c r="A47" s="36">
        <f>SUM(E12:E22)</f>
        <v>2513095.1999999988</v>
      </c>
      <c r="B47" s="56">
        <f>+E29</f>
        <v>87</v>
      </c>
      <c r="C47" s="37">
        <f>+A47/B47</f>
        <v>28886.151724137919</v>
      </c>
      <c r="D47" s="37"/>
      <c r="E47" s="56">
        <f>+L11</f>
        <v>32</v>
      </c>
      <c r="F47" s="56"/>
      <c r="G47" s="25">
        <f>+E47*C47</f>
        <v>924356.8551724134</v>
      </c>
      <c r="L47">
        <f>SUM(L46:L46)</f>
        <v>3</v>
      </c>
      <c r="M47" s="25">
        <f>SUM(M46:M46)*1.2</f>
        <v>190080</v>
      </c>
    </row>
    <row r="48" spans="1:14" hidden="1" x14ac:dyDescent="0.2">
      <c r="J48" s="33" t="s">
        <v>133</v>
      </c>
    </row>
    <row r="49" spans="10:13" hidden="1" x14ac:dyDescent="0.2">
      <c r="J49" t="s">
        <v>49</v>
      </c>
      <c r="K49" s="25">
        <v>90000</v>
      </c>
      <c r="L49">
        <v>1</v>
      </c>
      <c r="M49" s="25">
        <f>K49*L49</f>
        <v>90000</v>
      </c>
    </row>
    <row r="50" spans="10:13" hidden="1" x14ac:dyDescent="0.2">
      <c r="J50" t="s">
        <v>50</v>
      </c>
      <c r="K50" s="25">
        <v>168000</v>
      </c>
      <c r="L50">
        <v>1</v>
      </c>
      <c r="M50" s="25">
        <f>K50*L50</f>
        <v>168000</v>
      </c>
    </row>
    <row r="51" spans="10:13" hidden="1" x14ac:dyDescent="0.2">
      <c r="L51">
        <f>SUM(L50:L50)</f>
        <v>1</v>
      </c>
      <c r="M51" s="25">
        <f>SUM(M49:M50)*1.2</f>
        <v>309600</v>
      </c>
    </row>
    <row r="52" spans="10:13" hidden="1" x14ac:dyDescent="0.2"/>
    <row r="53" spans="10:13" hidden="1" x14ac:dyDescent="0.2"/>
    <row r="54" spans="10:13" hidden="1" x14ac:dyDescent="0.2"/>
    <row r="55" spans="10:13" hidden="1" x14ac:dyDescent="0.2"/>
    <row r="56" spans="10:13" hidden="1" x14ac:dyDescent="0.2"/>
    <row r="57" spans="10:13" hidden="1" x14ac:dyDescent="0.2"/>
    <row r="58" spans="10:13" hidden="1" x14ac:dyDescent="0.2"/>
    <row r="59" spans="10:13" hidden="1" x14ac:dyDescent="0.2"/>
    <row r="60" spans="10:13" hidden="1" x14ac:dyDescent="0.2"/>
    <row r="61" spans="10:13" hidden="1" x14ac:dyDescent="0.2"/>
    <row r="62" spans="10:13" hidden="1" x14ac:dyDescent="0.2"/>
    <row r="63" spans="10:13" hidden="1" x14ac:dyDescent="0.2"/>
    <row r="64" spans="10:13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1.01" bottom="0.48" header="1.37" footer="0.5"/>
  <pageSetup orientation="portrait" verticalDpi="196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S44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13.85546875" customWidth="1"/>
    <col min="7" max="7" width="2.28515625" hidden="1" customWidth="1"/>
    <col min="8" max="8" width="4.42578125" hidden="1" customWidth="1"/>
    <col min="9" max="9" width="13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24" width="9.140625" hidden="1" customWidth="1"/>
  </cols>
  <sheetData>
    <row r="1" spans="1:45" ht="18" x14ac:dyDescent="0.25">
      <c r="B1" s="125" t="str">
        <f>'[15]Team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131</v>
      </c>
      <c r="C2" s="125"/>
      <c r="D2" s="125"/>
      <c r="E2" s="125"/>
      <c r="F2" s="125"/>
      <c r="G2" s="1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 t="s">
        <v>131</v>
      </c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76" t="s">
        <v>65</v>
      </c>
      <c r="J6" s="7"/>
      <c r="K6" s="19" t="s">
        <v>2</v>
      </c>
      <c r="L6" s="19" t="s">
        <v>3</v>
      </c>
      <c r="M6" s="74" t="s">
        <v>109</v>
      </c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'[15]Team Report'!BA25</f>
        <v>10228335.790000001</v>
      </c>
      <c r="E8" s="15">
        <f>(C8/9)*12</f>
        <v>13637781.053333335</v>
      </c>
      <c r="F8" s="15">
        <f>M21+M25+M26+M27+M28</f>
        <v>2869200</v>
      </c>
      <c r="J8" s="7"/>
      <c r="K8" s="17"/>
      <c r="L8" s="17"/>
      <c r="M8" s="43"/>
      <c r="O8" s="15">
        <f>+F8/$F$29*$O$29</f>
        <v>136628.57142857142</v>
      </c>
    </row>
    <row r="9" spans="1:45" hidden="1" x14ac:dyDescent="0.2">
      <c r="A9" s="13"/>
      <c r="B9" s="14" t="s">
        <v>12</v>
      </c>
      <c r="C9" s="15">
        <v>0</v>
      </c>
      <c r="E9" s="15">
        <f>(C9/9)*12</f>
        <v>0</v>
      </c>
      <c r="F9" s="15"/>
      <c r="J9" s="7" t="s">
        <v>11</v>
      </c>
      <c r="K9" s="17">
        <v>0</v>
      </c>
      <c r="L9" s="17">
        <f>L29</f>
        <v>21</v>
      </c>
      <c r="M9" s="43">
        <f>M33</f>
        <v>3954960</v>
      </c>
      <c r="O9" s="15">
        <f t="shared" ref="O9:O22" si="0">+F9/$F$29*$O$29</f>
        <v>0</v>
      </c>
    </row>
    <row r="10" spans="1:45" hidden="1" x14ac:dyDescent="0.2">
      <c r="A10" s="13"/>
      <c r="B10" s="14" t="s">
        <v>72</v>
      </c>
      <c r="C10" s="15">
        <v>0</v>
      </c>
      <c r="E10" s="15">
        <f>(C10/9)*12</f>
        <v>0</v>
      </c>
      <c r="F10" s="15"/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'[15]Team Report'!BA26</f>
        <v>1877442.13</v>
      </c>
      <c r="E11" s="15">
        <f>(C11/9)*12</f>
        <v>2503256.1733333333</v>
      </c>
      <c r="F11" s="15">
        <f>F8*0.2</f>
        <v>573840</v>
      </c>
      <c r="J11" s="7"/>
      <c r="K11" s="17"/>
      <c r="L11" s="17"/>
      <c r="M11" s="43"/>
      <c r="O11" s="15">
        <f t="shared" si="0"/>
        <v>27325.714285714286</v>
      </c>
    </row>
    <row r="12" spans="1:45" x14ac:dyDescent="0.2">
      <c r="A12" s="13" t="s">
        <v>17</v>
      </c>
      <c r="B12" s="14" t="s">
        <v>18</v>
      </c>
      <c r="C12" s="15">
        <f>'[15]Team Report'!BA27</f>
        <v>405632.98</v>
      </c>
      <c r="E12" s="21">
        <f>((C12/9)*12)*2.6</f>
        <v>1406194.3306666669</v>
      </c>
      <c r="F12" s="21">
        <f>E12/$E$29*$L$12</f>
        <v>266036.76526126126</v>
      </c>
      <c r="J12" s="7" t="s">
        <v>16</v>
      </c>
      <c r="K12" s="17">
        <f>(E12+E13+E15+E16+E17+E18+E19+E20+E21+E22)/E29</f>
        <v>50608.385250450454</v>
      </c>
      <c r="L12" s="17">
        <f>L29</f>
        <v>21</v>
      </c>
      <c r="M12" s="43">
        <f>K12*L12+5000000</f>
        <v>6062776.0902594598</v>
      </c>
      <c r="O12" s="15">
        <f t="shared" si="0"/>
        <v>12668.417393393393</v>
      </c>
    </row>
    <row r="13" spans="1:45" x14ac:dyDescent="0.2">
      <c r="A13" s="13" t="s">
        <v>19</v>
      </c>
      <c r="B13" s="14" t="s">
        <v>20</v>
      </c>
      <c r="C13" s="15">
        <f>'[15]Team Report'!BA28</f>
        <v>648740.16999999993</v>
      </c>
      <c r="E13" s="21">
        <f>((C13/9)*12)*2.13</f>
        <v>1842422.0827999995</v>
      </c>
      <c r="F13" s="21">
        <f>E13/$E$29*$L$12</f>
        <v>348566.33998918912</v>
      </c>
      <c r="J13" s="7"/>
      <c r="K13" s="17"/>
      <c r="L13" s="17"/>
      <c r="M13" s="43"/>
      <c r="O13" s="15">
        <f t="shared" si="0"/>
        <v>16598.397142342339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21">
        <v>0</v>
      </c>
      <c r="F14" s="21">
        <v>5000000</v>
      </c>
      <c r="J14" s="22" t="s">
        <v>21</v>
      </c>
      <c r="K14" s="47"/>
      <c r="L14" s="47"/>
      <c r="M14" s="48">
        <f>SUM(M9:M12)</f>
        <v>10017736.090259459</v>
      </c>
      <c r="O14" s="15">
        <f t="shared" si="0"/>
        <v>238095.23809523811</v>
      </c>
    </row>
    <row r="15" spans="1:45" x14ac:dyDescent="0.2">
      <c r="A15" s="13" t="s">
        <v>24</v>
      </c>
      <c r="B15" s="14" t="s">
        <v>25</v>
      </c>
      <c r="C15" s="15">
        <f>'[15]Team Report'!BA33</f>
        <v>76876.320000000007</v>
      </c>
      <c r="E15" s="21">
        <f>((C15/9)*12)*2.1</f>
        <v>215253.69600000003</v>
      </c>
      <c r="F15" s="21">
        <f t="shared" ref="F15:F22" si="1">E15/$E$29*$L$12</f>
        <v>40723.672216216226</v>
      </c>
      <c r="I15" s="49">
        <f>M14-F23</f>
        <v>511919.99999999814</v>
      </c>
      <c r="J15" s="8"/>
      <c r="K15" s="17"/>
      <c r="L15" s="17"/>
      <c r="M15" s="17"/>
      <c r="O15" s="15">
        <f t="shared" si="0"/>
        <v>1939.222486486487</v>
      </c>
    </row>
    <row r="16" spans="1:45" x14ac:dyDescent="0.2">
      <c r="A16" s="13" t="s">
        <v>26</v>
      </c>
      <c r="B16" s="14" t="s">
        <v>27</v>
      </c>
      <c r="C16" s="15">
        <f>'[15]Team Report'!BA34</f>
        <v>0</v>
      </c>
      <c r="E16" s="21">
        <f>((C16/9)*12)*1.2</f>
        <v>0</v>
      </c>
      <c r="F16" s="21">
        <f t="shared" si="1"/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'[15]Team Report'!BA35</f>
        <v>0</v>
      </c>
      <c r="E17" s="21">
        <f>((C17/9)*12)*1.2</f>
        <v>0</v>
      </c>
      <c r="F17" s="21">
        <f t="shared" si="1"/>
        <v>0</v>
      </c>
      <c r="J17" t="s">
        <v>28</v>
      </c>
      <c r="K17" s="25">
        <v>33600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'[15]Team Report'!BA36</f>
        <v>5744.1</v>
      </c>
      <c r="E18" s="21">
        <f>((C18/9)*12)*1.6</f>
        <v>12254.080000000002</v>
      </c>
      <c r="F18" s="21">
        <f t="shared" si="1"/>
        <v>2318.3394594594597</v>
      </c>
      <c r="J18" t="s">
        <v>31</v>
      </c>
      <c r="K18" s="25">
        <v>52800</v>
      </c>
      <c r="L18" s="25">
        <v>2</v>
      </c>
      <c r="M18" s="17">
        <f t="shared" si="2"/>
        <v>105600</v>
      </c>
      <c r="O18" s="15">
        <f t="shared" si="0"/>
        <v>110.39711711711713</v>
      </c>
    </row>
    <row r="19" spans="1:15" x14ac:dyDescent="0.2">
      <c r="A19" s="13" t="s">
        <v>35</v>
      </c>
      <c r="B19" s="14" t="s">
        <v>36</v>
      </c>
      <c r="C19" s="15">
        <f>'[15]Team Report'!BA37</f>
        <v>67058.599999999991</v>
      </c>
      <c r="E19" s="21">
        <f>((C19/9)*12)*1.85</f>
        <v>165411.21333333329</v>
      </c>
      <c r="F19" s="21">
        <f t="shared" si="1"/>
        <v>31294.013333333325</v>
      </c>
      <c r="J19" t="s">
        <v>34</v>
      </c>
      <c r="K19" s="25">
        <v>54000</v>
      </c>
      <c r="L19" s="25">
        <v>0</v>
      </c>
      <c r="M19" s="17">
        <f t="shared" si="2"/>
        <v>0</v>
      </c>
      <c r="O19" s="15">
        <f t="shared" si="0"/>
        <v>1490.1911111111108</v>
      </c>
    </row>
    <row r="20" spans="1:15" x14ac:dyDescent="0.2">
      <c r="A20" s="13" t="s">
        <v>38</v>
      </c>
      <c r="B20" s="14" t="s">
        <v>39</v>
      </c>
      <c r="C20" s="15">
        <f>'[15]Team Report'!BA38</f>
        <v>0</v>
      </c>
      <c r="E20" s="21">
        <f>((C20/9)*12)*1.2</f>
        <v>0</v>
      </c>
      <c r="F20" s="21">
        <f t="shared" si="1"/>
        <v>0</v>
      </c>
      <c r="J20" t="s">
        <v>37</v>
      </c>
      <c r="K20" s="25">
        <v>63000</v>
      </c>
      <c r="L20" s="25">
        <v>3</v>
      </c>
      <c r="M20" s="17">
        <f t="shared" si="2"/>
        <v>189000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'[15]Team Report'!BA42</f>
        <v>842429.76</v>
      </c>
      <c r="E21" s="21">
        <f>((C21/9)*12)*1.75</f>
        <v>1965669.4400000004</v>
      </c>
      <c r="F21" s="21">
        <f t="shared" si="1"/>
        <v>371883.40756756766</v>
      </c>
      <c r="J21" t="s">
        <v>40</v>
      </c>
      <c r="K21" s="25">
        <v>78000</v>
      </c>
      <c r="L21" s="25">
        <v>0</v>
      </c>
      <c r="M21" s="17">
        <f t="shared" si="2"/>
        <v>0</v>
      </c>
      <c r="O21" s="15">
        <f t="shared" si="0"/>
        <v>17708.733693693699</v>
      </c>
    </row>
    <row r="22" spans="1:15" x14ac:dyDescent="0.2">
      <c r="A22" s="13" t="s">
        <v>44</v>
      </c>
      <c r="B22" s="14" t="s">
        <v>45</v>
      </c>
      <c r="C22" s="15">
        <f>'[15]Team Report'!BA44</f>
        <v>6453.6999999999989</v>
      </c>
      <c r="E22" s="21">
        <f>((C22/9)*12)*1.2</f>
        <v>10325.919999999998</v>
      </c>
      <c r="F22" s="21">
        <f t="shared" si="1"/>
        <v>1953.5524324324322</v>
      </c>
      <c r="J22" t="s">
        <v>43</v>
      </c>
      <c r="K22" s="25">
        <v>66000</v>
      </c>
      <c r="L22" s="25">
        <v>0</v>
      </c>
      <c r="M22" s="17">
        <f t="shared" si="2"/>
        <v>0</v>
      </c>
      <c r="O22" s="15">
        <f t="shared" si="0"/>
        <v>93.026306306306296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21758567.989466671</v>
      </c>
      <c r="F23" s="28">
        <f>SUM(F8:F22)</f>
        <v>9505816.0902594607</v>
      </c>
      <c r="J23" t="s">
        <v>46</v>
      </c>
      <c r="K23" s="25">
        <v>97200</v>
      </c>
      <c r="L23" s="25">
        <v>0</v>
      </c>
      <c r="M23" s="17">
        <f t="shared" si="2"/>
        <v>0</v>
      </c>
      <c r="O23" s="58">
        <f>SUM(O8:O22)</f>
        <v>452657.90905997425</v>
      </c>
    </row>
    <row r="24" spans="1:15" x14ac:dyDescent="0.2">
      <c r="J24" t="s">
        <v>49</v>
      </c>
      <c r="K24" s="25">
        <v>132000</v>
      </c>
      <c r="L24" s="25">
        <v>1</v>
      </c>
      <c r="M24" s="17">
        <f t="shared" si="2"/>
        <v>132000</v>
      </c>
    </row>
    <row r="25" spans="1:15" x14ac:dyDescent="0.2">
      <c r="B25" s="27" t="s">
        <v>51</v>
      </c>
      <c r="C25" s="55"/>
      <c r="E25" s="55">
        <v>111</v>
      </c>
      <c r="F25" s="79">
        <f>+L29</f>
        <v>21</v>
      </c>
      <c r="J25" t="s">
        <v>121</v>
      </c>
      <c r="K25" s="25">
        <v>178800</v>
      </c>
      <c r="L25" s="25">
        <v>9</v>
      </c>
      <c r="M25" s="17">
        <f t="shared" si="2"/>
        <v>1609200</v>
      </c>
      <c r="O25" s="31">
        <f>SUM(U16:U20,U23:U27)</f>
        <v>0</v>
      </c>
    </row>
    <row r="26" spans="1:15" x14ac:dyDescent="0.2">
      <c r="J26" t="s">
        <v>142</v>
      </c>
      <c r="K26" s="25">
        <v>195600</v>
      </c>
      <c r="L26" s="25">
        <v>2</v>
      </c>
      <c r="M26" s="17">
        <f t="shared" si="2"/>
        <v>391200</v>
      </c>
      <c r="O26" s="15"/>
    </row>
    <row r="27" spans="1:15" x14ac:dyDescent="0.2">
      <c r="B27" s="27" t="s">
        <v>69</v>
      </c>
      <c r="C27" s="55"/>
      <c r="E27" s="55"/>
      <c r="F27" s="55"/>
      <c r="J27" t="s">
        <v>143</v>
      </c>
      <c r="K27" s="25">
        <v>217200</v>
      </c>
      <c r="L27" s="25">
        <v>4</v>
      </c>
      <c r="M27" s="17">
        <f t="shared" si="2"/>
        <v>868800</v>
      </c>
      <c r="O27" s="31">
        <f>SUM(U21:U22)</f>
        <v>0</v>
      </c>
    </row>
    <row r="28" spans="1:15" x14ac:dyDescent="0.2">
      <c r="J28" t="s">
        <v>55</v>
      </c>
      <c r="K28" s="25">
        <v>345600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55">
        <f>SUM(F25:F28)</f>
        <v>21</v>
      </c>
      <c r="L29" s="25">
        <f>SUM(L17:L28)</f>
        <v>21</v>
      </c>
      <c r="M29" s="25">
        <f>SUM(M17:M28)</f>
        <v>3295800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'[15]Team Report'!BA29</f>
        <v>-24140467.679999996</v>
      </c>
      <c r="E31" s="15">
        <f t="shared" ref="E31:E38" si="3">(C31/9)*12</f>
        <v>-32187290.239999995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'[15]Team Report'!BA30</f>
        <v>0</v>
      </c>
      <c r="E32" s="15">
        <f t="shared" si="3"/>
        <v>0</v>
      </c>
      <c r="F32" s="15"/>
    </row>
    <row r="33" spans="1:14" hidden="1" x14ac:dyDescent="0.2">
      <c r="A33" s="13" t="s">
        <v>77</v>
      </c>
      <c r="B33" s="14" t="s">
        <v>78</v>
      </c>
      <c r="C33" s="15">
        <f>'[15]Team Report'!BA31</f>
        <v>0</v>
      </c>
      <c r="E33" s="15">
        <f t="shared" si="3"/>
        <v>0</v>
      </c>
      <c r="F33" s="15"/>
      <c r="M33" s="25">
        <f>M29*1.2</f>
        <v>3954960</v>
      </c>
    </row>
    <row r="34" spans="1:14" hidden="1" x14ac:dyDescent="0.2">
      <c r="A34" s="13" t="s">
        <v>79</v>
      </c>
      <c r="B34" s="14" t="s">
        <v>80</v>
      </c>
      <c r="C34" s="15">
        <f>'[15]Team Report'!BA39</f>
        <v>0</v>
      </c>
      <c r="E34" s="15">
        <f t="shared" si="3"/>
        <v>0</v>
      </c>
      <c r="F34" s="15"/>
    </row>
    <row r="35" spans="1:14" hidden="1" x14ac:dyDescent="0.2">
      <c r="A35" s="13" t="s">
        <v>81</v>
      </c>
      <c r="B35" s="14" t="s">
        <v>82</v>
      </c>
      <c r="C35" s="15">
        <f>'[15]Team Report'!BA40</f>
        <v>164920.93000000002</v>
      </c>
      <c r="E35" s="15">
        <f t="shared" si="3"/>
        <v>219894.57333333336</v>
      </c>
      <c r="F35" s="15"/>
    </row>
    <row r="36" spans="1:14" hidden="1" x14ac:dyDescent="0.2">
      <c r="A36" s="13" t="s">
        <v>83</v>
      </c>
      <c r="B36" s="14" t="s">
        <v>84</v>
      </c>
      <c r="C36" s="15">
        <f>'[15]Team Report'!BA41</f>
        <v>945381.27</v>
      </c>
      <c r="E36" s="15">
        <f t="shared" si="3"/>
        <v>1260508.3600000001</v>
      </c>
      <c r="F36" s="15"/>
    </row>
    <row r="37" spans="1:14" hidden="1" x14ac:dyDescent="0.2">
      <c r="A37" s="13" t="s">
        <v>85</v>
      </c>
      <c r="B37" s="14" t="s">
        <v>86</v>
      </c>
      <c r="C37" s="15">
        <f>'[15]Team Report'!BA43</f>
        <v>-5121278.5200000005</v>
      </c>
      <c r="E37" s="15">
        <f t="shared" si="3"/>
        <v>-6828371.3600000013</v>
      </c>
      <c r="F37" s="15"/>
      <c r="I37" s="33" t="s">
        <v>57</v>
      </c>
      <c r="J37" s="25"/>
      <c r="M37"/>
    </row>
    <row r="38" spans="1:14" hidden="1" x14ac:dyDescent="0.2">
      <c r="A38" s="13" t="s">
        <v>87</v>
      </c>
      <c r="B38" s="14" t="s">
        <v>88</v>
      </c>
      <c r="C38" s="15">
        <f>'[15]Team Report'!BA45</f>
        <v>0</v>
      </c>
      <c r="E38" s="15">
        <f t="shared" si="3"/>
        <v>0</v>
      </c>
      <c r="F38" s="15"/>
      <c r="J38" s="25"/>
      <c r="M38"/>
    </row>
    <row r="39" spans="1:14" hidden="1" x14ac:dyDescent="0.2">
      <c r="A39" s="13" t="s">
        <v>22</v>
      </c>
      <c r="B39" s="14" t="s">
        <v>23</v>
      </c>
      <c r="C39" s="15">
        <v>24143776.43</v>
      </c>
      <c r="E39" s="15">
        <v>32191701.906666666</v>
      </c>
      <c r="F39" s="15"/>
      <c r="I39" s="34" t="s">
        <v>58</v>
      </c>
      <c r="J39" s="35" t="s">
        <v>59</v>
      </c>
      <c r="K39" s="35" t="s">
        <v>60</v>
      </c>
      <c r="L39" s="35" t="s">
        <v>3</v>
      </c>
      <c r="M39" s="35" t="s">
        <v>61</v>
      </c>
    </row>
    <row r="40" spans="1:14" x14ac:dyDescent="0.2">
      <c r="I40" s="36">
        <f>SUM(E12:E22)</f>
        <v>5617530.7628000006</v>
      </c>
      <c r="J40" s="56">
        <f>+E29</f>
        <v>111</v>
      </c>
      <c r="K40" s="37">
        <f>+I40/J40</f>
        <v>50608.385250450454</v>
      </c>
      <c r="L40" s="37">
        <f>+L12</f>
        <v>21</v>
      </c>
      <c r="M40" s="37">
        <f>+K40*L40</f>
        <v>1062776.0902594596</v>
      </c>
      <c r="N40" s="25"/>
    </row>
    <row r="41" spans="1:14" x14ac:dyDescent="0.2">
      <c r="K41"/>
      <c r="M41"/>
    </row>
    <row r="42" spans="1:14" x14ac:dyDescent="0.2">
      <c r="I42" t="s">
        <v>144</v>
      </c>
      <c r="K42"/>
      <c r="M42"/>
    </row>
    <row r="44" spans="1:14" x14ac:dyDescent="0.2">
      <c r="C44" s="54">
        <f>C23+C31+C32+C33+C34+C35+C36+C37+C38</f>
        <v>-13992730.449999996</v>
      </c>
    </row>
  </sheetData>
  <mergeCells count="4">
    <mergeCell ref="J4:M4"/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233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5652900</v>
      </c>
      <c r="I8" s="42" t="s">
        <v>11</v>
      </c>
      <c r="J8" s="17">
        <v>0</v>
      </c>
      <c r="K8" s="17"/>
      <c r="L8" s="43">
        <f>L30</f>
        <v>6783480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1130580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8376395.9812500002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f>1</f>
        <v>1</v>
      </c>
      <c r="L19" s="25">
        <f t="shared" si="2"/>
        <v>57750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f>2+1-1</f>
        <v>2</v>
      </c>
      <c r="L20" s="25">
        <f t="shared" si="2"/>
        <v>143000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(E22/$E$29)*$K$11+557047+65535+393210+393210+1081327</f>
        <v>3571655.5870000003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10866724.981250001</v>
      </c>
      <c r="I23" s="25" t="s">
        <v>49</v>
      </c>
      <c r="J23" s="25">
        <v>110000</v>
      </c>
      <c r="K23" s="25">
        <f>1+8+11-11</f>
        <v>9</v>
      </c>
      <c r="L23" s="25">
        <f t="shared" si="2"/>
        <v>990000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f>1+11+14-14</f>
        <v>12</v>
      </c>
      <c r="L24" s="25">
        <f t="shared" si="2"/>
        <v>1716000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f>8+6-6</f>
        <v>8</v>
      </c>
      <c r="L26" s="25">
        <f t="shared" si="2"/>
        <v>1584000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>1+1-1</f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5652900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6783480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Fund'!F8+'West - Fund'!G8</f>
        <v>1722480</v>
      </c>
      <c r="I8" s="42" t="s">
        <v>11</v>
      </c>
      <c r="J8" s="17">
        <v>0</v>
      </c>
      <c r="K8" s="17"/>
      <c r="L8" s="43">
        <f>L30</f>
        <v>2208096</v>
      </c>
      <c r="Q8" s="15">
        <f t="shared" ref="Q8:Q22" si="1">+H8/$H$29*$Q$29</f>
        <v>59395.862068965514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Fund'!F9+'West - Fund'!G9</f>
        <v>0</v>
      </c>
      <c r="I9" s="42"/>
      <c r="J9" s="17"/>
      <c r="K9" s="17"/>
      <c r="L9" s="43"/>
      <c r="Q9" s="15">
        <f t="shared" si="1"/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Fund'!F10+'West - Fund'!G10</f>
        <v>1143000</v>
      </c>
      <c r="I10" s="42"/>
      <c r="J10" s="17"/>
      <c r="K10" s="17"/>
      <c r="L10" s="43"/>
      <c r="Q10" s="15">
        <f t="shared" si="1"/>
        <v>39413.793103448275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Fund'!F11+'West - Fund'!G11</f>
        <v>573096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19761.931034482757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Fund'!F12+'West - Fund'!G12</f>
        <v>206735.78346760411</v>
      </c>
      <c r="I12" s="42"/>
      <c r="J12" s="17"/>
      <c r="K12" s="17"/>
      <c r="L12" s="43"/>
      <c r="Q12" s="15">
        <f t="shared" si="1"/>
        <v>7128.8201195725551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Fund'!F13+'West - Fund'!G13</f>
        <v>263160.28591867024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9074.4926178851802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Fund'!F14+'West - Fund'!G14</f>
        <v>7.0929180444966183E-2</v>
      </c>
      <c r="Q14" s="15">
        <f t="shared" si="1"/>
        <v>2.4458338084471097E-3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Fund'!F15+'West - Fund'!G15</f>
        <v>36554.538796244437</v>
      </c>
      <c r="Q15" s="15">
        <f t="shared" si="1"/>
        <v>1260.5013378015324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Fund'!F16+'West - Fund'!G16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Fund'!F17+'West - Fund'!G17</f>
        <v>2279.0359789624672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78.5874475504299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Fund'!F18+'West - Fund'!G18</f>
        <v>47101.095171026718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1624.1756955526455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Fund'!F19+'West - Fund'!G19</f>
        <v>71835.380820475169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2477.0820972577644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Fund'!F20+'West - Fund'!G20</f>
        <v>21.927272355224662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0.75611283983533317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Fund'!F21+'West - Fund'!G21</f>
        <v>159912.27365153455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5514.2163328115357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Fund'!F22+'West - Fund'!G22</f>
        <v>106651.18223430458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3677.6269735967098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4332827.5742403585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149407.84738759859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Fund'!F25+'West - Fund'!G25</f>
        <v>14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Fund'!F27+'West - Fund'!G27</f>
        <v>15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29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B1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196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+'West - Struct'!G8+'Gas - Struct'!H8</f>
        <v>595200</v>
      </c>
      <c r="H8" s="15"/>
      <c r="I8" s="16">
        <f t="shared" ref="I8:I22" si="0">+G8/$G$23</f>
        <v>0.54148958838480665</v>
      </c>
      <c r="K8" s="7" t="s">
        <v>11</v>
      </c>
      <c r="L8" s="17">
        <v>0</v>
      </c>
      <c r="M8" s="8">
        <f>+M11</f>
        <v>2</v>
      </c>
      <c r="N8" s="18">
        <f>N28</f>
        <v>260640</v>
      </c>
      <c r="O8" s="15">
        <f t="shared" ref="O8:O22" si="1">+G8/$G$29*$O$29</f>
        <v>99200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>
        <f>+'West - Struct'!G9+'Gas - Struct'!H9</f>
        <v>0</v>
      </c>
      <c r="H9" s="15"/>
      <c r="I9" s="16">
        <f t="shared" si="0"/>
        <v>0</v>
      </c>
      <c r="K9" s="7"/>
      <c r="L9" s="8"/>
      <c r="M9" s="8"/>
      <c r="N9" s="9"/>
      <c r="O9" s="15">
        <f t="shared" si="1"/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+'West - Struct'!G10+'Gas - Struct'!H10</f>
        <v>163200</v>
      </c>
      <c r="H10" s="15"/>
      <c r="I10" s="16">
        <f t="shared" si="0"/>
        <v>0.14847295165389862</v>
      </c>
      <c r="K10" s="7"/>
      <c r="L10" s="8"/>
      <c r="M10" s="8"/>
      <c r="N10" s="9"/>
      <c r="O10" s="15">
        <f t="shared" si="1"/>
        <v>27200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+'West - Struct'!G11+'Gas - Struct'!H11</f>
        <v>151680</v>
      </c>
      <c r="H11" s="15"/>
      <c r="I11" s="16">
        <f t="shared" si="0"/>
        <v>0.13799250800774107</v>
      </c>
      <c r="K11" s="7" t="s">
        <v>16</v>
      </c>
      <c r="L11" s="19">
        <f>(E12+E13+E14+E15+E16+E17+E18+E19+E20+E21+E22)/E29</f>
        <v>47533.855280898868</v>
      </c>
      <c r="M11" s="8">
        <f>M28</f>
        <v>2</v>
      </c>
      <c r="N11" s="18">
        <f>L11*M11</f>
        <v>95067.710561797736</v>
      </c>
      <c r="O11" s="15">
        <f t="shared" si="1"/>
        <v>25280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15">
        <f>+'West - Struct'!G12+'Gas - Struct'!H12</f>
        <v>53981.408485955057</v>
      </c>
      <c r="H12" s="15"/>
      <c r="I12" s="16">
        <f t="shared" si="0"/>
        <v>4.9110165761915181E-2</v>
      </c>
      <c r="K12" s="7"/>
      <c r="L12" s="8"/>
      <c r="M12" s="8"/>
      <c r="N12" s="9"/>
      <c r="O12" s="15">
        <f t="shared" si="1"/>
        <v>8996.9014143258428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15">
        <f>+'West - Struct'!G13+'Gas - Struct'!H13</f>
        <v>55274.131873595506</v>
      </c>
      <c r="H13" s="15"/>
      <c r="I13" s="16">
        <f t="shared" si="0"/>
        <v>5.0286234738845352E-2</v>
      </c>
      <c r="K13" s="22" t="s">
        <v>21</v>
      </c>
      <c r="L13" s="23"/>
      <c r="M13" s="23"/>
      <c r="N13" s="24">
        <f>N8+N11</f>
        <v>355707.71056179772</v>
      </c>
      <c r="O13" s="15">
        <f t="shared" si="1"/>
        <v>9212.3553122659177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15">
        <f>+'West - Struct'!G14+'Gas - Struct'!H14</f>
        <v>1.8943820212154419E-2</v>
      </c>
      <c r="H14" s="15"/>
      <c r="I14" s="16">
        <f t="shared" si="0"/>
        <v>1.7234343765314647E-8</v>
      </c>
      <c r="O14" s="15">
        <f t="shared" si="1"/>
        <v>3.1573033686924032E-3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15">
        <f>+'West - Struct'!G15+'Gas - Struct'!H15</f>
        <v>9565.4533370786521</v>
      </c>
      <c r="H15" s="15"/>
      <c r="I15" s="16">
        <f t="shared" si="0"/>
        <v>8.7022738410766041E-3</v>
      </c>
      <c r="O15" s="15">
        <f t="shared" si="1"/>
        <v>1594.242222846442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15">
        <f>+'West - Struct'!G16+'Gas - Struct'!H16</f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3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15">
        <f>+'West - Struct'!G17+'Gas - Struct'!H17</f>
        <v>756.93820224719093</v>
      </c>
      <c r="H17" s="15"/>
      <c r="I17" s="16">
        <f t="shared" si="0"/>
        <v>6.8863265384335847E-4</v>
      </c>
      <c r="K17" t="s">
        <v>31</v>
      </c>
      <c r="L17" s="25">
        <v>52800</v>
      </c>
      <c r="M17">
        <v>0</v>
      </c>
      <c r="N17" s="25">
        <f t="shared" si="3"/>
        <v>0</v>
      </c>
      <c r="O17" s="15">
        <f t="shared" si="1"/>
        <v>126.15636704119849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15">
        <f>+'West - Struct'!G18+'Gas - Struct'!H18</f>
        <v>20338.975831460673</v>
      </c>
      <c r="H18" s="15"/>
      <c r="I18" s="16">
        <f t="shared" si="0"/>
        <v>1.8503601564425692E-2</v>
      </c>
      <c r="K18" t="s">
        <v>34</v>
      </c>
      <c r="L18" s="25">
        <v>54000</v>
      </c>
      <c r="M18">
        <v>0</v>
      </c>
      <c r="N18" s="25">
        <f t="shared" si="3"/>
        <v>0</v>
      </c>
      <c r="O18" s="15">
        <f t="shared" si="1"/>
        <v>3389.8293052434456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15">
        <f>+'West - Struct'!G19+'Gas - Struct'!H19</f>
        <v>11135.401550561797</v>
      </c>
      <c r="H19" s="15"/>
      <c r="I19" s="16">
        <f t="shared" si="0"/>
        <v>1.0130551078819298E-2</v>
      </c>
      <c r="K19" t="s">
        <v>37</v>
      </c>
      <c r="L19" s="25">
        <v>63000</v>
      </c>
      <c r="M19">
        <v>0</v>
      </c>
      <c r="N19" s="25">
        <f t="shared" si="3"/>
        <v>0</v>
      </c>
      <c r="O19" s="15">
        <f t="shared" si="1"/>
        <v>1855.9002584269663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15">
        <f>+'West - Struct'!G20+'Gas - Struct'!H20</f>
        <v>6.6642696629213489</v>
      </c>
      <c r="H20" s="15"/>
      <c r="I20" s="16">
        <f t="shared" si="0"/>
        <v>6.0628908546045631E-6</v>
      </c>
      <c r="K20" t="s">
        <v>40</v>
      </c>
      <c r="L20" s="25">
        <v>78000</v>
      </c>
      <c r="M20">
        <f>2-2</f>
        <v>0</v>
      </c>
      <c r="N20" s="25">
        <f t="shared" si="3"/>
        <v>0</v>
      </c>
      <c r="O20" s="15">
        <f t="shared" si="1"/>
        <v>1.1107116104868915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15">
        <f>+'West - Struct'!G21+'Gas - Struct'!H21</f>
        <v>33967.483019662934</v>
      </c>
      <c r="H21" s="15"/>
      <c r="I21" s="16">
        <f t="shared" si="0"/>
        <v>3.0902282256023511E-2</v>
      </c>
      <c r="K21" t="s">
        <v>43</v>
      </c>
      <c r="L21" s="25">
        <v>66000</v>
      </c>
      <c r="M21">
        <v>0</v>
      </c>
      <c r="N21" s="25">
        <f t="shared" si="3"/>
        <v>0</v>
      </c>
      <c r="O21" s="15">
        <f t="shared" si="1"/>
        <v>5661.247169943822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15">
        <f>+'West - Struct'!G22+'Gas - Struct'!H22</f>
        <v>4083.6340786517285</v>
      </c>
      <c r="H22" s="15"/>
      <c r="I22" s="16">
        <f t="shared" si="0"/>
        <v>3.7151299334060714E-3</v>
      </c>
      <c r="K22" t="s">
        <v>46</v>
      </c>
      <c r="L22" s="25">
        <v>97200</v>
      </c>
      <c r="M22">
        <v>1</v>
      </c>
      <c r="N22" s="25">
        <f t="shared" si="3"/>
        <v>97200</v>
      </c>
      <c r="O22" s="15">
        <f t="shared" si="1"/>
        <v>680.60567977528808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1099190.1095926969</v>
      </c>
      <c r="H23" s="29"/>
      <c r="I23" s="30">
        <f>SUM(I8:I22)</f>
        <v>0.99999999999999967</v>
      </c>
      <c r="K23" t="s">
        <v>49</v>
      </c>
      <c r="L23" s="25">
        <v>120000</v>
      </c>
      <c r="M23">
        <v>1</v>
      </c>
      <c r="N23" s="25">
        <f t="shared" si="3"/>
        <v>120000</v>
      </c>
      <c r="O23" s="28">
        <f>SUM(O8:O22)</f>
        <v>183198.35159878281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3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+'West - Struct'!G25+'Gas - Struct'!H25</f>
        <v>4</v>
      </c>
      <c r="H25" s="32"/>
      <c r="K25" t="s">
        <v>52</v>
      </c>
      <c r="L25" s="25">
        <v>180000</v>
      </c>
      <c r="M25">
        <v>0</v>
      </c>
      <c r="N25" s="25">
        <f t="shared" si="3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3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+'West - Struct'!G27+'Gas - Struct'!H27</f>
        <v>2</v>
      </c>
      <c r="H27" s="32"/>
      <c r="K27" t="s">
        <v>55</v>
      </c>
      <c r="L27" s="25">
        <v>240000</v>
      </c>
      <c r="M27">
        <v>0</v>
      </c>
      <c r="N27" s="25">
        <f t="shared" si="3"/>
        <v>0</v>
      </c>
      <c r="O27" s="31">
        <f>+U21+U22</f>
        <v>0</v>
      </c>
    </row>
    <row r="28" spans="1:15" x14ac:dyDescent="0.2">
      <c r="M28">
        <f>SUM(M16:M27)</f>
        <v>2</v>
      </c>
      <c r="N28" s="25">
        <f>SUM(N16:N27)*1.2</f>
        <v>260640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2</v>
      </c>
      <c r="N34" s="37">
        <f>+L34*M34</f>
        <v>95067.710561797736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9.140625" hidden="1" customWidth="1"/>
    <col min="18" max="55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178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719400</v>
      </c>
      <c r="I8" s="42" t="s">
        <v>11</v>
      </c>
      <c r="J8" s="17">
        <v>0</v>
      </c>
      <c r="K8" s="17"/>
      <c r="L8" s="43">
        <f>L30</f>
        <v>863280</v>
      </c>
      <c r="Q8" s="15">
        <f>+H8/$H$29*$Q$29</f>
        <v>143880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143880</v>
      </c>
      <c r="I11" s="42" t="s">
        <v>16</v>
      </c>
      <c r="J11" s="17">
        <f>(E12+E13+E14+E15+E16+E17+E18+E19+E20+E21+E22)/E29</f>
        <v>48270.181250000009</v>
      </c>
      <c r="K11" s="17">
        <f>K28</f>
        <v>5</v>
      </c>
      <c r="L11" s="43">
        <f>J11*K11</f>
        <v>241350.90625000006</v>
      </c>
      <c r="Q11" s="15">
        <f t="shared" si="1"/>
        <v>28776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30812.368749999987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27424.784583333341</v>
      </c>
      <c r="I13" s="46" t="s">
        <v>21</v>
      </c>
      <c r="J13" s="47"/>
      <c r="K13" s="47"/>
      <c r="L13" s="48">
        <f>L8+L11</f>
        <v>1104630.90625</v>
      </c>
      <c r="N13" s="25">
        <v>24109311.029375006</v>
      </c>
      <c r="P13" s="49">
        <f>N13-L13</f>
        <v>23004680.123125006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1.0000000000824608E-2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4356.7916666666661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245.83333333333331</v>
      </c>
      <c r="I17" s="25" t="s">
        <v>31</v>
      </c>
      <c r="J17" s="25">
        <v>48400</v>
      </c>
      <c r="K17" s="25">
        <f t="shared" ref="K17:K27" si="4">1-1</f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4464.7883333333339</v>
      </c>
      <c r="I18" s="25" t="s">
        <v>34</v>
      </c>
      <c r="J18" s="25">
        <v>49500</v>
      </c>
      <c r="K18" s="25">
        <f t="shared" si="4"/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4550.43</v>
      </c>
      <c r="I19" s="25" t="s">
        <v>37</v>
      </c>
      <c r="J19" s="25">
        <v>57750</v>
      </c>
      <c r="K19" s="25">
        <f t="shared" si="4"/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0.66666666666666663</v>
      </c>
      <c r="I20" s="25" t="s">
        <v>40</v>
      </c>
      <c r="J20" s="25">
        <v>71500</v>
      </c>
      <c r="K20" s="25">
        <v>1</v>
      </c>
      <c r="L20" s="25">
        <f t="shared" si="3"/>
        <v>71500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5657.8712499999947</v>
      </c>
      <c r="I21" s="25" t="s">
        <v>43</v>
      </c>
      <c r="J21" s="25">
        <v>60500</v>
      </c>
      <c r="K21" s="25">
        <f t="shared" si="4"/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(E22/$E$29)*$K$11-65535</f>
        <v>98302.361666666751</v>
      </c>
      <c r="I22" s="25" t="s">
        <v>46</v>
      </c>
      <c r="J22" s="25">
        <v>89100</v>
      </c>
      <c r="K22" s="25">
        <f t="shared" si="4"/>
        <v>0</v>
      </c>
      <c r="L22" s="25">
        <f t="shared" si="3"/>
        <v>0</v>
      </c>
      <c r="Q22" s="15">
        <f t="shared" si="1"/>
        <v>19660.47233333335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1039095.90625</v>
      </c>
      <c r="I23" s="25" t="s">
        <v>49</v>
      </c>
      <c r="J23" s="25">
        <v>110000</v>
      </c>
      <c r="K23" s="25">
        <v>3</v>
      </c>
      <c r="L23" s="25">
        <f t="shared" si="3"/>
        <v>330000</v>
      </c>
      <c r="Q23" s="28">
        <f>SUM(Q8:Q22)</f>
        <v>207819.18125000002</v>
      </c>
    </row>
    <row r="24" spans="1:17" x14ac:dyDescent="0.2">
      <c r="I24" s="25" t="s">
        <v>50</v>
      </c>
      <c r="J24" s="25">
        <v>143000</v>
      </c>
      <c r="K24" s="25">
        <f t="shared" si="4"/>
        <v>0</v>
      </c>
      <c r="L24" s="25">
        <f t="shared" si="3"/>
        <v>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5</v>
      </c>
      <c r="I25" s="25" t="s">
        <v>52</v>
      </c>
      <c r="J25" s="25">
        <v>165000</v>
      </c>
      <c r="K25" s="25">
        <f t="shared" si="4"/>
        <v>0</v>
      </c>
      <c r="L25" s="25">
        <f t="shared" si="3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3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f t="shared" si="4"/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5</v>
      </c>
      <c r="L28" s="25">
        <f>SUM(L16:L27)*1.2</f>
        <v>719400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5</v>
      </c>
      <c r="L29" s="52">
        <v>0.2</v>
      </c>
      <c r="Q29" s="31">
        <v>1</v>
      </c>
    </row>
    <row r="30" spans="1:17" hidden="1" x14ac:dyDescent="0.2">
      <c r="L30" s="25">
        <f>L28*1.2</f>
        <v>863280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S48"/>
  <sheetViews>
    <sheetView topLeftCell="A5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  <col min="15" max="15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137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SUM(M19:M28)+3000000</f>
        <v>18144000</v>
      </c>
      <c r="J8" s="7"/>
      <c r="K8" s="17"/>
      <c r="L8" s="17"/>
      <c r="M8" s="43"/>
      <c r="O8" s="15">
        <f>+G8/$G$29*$O$29</f>
        <v>136421.05263157896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+E9/9*12</f>
        <v>0</v>
      </c>
      <c r="J9" s="7" t="s">
        <v>11</v>
      </c>
      <c r="K9" s="17">
        <v>0</v>
      </c>
      <c r="L9" s="17">
        <f>+L35</f>
        <v>128</v>
      </c>
      <c r="M9" s="43">
        <f>M35</f>
        <v>18172800</v>
      </c>
      <c r="O9" s="15">
        <f t="shared" ref="O9:O21" si="1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 t="shared" si="0"/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+G8*0.2</f>
        <v>3628800</v>
      </c>
      <c r="J11" s="7"/>
      <c r="K11" s="17"/>
      <c r="L11" s="17"/>
      <c r="M11" s="43"/>
      <c r="O11" s="15">
        <f t="shared" si="1"/>
        <v>27284.21052631579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+$M$12*0.25+950000</f>
        <v>1660208</v>
      </c>
      <c r="J12" s="7" t="s">
        <v>16</v>
      </c>
      <c r="K12" s="17">
        <f>18495*1.2</f>
        <v>22194</v>
      </c>
      <c r="L12" s="17">
        <f>+L35</f>
        <v>128</v>
      </c>
      <c r="M12" s="43">
        <f>K12*L12</f>
        <v>2840832</v>
      </c>
      <c r="O12" s="15">
        <f t="shared" si="1"/>
        <v>12482.766917293233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+$M$12*0.13+500000</f>
        <v>869308.16</v>
      </c>
      <c r="J13" s="7"/>
      <c r="K13" s="17"/>
      <c r="L13" s="17"/>
      <c r="M13" s="43"/>
      <c r="O13" s="15">
        <f t="shared" si="1"/>
        <v>6536.1515789473688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21013632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+$M$12*0.08+90000</f>
        <v>317266.56</v>
      </c>
      <c r="J15" s="8"/>
      <c r="K15" s="17"/>
      <c r="L15" s="17"/>
      <c r="M15" s="17"/>
      <c r="O15" s="15">
        <f t="shared" si="1"/>
        <v>2385.462857142857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v>0</v>
      </c>
      <c r="J18" t="s">
        <v>31</v>
      </c>
      <c r="K18" s="25">
        <v>57600</v>
      </c>
      <c r="L18" s="25">
        <v>0</v>
      </c>
      <c r="M18" s="17">
        <f t="shared" si="2"/>
        <v>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+$M$12*0.19+2000000</f>
        <v>2539758.08</v>
      </c>
      <c r="J19" t="s">
        <v>34</v>
      </c>
      <c r="K19" s="25">
        <v>60000</v>
      </c>
      <c r="L19" s="25">
        <v>3</v>
      </c>
      <c r="M19" s="17">
        <f t="shared" si="2"/>
        <v>180000</v>
      </c>
      <c r="O19" s="15">
        <f t="shared" si="1"/>
        <v>19095.925413533834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v>0</v>
      </c>
      <c r="J20" t="s">
        <v>37</v>
      </c>
      <c r="K20" s="25">
        <v>78000</v>
      </c>
      <c r="L20" s="25">
        <v>24</v>
      </c>
      <c r="M20" s="17">
        <f t="shared" si="2"/>
        <v>1872000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2295000+6368166</f>
        <v>8663166</v>
      </c>
      <c r="J21" t="s">
        <v>40</v>
      </c>
      <c r="K21" s="25">
        <v>102000</v>
      </c>
      <c r="L21" s="25">
        <v>62</v>
      </c>
      <c r="M21" s="17">
        <f t="shared" si="2"/>
        <v>6324000</v>
      </c>
      <c r="O21" s="15">
        <f t="shared" si="1"/>
        <v>65136.586466165412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v>0</v>
      </c>
      <c r="J22" t="s">
        <v>138</v>
      </c>
      <c r="K22" s="25">
        <v>192000</v>
      </c>
      <c r="L22" s="25">
        <v>1</v>
      </c>
      <c r="M22" s="17">
        <f t="shared" si="2"/>
        <v>192000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35822506.799999997</v>
      </c>
      <c r="J23" t="s">
        <v>139</v>
      </c>
      <c r="K23" s="25">
        <v>192000</v>
      </c>
      <c r="L23" s="25">
        <v>9</v>
      </c>
      <c r="M23" s="17">
        <f t="shared" si="2"/>
        <v>1728000</v>
      </c>
      <c r="O23" s="28">
        <f>SUM(O8:O22)</f>
        <v>269342.15639097744</v>
      </c>
    </row>
    <row r="24" spans="1:15" x14ac:dyDescent="0.2">
      <c r="J24" t="s">
        <v>49</v>
      </c>
      <c r="K24" s="25">
        <v>144000</v>
      </c>
      <c r="L24" s="25">
        <v>15</v>
      </c>
      <c r="M24" s="17">
        <f t="shared" si="2"/>
        <v>2160000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133</v>
      </c>
      <c r="J25" t="s">
        <v>50</v>
      </c>
      <c r="K25" s="25">
        <v>168000</v>
      </c>
      <c r="L25" s="25">
        <v>7</v>
      </c>
      <c r="M25" s="17">
        <f t="shared" si="2"/>
        <v>1176000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7</v>
      </c>
      <c r="M26" s="17">
        <f t="shared" si="2"/>
        <v>1512000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0</v>
      </c>
      <c r="M27" s="17">
        <f t="shared" si="2"/>
        <v>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133</v>
      </c>
      <c r="L29" s="25">
        <f>SUM(L17:L28)</f>
        <v>128</v>
      </c>
      <c r="M29" s="25">
        <f>SUM(M17:M28)</f>
        <v>15144000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128</v>
      </c>
      <c r="M35" s="25">
        <f>M29*1.2+M33</f>
        <v>18172800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171</v>
      </c>
    </row>
    <row r="47" spans="1:13" x14ac:dyDescent="0.2">
      <c r="B47" s="14" t="s">
        <v>172</v>
      </c>
    </row>
    <row r="48" spans="1:13" x14ac:dyDescent="0.2">
      <c r="B48" s="14" t="s">
        <v>173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S44"/>
  <sheetViews>
    <sheetView topLeftCell="A2" zoomScaleNormal="100" workbookViewId="0">
      <selection activeCell="G12" sqref="G12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28515625" hidden="1" customWidth="1"/>
    <col min="7" max="7" width="11.85546875" customWidth="1"/>
    <col min="10" max="10" width="19.42578125" customWidth="1"/>
    <col min="11" max="11" width="10.42578125" style="25" customWidth="1"/>
    <col min="12" max="12" width="10.85546875" style="25" customWidth="1"/>
    <col min="13" max="13" width="11.42578125" style="25" customWidth="1"/>
  </cols>
  <sheetData>
    <row r="1" spans="1:45" ht="18" x14ac:dyDescent="0.25">
      <c r="B1" s="125" t="str">
        <f>'[14]Team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tr">
        <f>"IT EOL"</f>
        <v>IT EOL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'[14]Team Report'!BA25</f>
        <v>10228335.790000001</v>
      </c>
      <c r="E8" s="15">
        <f>+C8/9*12</f>
        <v>13637781.053333335</v>
      </c>
      <c r="F8" s="15"/>
      <c r="G8" s="15">
        <f>SUM(M17:M28)+200000+100000</f>
        <v>5263200</v>
      </c>
      <c r="J8" s="7"/>
      <c r="K8" s="17"/>
      <c r="L8" s="17"/>
      <c r="M8" s="43"/>
      <c r="O8" s="15">
        <f>+G8/$G$29*$O$29</f>
        <v>119618.18181818182</v>
      </c>
    </row>
    <row r="9" spans="1:45" hidden="1" x14ac:dyDescent="0.2">
      <c r="A9" s="13"/>
      <c r="B9" s="14" t="s">
        <v>12</v>
      </c>
      <c r="C9" s="15">
        <v>0</v>
      </c>
      <c r="E9" s="15">
        <f>+C9/9*12</f>
        <v>0</v>
      </c>
      <c r="F9" s="15"/>
      <c r="G9" s="15">
        <f>+E9/9*12</f>
        <v>0</v>
      </c>
      <c r="J9" s="7" t="s">
        <v>11</v>
      </c>
      <c r="K9" s="17">
        <v>0</v>
      </c>
      <c r="L9" s="17">
        <f>L29+1</f>
        <v>44</v>
      </c>
      <c r="M9" s="43">
        <f>M33+M35</f>
        <v>6147840</v>
      </c>
      <c r="O9" s="15">
        <f t="shared" ref="O9:O21" si="0">+G9/$G$29*$O$29</f>
        <v>0</v>
      </c>
    </row>
    <row r="10" spans="1:45" x14ac:dyDescent="0.2">
      <c r="A10" s="13"/>
      <c r="B10" s="14" t="s">
        <v>72</v>
      </c>
      <c r="C10" s="15">
        <v>0</v>
      </c>
      <c r="E10" s="15">
        <f>+C10/9*12</f>
        <v>0</v>
      </c>
      <c r="F10" s="15"/>
      <c r="G10" s="15">
        <f>+E10/9*12</f>
        <v>0</v>
      </c>
      <c r="J10" s="7"/>
      <c r="K10" s="17"/>
      <c r="L10" s="17"/>
      <c r="M10" s="43"/>
      <c r="O10" s="15">
        <f t="shared" si="0"/>
        <v>0</v>
      </c>
    </row>
    <row r="11" spans="1:45" x14ac:dyDescent="0.2">
      <c r="A11" s="13" t="s">
        <v>14</v>
      </c>
      <c r="B11" s="14" t="s">
        <v>15</v>
      </c>
      <c r="C11" s="15">
        <f>'[14]Team Report'!BA26</f>
        <v>1877442.13</v>
      </c>
      <c r="E11" s="15">
        <f>+C11/9*12</f>
        <v>2503256.1733333333</v>
      </c>
      <c r="F11" s="15"/>
      <c r="G11" s="15">
        <f>+G8*0.2</f>
        <v>1052640</v>
      </c>
      <c r="J11" s="7"/>
      <c r="K11" s="17"/>
      <c r="L11" s="17"/>
      <c r="M11" s="43"/>
      <c r="O11" s="15">
        <f t="shared" si="0"/>
        <v>23923.636363636364</v>
      </c>
    </row>
    <row r="12" spans="1:45" x14ac:dyDescent="0.2">
      <c r="A12" s="13" t="s">
        <v>17</v>
      </c>
      <c r="B12" s="14" t="s">
        <v>18</v>
      </c>
      <c r="C12" s="15">
        <f>'[14]Team Report'!BA27</f>
        <v>405632.98</v>
      </c>
      <c r="E12" s="15">
        <f t="shared" ref="E12:E22" si="1">(+C12/9*12)*1.2</f>
        <v>649012.76800000004</v>
      </c>
      <c r="F12" s="15"/>
      <c r="G12" s="108">
        <f>+$M$12*0.25+50000+250000</f>
        <v>544134</v>
      </c>
      <c r="J12" s="7" t="s">
        <v>16</v>
      </c>
      <c r="K12" s="17">
        <f>18495*1.2</f>
        <v>22194</v>
      </c>
      <c r="L12" s="17">
        <f>L29+1</f>
        <v>44</v>
      </c>
      <c r="M12" s="43">
        <f>K12*L12</f>
        <v>976536</v>
      </c>
      <c r="O12" s="15">
        <f t="shared" si="0"/>
        <v>12366.681818181818</v>
      </c>
    </row>
    <row r="13" spans="1:45" x14ac:dyDescent="0.2">
      <c r="A13" s="13" t="s">
        <v>19</v>
      </c>
      <c r="B13" s="14" t="s">
        <v>20</v>
      </c>
      <c r="C13" s="15">
        <f>'[14]Team Report'!BA28</f>
        <v>648740.16999999993</v>
      </c>
      <c r="E13" s="15">
        <f t="shared" si="1"/>
        <v>1037984.2719999998</v>
      </c>
      <c r="F13" s="15"/>
      <c r="G13" s="15">
        <f>+$M$12*0.13+200000</f>
        <v>326949.68</v>
      </c>
      <c r="J13" s="7"/>
      <c r="K13" s="17"/>
      <c r="L13" s="17"/>
      <c r="M13" s="43"/>
      <c r="O13" s="15">
        <f t="shared" si="0"/>
        <v>7430.6745454545453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1"/>
        <v>0</v>
      </c>
      <c r="F14" s="15"/>
      <c r="G14" s="15">
        <v>0</v>
      </c>
      <c r="J14" s="22" t="s">
        <v>21</v>
      </c>
      <c r="K14" s="47"/>
      <c r="L14" s="47"/>
      <c r="M14" s="48">
        <f>SUM(M9:M12)</f>
        <v>7124376</v>
      </c>
      <c r="O14" s="15">
        <f t="shared" si="0"/>
        <v>0</v>
      </c>
    </row>
    <row r="15" spans="1:45" x14ac:dyDescent="0.2">
      <c r="A15" s="13" t="s">
        <v>24</v>
      </c>
      <c r="B15" s="14" t="s">
        <v>25</v>
      </c>
      <c r="C15" s="15">
        <f>'[14]Team Report'!BA33</f>
        <v>76876.320000000007</v>
      </c>
      <c r="E15" s="15">
        <f t="shared" si="1"/>
        <v>123002.11200000001</v>
      </c>
      <c r="F15" s="15"/>
      <c r="G15" s="15">
        <f>+$M$12*0.08+100000</f>
        <v>178122.88</v>
      </c>
      <c r="J15" s="8"/>
      <c r="K15" s="17"/>
      <c r="L15" s="17"/>
      <c r="M15" s="17"/>
      <c r="O15" s="15">
        <f t="shared" si="0"/>
        <v>4048.247272727273</v>
      </c>
    </row>
    <row r="16" spans="1:45" x14ac:dyDescent="0.2">
      <c r="A16" s="13" t="s">
        <v>26</v>
      </c>
      <c r="B16" s="14" t="s">
        <v>27</v>
      </c>
      <c r="C16" s="15">
        <f>'[14]Team Report'!BA34</f>
        <v>0</v>
      </c>
      <c r="E16" s="15">
        <f t="shared" si="1"/>
        <v>0</v>
      </c>
      <c r="F16" s="15"/>
      <c r="G16" s="15">
        <v>0</v>
      </c>
      <c r="J16" s="8"/>
      <c r="K16" s="17"/>
      <c r="L16" s="78"/>
      <c r="M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'[14]Team Report'!BA35</f>
        <v>0</v>
      </c>
      <c r="E17" s="15">
        <f t="shared" si="1"/>
        <v>0</v>
      </c>
      <c r="F17" s="15"/>
      <c r="G17" s="15">
        <v>0</v>
      </c>
      <c r="J17" t="s">
        <v>28</v>
      </c>
      <c r="K17" s="25">
        <v>49200</v>
      </c>
      <c r="L17" s="25">
        <v>0</v>
      </c>
      <c r="M17" s="17">
        <f t="shared" ref="M17:M28" si="2">K17*L17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'[14]Team Report'!BA36</f>
        <v>5744.1</v>
      </c>
      <c r="E18" s="15">
        <f t="shared" si="1"/>
        <v>9190.56</v>
      </c>
      <c r="F18" s="15"/>
      <c r="G18" s="15"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0"/>
        <v>0</v>
      </c>
    </row>
    <row r="19" spans="1:15" x14ac:dyDescent="0.2">
      <c r="A19" s="13" t="s">
        <v>35</v>
      </c>
      <c r="B19" s="14" t="s">
        <v>36</v>
      </c>
      <c r="C19" s="15">
        <f>'[14]Team Report'!BA37</f>
        <v>67058.599999999991</v>
      </c>
      <c r="E19" s="15">
        <f t="shared" si="1"/>
        <v>107293.75999999997</v>
      </c>
      <c r="F19" s="15"/>
      <c r="G19" s="15">
        <f>+$M$12*0.19+100000</f>
        <v>285541.83999999997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0"/>
        <v>6489.5872727272717</v>
      </c>
    </row>
    <row r="20" spans="1:15" x14ac:dyDescent="0.2">
      <c r="A20" s="13" t="s">
        <v>38</v>
      </c>
      <c r="B20" s="14" t="s">
        <v>39</v>
      </c>
      <c r="C20" s="15">
        <f>'[14]Team Report'!BA38</f>
        <v>0</v>
      </c>
      <c r="E20" s="15">
        <f t="shared" si="1"/>
        <v>0</v>
      </c>
      <c r="F20" s="15"/>
      <c r="G20" s="15">
        <v>0</v>
      </c>
      <c r="J20" t="s">
        <v>37</v>
      </c>
      <c r="K20" s="25">
        <v>78000</v>
      </c>
      <c r="L20" s="25">
        <v>15</v>
      </c>
      <c r="M20" s="17">
        <f t="shared" si="2"/>
        <v>1170000</v>
      </c>
      <c r="O20" s="15">
        <f t="shared" si="0"/>
        <v>0</v>
      </c>
    </row>
    <row r="21" spans="1:15" x14ac:dyDescent="0.2">
      <c r="A21" s="13" t="s">
        <v>41</v>
      </c>
      <c r="B21" s="14" t="s">
        <v>42</v>
      </c>
      <c r="C21" s="15">
        <f>'[14]Team Report'!BA42</f>
        <v>842429.76</v>
      </c>
      <c r="E21" s="15">
        <f t="shared" si="1"/>
        <v>1347887.6160000002</v>
      </c>
      <c r="F21" s="15"/>
      <c r="G21" s="15">
        <f>+$M$12*0.15+141124+150000+687307</f>
        <v>1124911.3999999999</v>
      </c>
      <c r="J21" t="s">
        <v>40</v>
      </c>
      <c r="K21" s="25">
        <v>102000</v>
      </c>
      <c r="L21" s="25">
        <v>8</v>
      </c>
      <c r="M21" s="17">
        <f t="shared" si="2"/>
        <v>816000</v>
      </c>
      <c r="O21" s="15">
        <f t="shared" si="0"/>
        <v>25566.168181818179</v>
      </c>
    </row>
    <row r="22" spans="1:15" x14ac:dyDescent="0.2">
      <c r="A22" s="13" t="s">
        <v>44</v>
      </c>
      <c r="B22" s="14" t="s">
        <v>45</v>
      </c>
      <c r="C22" s="15">
        <f>'[14]Team Report'!BA44</f>
        <v>6453.6999999999989</v>
      </c>
      <c r="E22" s="80">
        <f t="shared" si="1"/>
        <v>10325.919999999998</v>
      </c>
      <c r="F22" s="32"/>
      <c r="G22" s="15">
        <v>0</v>
      </c>
      <c r="J22" t="s">
        <v>43</v>
      </c>
      <c r="K22" s="25">
        <v>0</v>
      </c>
      <c r="L22" s="25">
        <v>0</v>
      </c>
      <c r="M22" s="17">
        <f t="shared" si="2"/>
        <v>0</v>
      </c>
      <c r="O22" s="15">
        <f>+G22/$G$29*$O$29</f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19425734.234666672</v>
      </c>
      <c r="F23" s="29"/>
      <c r="G23" s="28">
        <f>SUM(G8:G22)</f>
        <v>8775499.7999999989</v>
      </c>
      <c r="J23" t="s">
        <v>46</v>
      </c>
      <c r="K23" s="25">
        <v>0</v>
      </c>
      <c r="L23" s="25">
        <v>0</v>
      </c>
      <c r="M23" s="17">
        <f t="shared" si="2"/>
        <v>0</v>
      </c>
      <c r="O23" s="28">
        <f>SUM(O8:O22)</f>
        <v>199443.17727272731</v>
      </c>
    </row>
    <row r="24" spans="1:15" x14ac:dyDescent="0.2">
      <c r="J24" t="s">
        <v>49</v>
      </c>
      <c r="K24" s="25">
        <v>144000</v>
      </c>
      <c r="L24" s="25">
        <v>6</v>
      </c>
      <c r="M24" s="17">
        <f t="shared" si="2"/>
        <v>864000</v>
      </c>
    </row>
    <row r="25" spans="1:15" x14ac:dyDescent="0.2">
      <c r="B25" s="27" t="s">
        <v>51</v>
      </c>
      <c r="C25" s="55"/>
      <c r="E25" s="55">
        <v>0</v>
      </c>
      <c r="F25" s="60">
        <v>40</v>
      </c>
      <c r="G25" s="79">
        <f>+L12</f>
        <v>44</v>
      </c>
      <c r="J25" t="s">
        <v>50</v>
      </c>
      <c r="K25" s="25">
        <v>168000</v>
      </c>
      <c r="L25" s="25">
        <v>6</v>
      </c>
      <c r="M25" s="17">
        <f t="shared" si="2"/>
        <v>1008000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3</v>
      </c>
      <c r="M26" s="17">
        <f t="shared" si="2"/>
        <v>648000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0</v>
      </c>
      <c r="F29" s="60"/>
      <c r="G29" s="55">
        <f>SUM(G25:G28)</f>
        <v>44</v>
      </c>
      <c r="L29" s="25">
        <f>SUM(L17:L28)</f>
        <v>43</v>
      </c>
      <c r="M29" s="25">
        <f>SUM(M17:M28)</f>
        <v>4963200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'[14]Team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'[14]Team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'[14]Team Report'!BA31</f>
        <v>0</v>
      </c>
      <c r="E33" s="15">
        <f>(C33/9)*12</f>
        <v>0</v>
      </c>
      <c r="F33" s="15"/>
      <c r="M33" s="25">
        <f>M29*1.2</f>
        <v>5955840</v>
      </c>
    </row>
    <row r="34" spans="1:13" hidden="1" x14ac:dyDescent="0.2">
      <c r="A34" s="13" t="s">
        <v>79</v>
      </c>
      <c r="B34" s="14" t="s">
        <v>80</v>
      </c>
      <c r="C34" s="15">
        <f>'[14]Team Report'!BA39</f>
        <v>0</v>
      </c>
      <c r="E34" s="15"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'[14]Team Report'!BA40</f>
        <v>164920.93000000002</v>
      </c>
      <c r="E35" s="15">
        <v>0</v>
      </c>
      <c r="F35" s="15"/>
      <c r="J35" t="s">
        <v>140</v>
      </c>
      <c r="K35" s="25">
        <v>192000</v>
      </c>
      <c r="L35" s="25">
        <v>1</v>
      </c>
      <c r="M35" s="25">
        <f>K35*L35</f>
        <v>192000</v>
      </c>
    </row>
    <row r="36" spans="1:13" hidden="1" x14ac:dyDescent="0.2">
      <c r="A36" s="13" t="s">
        <v>83</v>
      </c>
      <c r="B36" s="14" t="s">
        <v>84</v>
      </c>
      <c r="C36" s="15">
        <f>'[14]Team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'[14]Team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'[14]Team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x14ac:dyDescent="0.2">
      <c r="C44" s="54">
        <f>C23+C31+C32+C33+C34+C35+C36+C37+C38</f>
        <v>-13992730.449999996</v>
      </c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0.75" right="0.75" top="0.73" bottom="0.48" header="1.04" footer="0.5"/>
  <pageSetup orientation="portrait" verticalDpi="196" r:id="rId1"/>
  <headerFooter alignWithMargins="0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4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5.85546875" hidden="1" customWidth="1"/>
    <col min="4" max="4" width="2.5703125" customWidth="1"/>
    <col min="5" max="5" width="13.85546875" hidden="1" customWidth="1"/>
    <col min="6" max="6" width="2.85546875" hidden="1" customWidth="1"/>
    <col min="7" max="7" width="13.42578125" customWidth="1"/>
    <col min="8" max="9" width="0" hidden="1" customWidth="1"/>
    <col min="10" max="10" width="19.42578125" hidden="1" customWidth="1"/>
    <col min="11" max="11" width="10.42578125" style="25" hidden="1" customWidth="1"/>
    <col min="12" max="12" width="10.85546875" style="25" hidden="1" customWidth="1"/>
    <col min="13" max="13" width="11.42578125" style="25" hidden="1" customWidth="1"/>
    <col min="14" max="16" width="9.140625" hidden="1" customWidth="1"/>
    <col min="17" max="69" width="0" hidden="1" customWidth="1"/>
  </cols>
  <sheetData>
    <row r="1" spans="1:45" ht="18" x14ac:dyDescent="0.25">
      <c r="B1" s="125" t="str">
        <f>'[13]Team Report'!B1</f>
        <v>Enron North America</v>
      </c>
      <c r="C1" s="125"/>
      <c r="D1" s="125"/>
      <c r="E1" s="125"/>
      <c r="F1" s="127"/>
      <c r="G1" s="127"/>
      <c r="H1" s="1"/>
      <c r="I1" s="1"/>
      <c r="J1" s="1"/>
      <c r="K1" s="38"/>
      <c r="L1" s="38"/>
      <c r="M1" s="3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199</v>
      </c>
      <c r="C2" s="125"/>
      <c r="D2" s="125"/>
      <c r="E2" s="125"/>
      <c r="F2" s="127"/>
      <c r="G2" s="127"/>
      <c r="H2" s="1"/>
      <c r="I2" s="1"/>
      <c r="J2" s="1"/>
      <c r="K2" s="38"/>
      <c r="L2" s="38"/>
      <c r="M2" s="3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" x14ac:dyDescent="0.25">
      <c r="B3" s="125" t="s">
        <v>1</v>
      </c>
      <c r="C3" s="125"/>
      <c r="D3" s="125"/>
      <c r="E3" s="125"/>
      <c r="F3" s="127"/>
      <c r="G3" s="127"/>
      <c r="H3" s="3"/>
      <c r="I3" s="3"/>
      <c r="J3" s="3"/>
      <c r="K3" s="38"/>
      <c r="L3" s="38"/>
      <c r="M3" s="3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ht="13.5" thickBot="1" x14ac:dyDescent="0.25">
      <c r="J4" s="130"/>
      <c r="K4" s="130"/>
      <c r="L4" s="130"/>
      <c r="M4" s="130"/>
    </row>
    <row r="5" spans="1:45" x14ac:dyDescent="0.2">
      <c r="J5" s="4"/>
      <c r="K5" s="40"/>
      <c r="L5" s="40"/>
      <c r="M5" s="41"/>
    </row>
    <row r="6" spans="1:45" x14ac:dyDescent="0.2">
      <c r="C6" s="10">
        <v>37135</v>
      </c>
      <c r="E6" s="11">
        <v>2001</v>
      </c>
      <c r="F6" s="11"/>
      <c r="G6" s="11">
        <v>2002</v>
      </c>
      <c r="J6" s="7"/>
      <c r="K6" s="19" t="s">
        <v>2</v>
      </c>
      <c r="L6" s="19" t="s">
        <v>3</v>
      </c>
      <c r="M6" s="74" t="s">
        <v>109</v>
      </c>
      <c r="O6" s="11">
        <v>2002</v>
      </c>
    </row>
    <row r="7" spans="1:45" x14ac:dyDescent="0.2">
      <c r="C7" s="12" t="s">
        <v>6</v>
      </c>
      <c r="E7" s="12" t="s">
        <v>7</v>
      </c>
      <c r="F7" s="12"/>
      <c r="G7" s="12" t="s">
        <v>8</v>
      </c>
      <c r="J7" s="7"/>
      <c r="K7" s="17"/>
      <c r="L7" s="17"/>
      <c r="M7" s="43"/>
      <c r="O7" s="12" t="s">
        <v>8</v>
      </c>
    </row>
    <row r="8" spans="1:45" x14ac:dyDescent="0.2">
      <c r="A8" s="13" t="s">
        <v>10</v>
      </c>
      <c r="B8" s="14" t="s">
        <v>11</v>
      </c>
      <c r="C8" s="53">
        <f>'[13]Team Report'!BA25</f>
        <v>10228335.790000001</v>
      </c>
      <c r="E8" s="15">
        <f t="shared" ref="E8:E22" si="0">+C8/9*12</f>
        <v>13637781.053333335</v>
      </c>
      <c r="F8" s="15"/>
      <c r="G8" s="15">
        <f>+'IT Dev-EOL'!G8+'IT Infra'!H8</f>
        <v>23246400</v>
      </c>
      <c r="J8" s="7"/>
      <c r="K8" s="17"/>
      <c r="L8" s="17"/>
      <c r="M8" s="43"/>
      <c r="O8" s="15">
        <f t="shared" ref="O8:O22" si="1">+G8/$G$29*$O$29</f>
        <v>116816.08040201005</v>
      </c>
    </row>
    <row r="9" spans="1:45" hidden="1" x14ac:dyDescent="0.2">
      <c r="A9" s="13"/>
      <c r="B9" s="14" t="s">
        <v>12</v>
      </c>
      <c r="C9" s="15">
        <v>0</v>
      </c>
      <c r="E9" s="15">
        <f t="shared" si="0"/>
        <v>0</v>
      </c>
      <c r="F9" s="15"/>
      <c r="G9" s="15">
        <f>+'IT Dev-EOL'!G9+'IT Infra'!H9</f>
        <v>0</v>
      </c>
      <c r="J9" s="7" t="s">
        <v>11</v>
      </c>
      <c r="K9" s="17">
        <v>0</v>
      </c>
      <c r="L9" s="17">
        <f>+L35</f>
        <v>140</v>
      </c>
      <c r="M9" s="43">
        <f>M35</f>
        <v>20197440</v>
      </c>
      <c r="O9" s="15">
        <f t="shared" si="1"/>
        <v>0</v>
      </c>
    </row>
    <row r="10" spans="1:45" x14ac:dyDescent="0.2">
      <c r="A10" s="13"/>
      <c r="B10" s="14" t="s">
        <v>124</v>
      </c>
      <c r="C10" s="15">
        <v>0</v>
      </c>
      <c r="E10" s="15">
        <f t="shared" si="0"/>
        <v>0</v>
      </c>
      <c r="F10" s="15"/>
      <c r="G10" s="15">
        <f>+'IT Dev-EOL'!G10+'IT Infra'!H10</f>
        <v>0</v>
      </c>
      <c r="J10" s="7"/>
      <c r="K10" s="17"/>
      <c r="L10" s="17"/>
      <c r="M10" s="43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'[13]Team Report'!BA26</f>
        <v>1877442.13</v>
      </c>
      <c r="E11" s="15">
        <f t="shared" si="0"/>
        <v>2503256.1733333333</v>
      </c>
      <c r="F11" s="15"/>
      <c r="G11" s="15">
        <f>+'IT Dev-EOL'!G11+'IT Infra'!H11</f>
        <v>4649280</v>
      </c>
      <c r="J11" s="7"/>
      <c r="K11" s="17"/>
      <c r="L11" s="17"/>
      <c r="M11" s="43"/>
      <c r="O11" s="15">
        <f t="shared" si="1"/>
        <v>23363.21608040201</v>
      </c>
    </row>
    <row r="12" spans="1:45" x14ac:dyDescent="0.2">
      <c r="A12" s="13" t="s">
        <v>17</v>
      </c>
      <c r="B12" s="14" t="s">
        <v>18</v>
      </c>
      <c r="C12" s="15">
        <f>'[13]Team Report'!BA27</f>
        <v>405632.98</v>
      </c>
      <c r="E12" s="15">
        <f t="shared" si="0"/>
        <v>540843.97333333339</v>
      </c>
      <c r="F12" s="15"/>
      <c r="G12" s="15">
        <f>+'IT Dev-EOL'!G12+'IT Infra'!H12</f>
        <v>3250858.4477064218</v>
      </c>
      <c r="J12" s="7" t="s">
        <v>16</v>
      </c>
      <c r="K12" s="17">
        <f>18495*1.2</f>
        <v>22194</v>
      </c>
      <c r="L12" s="17">
        <f>+L35</f>
        <v>140</v>
      </c>
      <c r="M12" s="43">
        <f>K12*L12</f>
        <v>3107160</v>
      </c>
      <c r="O12" s="15">
        <f t="shared" si="1"/>
        <v>16335.972099027245</v>
      </c>
    </row>
    <row r="13" spans="1:45" x14ac:dyDescent="0.2">
      <c r="A13" s="13" t="s">
        <v>19</v>
      </c>
      <c r="B13" s="14" t="s">
        <v>20</v>
      </c>
      <c r="C13" s="15">
        <f>'[13]Team Report'!BA28</f>
        <v>648740.16999999993</v>
      </c>
      <c r="E13" s="15">
        <f t="shared" si="0"/>
        <v>864986.8933333332</v>
      </c>
      <c r="F13" s="15"/>
      <c r="G13" s="15">
        <f>+'IT Dev-EOL'!G13+'IT Infra'!H13</f>
        <v>1936733.2807339451</v>
      </c>
      <c r="J13" s="7"/>
      <c r="K13" s="17"/>
      <c r="L13" s="17"/>
      <c r="M13" s="43"/>
      <c r="O13" s="15">
        <f t="shared" si="1"/>
        <v>9732.3280438891707</v>
      </c>
    </row>
    <row r="14" spans="1:45" ht="13.5" thickBot="1" x14ac:dyDescent="0.25">
      <c r="A14" s="13" t="s">
        <v>22</v>
      </c>
      <c r="B14" s="14" t="s">
        <v>23</v>
      </c>
      <c r="C14" s="15">
        <v>0</v>
      </c>
      <c r="E14" s="15">
        <f t="shared" si="0"/>
        <v>0</v>
      </c>
      <c r="F14" s="15"/>
      <c r="G14" s="15">
        <f>+'IT Dev-EOL'!G14+'IT Infra'!H14</f>
        <v>0</v>
      </c>
      <c r="J14" s="22" t="s">
        <v>21</v>
      </c>
      <c r="K14" s="47"/>
      <c r="L14" s="47"/>
      <c r="M14" s="48">
        <f>SUM(M9:M12)</f>
        <v>23304600</v>
      </c>
      <c r="O14" s="15">
        <f t="shared" si="1"/>
        <v>0</v>
      </c>
    </row>
    <row r="15" spans="1:45" x14ac:dyDescent="0.2">
      <c r="A15" s="13" t="s">
        <v>24</v>
      </c>
      <c r="B15" s="14" t="s">
        <v>25</v>
      </c>
      <c r="C15" s="15">
        <f>'[13]Team Report'!BA33</f>
        <v>76876.320000000007</v>
      </c>
      <c r="E15" s="15">
        <f t="shared" si="0"/>
        <v>102501.76000000001</v>
      </c>
      <c r="F15" s="15"/>
      <c r="G15" s="15">
        <f>+'IT Dev-EOL'!G15+'IT Infra'!H15</f>
        <v>662640.38165137614</v>
      </c>
      <c r="J15" s="8"/>
      <c r="K15" s="17"/>
      <c r="L15" s="17"/>
      <c r="M15" s="17"/>
      <c r="O15" s="15">
        <f t="shared" si="1"/>
        <v>3329.8511640772672</v>
      </c>
    </row>
    <row r="16" spans="1:45" x14ac:dyDescent="0.2">
      <c r="A16" s="13" t="s">
        <v>26</v>
      </c>
      <c r="B16" s="14" t="s">
        <v>27</v>
      </c>
      <c r="C16" s="15">
        <f>'[13]Team Report'!BA34</f>
        <v>0</v>
      </c>
      <c r="E16" s="15">
        <f t="shared" si="0"/>
        <v>0</v>
      </c>
      <c r="F16" s="15"/>
      <c r="G16" s="15">
        <f>+'IT Dev-EOL'!G16+'IT Infra'!H16</f>
        <v>0</v>
      </c>
      <c r="J16" s="8"/>
      <c r="K16" s="17"/>
      <c r="L16" s="78"/>
      <c r="M16" s="17"/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'[13]Team Report'!BA35</f>
        <v>0</v>
      </c>
      <c r="E17" s="15">
        <f t="shared" si="0"/>
        <v>0</v>
      </c>
      <c r="F17" s="15"/>
      <c r="G17" s="15">
        <f>+'IT Dev-EOL'!G17+'IT Infra'!H17</f>
        <v>0</v>
      </c>
      <c r="J17" t="s">
        <v>28</v>
      </c>
      <c r="K17" s="25">
        <v>49200</v>
      </c>
      <c r="L17" s="25">
        <f>+'IT Dev'!L17+'IT EOL'!L17</f>
        <v>0</v>
      </c>
      <c r="M17" s="17">
        <f t="shared" ref="M17:M28" si="2">K17*L17</f>
        <v>0</v>
      </c>
      <c r="O17" s="15">
        <f t="shared" si="1"/>
        <v>0</v>
      </c>
    </row>
    <row r="18" spans="1:15" x14ac:dyDescent="0.2">
      <c r="A18" s="13" t="s">
        <v>32</v>
      </c>
      <c r="B18" s="14" t="s">
        <v>33</v>
      </c>
      <c r="C18" s="15">
        <f>'[13]Team Report'!BA36</f>
        <v>5744.1</v>
      </c>
      <c r="E18" s="15">
        <f t="shared" si="0"/>
        <v>7658.8</v>
      </c>
      <c r="F18" s="15"/>
      <c r="G18" s="15">
        <f>+'IT Dev-EOL'!G18+'IT Infra'!H18</f>
        <v>0</v>
      </c>
      <c r="J18" t="s">
        <v>31</v>
      </c>
      <c r="K18" s="25">
        <v>57600</v>
      </c>
      <c r="L18" s="25">
        <v>2</v>
      </c>
      <c r="M18" s="17">
        <f t="shared" si="2"/>
        <v>115200</v>
      </c>
      <c r="O18" s="15">
        <f t="shared" si="1"/>
        <v>0</v>
      </c>
    </row>
    <row r="19" spans="1:15" x14ac:dyDescent="0.2">
      <c r="A19" s="13" t="s">
        <v>35</v>
      </c>
      <c r="B19" s="14" t="s">
        <v>36</v>
      </c>
      <c r="C19" s="15">
        <f>'[13]Team Report'!BA37</f>
        <v>67058.599999999991</v>
      </c>
      <c r="E19" s="15">
        <f t="shared" si="0"/>
        <v>89411.466666666645</v>
      </c>
      <c r="F19" s="15"/>
      <c r="G19" s="15">
        <f>+'IT Dev-EOL'!G19+'IT Infra'!H19</f>
        <v>4627800.1798165133</v>
      </c>
      <c r="J19" t="s">
        <v>34</v>
      </c>
      <c r="K19" s="25">
        <v>60000</v>
      </c>
      <c r="L19" s="25">
        <v>2</v>
      </c>
      <c r="M19" s="17">
        <f t="shared" si="2"/>
        <v>120000</v>
      </c>
      <c r="O19" s="15">
        <f t="shared" si="1"/>
        <v>23255.277285510118</v>
      </c>
    </row>
    <row r="20" spans="1:15" x14ac:dyDescent="0.2">
      <c r="A20" s="13" t="s">
        <v>38</v>
      </c>
      <c r="B20" s="14" t="s">
        <v>39</v>
      </c>
      <c r="C20" s="15">
        <f>'[13]Team Report'!BA38</f>
        <v>0</v>
      </c>
      <c r="E20" s="15">
        <f t="shared" si="0"/>
        <v>0</v>
      </c>
      <c r="F20" s="15"/>
      <c r="G20" s="15">
        <f>+'IT Dev-EOL'!G20+'IT Infra'!H20</f>
        <v>0</v>
      </c>
      <c r="J20" t="s">
        <v>37</v>
      </c>
      <c r="K20" s="25">
        <v>78000</v>
      </c>
      <c r="L20" s="25">
        <v>29</v>
      </c>
      <c r="M20" s="17">
        <f t="shared" si="2"/>
        <v>2262000</v>
      </c>
      <c r="O20" s="15">
        <f t="shared" si="1"/>
        <v>0</v>
      </c>
    </row>
    <row r="21" spans="1:15" x14ac:dyDescent="0.2">
      <c r="A21" s="13" t="s">
        <v>41</v>
      </c>
      <c r="B21" s="14" t="s">
        <v>42</v>
      </c>
      <c r="C21" s="15">
        <f>'[13]Team Report'!BA42</f>
        <v>842429.76</v>
      </c>
      <c r="E21" s="15">
        <f t="shared" si="0"/>
        <v>1123239.6800000002</v>
      </c>
      <c r="F21" s="15"/>
      <c r="G21" s="15">
        <f>+'IT Dev-EOL'!G21+'IT Infra'!H21</f>
        <v>47760936.600000001</v>
      </c>
      <c r="J21" t="s">
        <v>40</v>
      </c>
      <c r="K21" s="25">
        <v>102000</v>
      </c>
      <c r="L21" s="25">
        <v>60</v>
      </c>
      <c r="M21" s="17">
        <f t="shared" si="2"/>
        <v>6120000</v>
      </c>
      <c r="O21" s="15">
        <f t="shared" si="1"/>
        <v>240004.70653266332</v>
      </c>
    </row>
    <row r="22" spans="1:15" x14ac:dyDescent="0.2">
      <c r="A22" s="13" t="s">
        <v>44</v>
      </c>
      <c r="B22" s="14" t="s">
        <v>45</v>
      </c>
      <c r="C22" s="15">
        <f>'[13]Team Report'!BA44</f>
        <v>6453.6999999999989</v>
      </c>
      <c r="E22" s="15">
        <f t="shared" si="0"/>
        <v>8604.9333333333325</v>
      </c>
      <c r="F22" s="15"/>
      <c r="G22" s="15">
        <f>+'IT Dev-EOL'!G22+'IT Infra'!H22</f>
        <v>0</v>
      </c>
      <c r="J22" t="s">
        <v>138</v>
      </c>
      <c r="K22" s="25">
        <v>192000</v>
      </c>
      <c r="L22" s="25">
        <v>7</v>
      </c>
      <c r="M22" s="17">
        <f t="shared" si="2"/>
        <v>1344000</v>
      </c>
      <c r="O22" s="15">
        <f t="shared" si="1"/>
        <v>0</v>
      </c>
    </row>
    <row r="23" spans="1:15" x14ac:dyDescent="0.2">
      <c r="A23" s="26" t="s">
        <v>47</v>
      </c>
      <c r="B23" s="27" t="s">
        <v>48</v>
      </c>
      <c r="C23" s="28">
        <f>SUM(C8:C22)</f>
        <v>14158713.550000001</v>
      </c>
      <c r="E23" s="28">
        <f>SUM(E8:E22)</f>
        <v>18878284.733333334</v>
      </c>
      <c r="F23" s="29"/>
      <c r="G23" s="28">
        <f>SUM(G8:G22)</f>
        <v>86134648.889908254</v>
      </c>
      <c r="J23" t="s">
        <v>139</v>
      </c>
      <c r="K23" s="25">
        <v>192000</v>
      </c>
      <c r="L23" s="25">
        <f>3+1</f>
        <v>4</v>
      </c>
      <c r="M23" s="17">
        <f t="shared" si="2"/>
        <v>768000</v>
      </c>
      <c r="O23" s="28">
        <f>SUM(O8:O22)</f>
        <v>432837.43160757917</v>
      </c>
    </row>
    <row r="24" spans="1:15" x14ac:dyDescent="0.2">
      <c r="J24" t="s">
        <v>49</v>
      </c>
      <c r="K24" s="25">
        <v>144000</v>
      </c>
      <c r="L24" s="25">
        <v>16</v>
      </c>
      <c r="M24" s="17">
        <f t="shared" si="2"/>
        <v>2304000</v>
      </c>
    </row>
    <row r="25" spans="1:15" x14ac:dyDescent="0.2">
      <c r="B25" s="27" t="s">
        <v>51</v>
      </c>
      <c r="C25" s="55"/>
      <c r="E25" s="55">
        <v>111</v>
      </c>
      <c r="F25" s="60">
        <v>40</v>
      </c>
      <c r="G25" s="79">
        <v>199</v>
      </c>
      <c r="J25" t="s">
        <v>50</v>
      </c>
      <c r="K25" s="25">
        <v>168000</v>
      </c>
      <c r="L25" s="25">
        <v>11</v>
      </c>
      <c r="M25" s="17">
        <f t="shared" si="2"/>
        <v>1848000</v>
      </c>
      <c r="O25" s="31">
        <f>SUM(U16:U20,U23:U27)</f>
        <v>0</v>
      </c>
    </row>
    <row r="26" spans="1:15" x14ac:dyDescent="0.2">
      <c r="J26" t="s">
        <v>52</v>
      </c>
      <c r="K26" s="25">
        <v>216000</v>
      </c>
      <c r="L26" s="25">
        <v>8</v>
      </c>
      <c r="M26" s="17">
        <f t="shared" si="2"/>
        <v>1728000</v>
      </c>
      <c r="O26" s="15"/>
    </row>
    <row r="27" spans="1:15" x14ac:dyDescent="0.2">
      <c r="B27" s="27" t="s">
        <v>69</v>
      </c>
      <c r="C27" s="55"/>
      <c r="E27" s="55"/>
      <c r="F27" s="60"/>
      <c r="G27" s="55"/>
      <c r="J27" t="s">
        <v>53</v>
      </c>
      <c r="K27" s="25">
        <v>222000</v>
      </c>
      <c r="L27" s="25">
        <v>1</v>
      </c>
      <c r="M27" s="17">
        <f t="shared" si="2"/>
        <v>222000</v>
      </c>
      <c r="O27" s="31">
        <f>+U21+U22</f>
        <v>0</v>
      </c>
    </row>
    <row r="28" spans="1:15" x14ac:dyDescent="0.2">
      <c r="J28" t="s">
        <v>55</v>
      </c>
      <c r="K28" s="25">
        <v>300000</v>
      </c>
      <c r="L28" s="25">
        <f>+'IT Dev'!L28+'IT EOL'!L28</f>
        <v>0</v>
      </c>
      <c r="M28" s="17">
        <f t="shared" si="2"/>
        <v>0</v>
      </c>
    </row>
    <row r="29" spans="1:15" x14ac:dyDescent="0.2">
      <c r="B29" s="27" t="s">
        <v>56</v>
      </c>
      <c r="C29" s="55"/>
      <c r="E29" s="55">
        <f>SUM(E25:E28)</f>
        <v>111</v>
      </c>
      <c r="F29" s="60"/>
      <c r="G29" s="55">
        <f>SUM(G25:G28)</f>
        <v>199</v>
      </c>
      <c r="L29" s="25">
        <f>SUM(L17:L28)</f>
        <v>140</v>
      </c>
      <c r="M29" s="25">
        <f>SUM(M17:M28)</f>
        <v>16831200</v>
      </c>
      <c r="O29" s="31">
        <v>1</v>
      </c>
    </row>
    <row r="30" spans="1:15" x14ac:dyDescent="0.2">
      <c r="B30" s="27"/>
    </row>
    <row r="31" spans="1:15" hidden="1" x14ac:dyDescent="0.2">
      <c r="A31" s="13" t="s">
        <v>73</v>
      </c>
      <c r="B31" s="14" t="s">
        <v>74</v>
      </c>
      <c r="C31" s="15">
        <f>'[13]Team Report'!BA29</f>
        <v>-24140467.679999996</v>
      </c>
      <c r="E31" s="15">
        <v>0</v>
      </c>
      <c r="F31" s="15"/>
      <c r="J31" t="s">
        <v>104</v>
      </c>
      <c r="L31" s="52"/>
      <c r="M31" s="52">
        <v>0.2</v>
      </c>
    </row>
    <row r="32" spans="1:15" hidden="1" x14ac:dyDescent="0.2">
      <c r="A32" s="13" t="s">
        <v>75</v>
      </c>
      <c r="B32" s="14" t="s">
        <v>76</v>
      </c>
      <c r="C32" s="15">
        <f>'[13]Team Report'!BA30</f>
        <v>0</v>
      </c>
      <c r="E32" s="15">
        <f>(C32/9)*12</f>
        <v>0</v>
      </c>
      <c r="F32" s="15"/>
    </row>
    <row r="33" spans="1:13" hidden="1" x14ac:dyDescent="0.2">
      <c r="A33" s="13" t="s">
        <v>77</v>
      </c>
      <c r="B33" s="14" t="s">
        <v>78</v>
      </c>
      <c r="C33" s="15">
        <f>'[13]Team Report'!BA31</f>
        <v>0</v>
      </c>
      <c r="E33" s="15">
        <f>(C33/9)*12</f>
        <v>0</v>
      </c>
      <c r="F33" s="15"/>
      <c r="J33" t="s">
        <v>135</v>
      </c>
      <c r="K33" s="25">
        <v>160000</v>
      </c>
      <c r="L33" s="25">
        <v>0</v>
      </c>
      <c r="M33" s="17">
        <f>K33*L33</f>
        <v>0</v>
      </c>
    </row>
    <row r="34" spans="1:13" hidden="1" x14ac:dyDescent="0.2">
      <c r="A34" s="13" t="s">
        <v>79</v>
      </c>
      <c r="B34" s="14" t="s">
        <v>80</v>
      </c>
      <c r="C34" s="15">
        <f>'[13]Team Report'!BA39</f>
        <v>0</v>
      </c>
      <c r="E34" s="15">
        <f>(C34/9)*12</f>
        <v>0</v>
      </c>
      <c r="F34" s="15"/>
    </row>
    <row r="35" spans="1:13" hidden="1" x14ac:dyDescent="0.2">
      <c r="A35" s="13" t="s">
        <v>81</v>
      </c>
      <c r="B35" s="14" t="s">
        <v>82</v>
      </c>
      <c r="C35" s="15">
        <f>'[13]Team Report'!BA40</f>
        <v>164920.93000000002</v>
      </c>
      <c r="E35" s="15">
        <v>0</v>
      </c>
      <c r="F35" s="15"/>
      <c r="L35" s="25">
        <f>+L29+L33</f>
        <v>140</v>
      </c>
      <c r="M35" s="25">
        <f>M29*1.2+M33</f>
        <v>20197440</v>
      </c>
    </row>
    <row r="36" spans="1:13" hidden="1" x14ac:dyDescent="0.2">
      <c r="A36" s="13" t="s">
        <v>83</v>
      </c>
      <c r="B36" s="14" t="s">
        <v>84</v>
      </c>
      <c r="C36" s="15">
        <f>'[13]Team Report'!BA41</f>
        <v>945381.27</v>
      </c>
      <c r="E36" s="15">
        <v>0</v>
      </c>
      <c r="F36" s="15"/>
    </row>
    <row r="37" spans="1:13" hidden="1" x14ac:dyDescent="0.2">
      <c r="A37" s="13" t="s">
        <v>85</v>
      </c>
      <c r="B37" s="14" t="s">
        <v>86</v>
      </c>
      <c r="C37" s="15">
        <f>'[13]Team Report'!BA43</f>
        <v>-5121278.5200000005</v>
      </c>
      <c r="E37" s="15">
        <v>0</v>
      </c>
      <c r="F37" s="15"/>
      <c r="I37" s="33" t="s">
        <v>57</v>
      </c>
    </row>
    <row r="38" spans="1:13" hidden="1" x14ac:dyDescent="0.2">
      <c r="A38" s="13" t="s">
        <v>87</v>
      </c>
      <c r="B38" s="14" t="s">
        <v>88</v>
      </c>
      <c r="C38" s="15">
        <f>'[13]Team Report'!BA45</f>
        <v>0</v>
      </c>
      <c r="E38" s="15">
        <f>(C38/9)*12</f>
        <v>0</v>
      </c>
      <c r="F38" s="15"/>
    </row>
    <row r="39" spans="1:13" hidden="1" x14ac:dyDescent="0.2">
      <c r="A39" s="13" t="s">
        <v>22</v>
      </c>
      <c r="B39" s="14" t="s">
        <v>23</v>
      </c>
      <c r="C39" s="15">
        <v>24143776.43</v>
      </c>
      <c r="E39" s="15">
        <v>0</v>
      </c>
      <c r="F39" s="15"/>
      <c r="I39" t="s">
        <v>136</v>
      </c>
    </row>
    <row r="40" spans="1:13" hidden="1" x14ac:dyDescent="0.2"/>
    <row r="41" spans="1:13" hidden="1" x14ac:dyDescent="0.2"/>
    <row r="42" spans="1:13" hidden="1" x14ac:dyDescent="0.2"/>
    <row r="43" spans="1:13" hidden="1" x14ac:dyDescent="0.2"/>
    <row r="44" spans="1:13" hidden="1" x14ac:dyDescent="0.2">
      <c r="C44" s="54">
        <f>C23+C31+C32+C33+C34+C35+C36+C37+C38</f>
        <v>-13992730.449999996</v>
      </c>
    </row>
    <row r="46" spans="1:13" x14ac:dyDescent="0.2">
      <c r="B46" s="14" t="s">
        <v>200</v>
      </c>
    </row>
    <row r="47" spans="1:13" x14ac:dyDescent="0.2">
      <c r="B47" s="14"/>
    </row>
    <row r="48" spans="1:13" x14ac:dyDescent="0.2">
      <c r="B48" s="14"/>
    </row>
  </sheetData>
  <mergeCells count="4">
    <mergeCell ref="J4:M4"/>
    <mergeCell ref="B1:G1"/>
    <mergeCell ref="B2:G2"/>
    <mergeCell ref="B3:G3"/>
  </mergeCells>
  <phoneticPr fontId="0" type="noConversion"/>
  <printOptions horizontalCentered="1"/>
  <pageMargins left="2.13" right="0.75" top="0.85" bottom="0.48" header="0.93" footer="0.5"/>
  <pageSetup orientation="portrait" verticalDpi="196" r:id="rId1"/>
  <headerFooter alignWithMargins="0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197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+'Competitive Ana'!F8+'Gas - Fund'!H8+'East - Fund'!F8</f>
        <v>1227480</v>
      </c>
      <c r="I8" s="42" t="s">
        <v>11</v>
      </c>
      <c r="J8" s="17">
        <v>0</v>
      </c>
      <c r="K8" s="17"/>
      <c r="L8" s="43">
        <f>L30</f>
        <v>2208096</v>
      </c>
      <c r="Q8" s="15">
        <f>+H8/$H$29*$Q$29</f>
        <v>53368.695652173912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f>+'Competitive Ana'!F9+'Gas - Fund'!H9+'East - Fund'!F9</f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+'Competitive Ana'!F10+'Gas - Fund'!H10+'East - Fund'!F10</f>
        <v>1077000</v>
      </c>
      <c r="I10" s="42"/>
      <c r="J10" s="17"/>
      <c r="K10" s="17"/>
      <c r="L10" s="43"/>
      <c r="Q10" s="15">
        <f t="shared" si="1"/>
        <v>46826.086956521736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+'Competitive Ana'!F11+'Gas - Fund'!H11+'East - Fund'!F11</f>
        <v>460896</v>
      </c>
      <c r="I11" s="42" t="s">
        <v>16</v>
      </c>
      <c r="J11" s="17">
        <f>(E12+E13+E14+E15+E16+E17+E18+E19+E20+E21+E22)/E29</f>
        <v>48270.181250000009</v>
      </c>
      <c r="K11" s="17">
        <f>K28</f>
        <v>17</v>
      </c>
      <c r="L11" s="43">
        <f>J11*K11</f>
        <v>820593.08125000016</v>
      </c>
      <c r="Q11" s="15">
        <f t="shared" si="1"/>
        <v>20038.956521739132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15">
        <f>+'Competitive Ana'!F12+'Gas - Fund'!H12+'East - Fund'!F12</f>
        <v>135747.80899569398</v>
      </c>
      <c r="I12" s="42"/>
      <c r="J12" s="17"/>
      <c r="K12" s="17"/>
      <c r="L12" s="43"/>
      <c r="Q12" s="15">
        <f t="shared" si="1"/>
        <v>5902.0786519866951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15">
        <f>+'Competitive Ana'!F13+'Gas - Fund'!H13+'East - Fund'!F13</f>
        <v>185521.76367147925</v>
      </c>
      <c r="I13" s="46" t="s">
        <v>21</v>
      </c>
      <c r="J13" s="47"/>
      <c r="K13" s="47"/>
      <c r="L13" s="48">
        <f>L8+L11</f>
        <v>3028689.0812500003</v>
      </c>
      <c r="N13" s="25">
        <v>24109311.029375006</v>
      </c>
      <c r="P13" s="49">
        <f>N13-L13</f>
        <v>21080621.948125005</v>
      </c>
      <c r="Q13" s="15">
        <f t="shared" si="1"/>
        <v>8066.1636378904022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15">
        <f>+'Competitive Ana'!F14+'Gas - Fund'!H14+'East - Fund'!F14</f>
        <v>4.504154002164687E-2</v>
      </c>
      <c r="Q14" s="15">
        <f t="shared" si="1"/>
        <v>1.958327827028125E-3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15">
        <f>+'Competitive Ana'!F15+'Gas - Fund'!H15+'East - Fund'!F15</f>
        <v>22651.78212208713</v>
      </c>
      <c r="Q15" s="15">
        <f t="shared" si="1"/>
        <v>984.86009226465785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15">
        <f>+'Competitive Ana'!F16+'Gas - Fund'!H16+'East - Fund'!F16</f>
        <v>0</v>
      </c>
      <c r="I16" s="50" t="s">
        <v>68</v>
      </c>
      <c r="J16" s="25">
        <v>33000</v>
      </c>
      <c r="K16" s="25">
        <v>1</v>
      </c>
      <c r="L16" s="25">
        <f t="shared" ref="L16:L27" si="2">J16*K16</f>
        <v>33000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15">
        <f>+'Competitive Ana'!F17+'Gas - Fund'!H17+'East - Fund'!F17</f>
        <v>1060.1595744680851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>
        <f t="shared" si="1"/>
        <v>46.093894542090659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15">
        <f>+'Competitive Ana'!F18+'Gas - Fund'!H18+'East - Fund'!F18</f>
        <v>11780.889508105371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>
        <f t="shared" si="1"/>
        <v>512.21258730892919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15">
        <f>+'Competitive Ana'!F19+'Gas - Fund'!H19+'East - Fund'!F19</f>
        <v>55025.093719351571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>
        <f t="shared" si="1"/>
        <v>2392.3953791022423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15">
        <f>+'Competitive Ana'!F20+'Gas - Fund'!H20+'East - Fund'!F20</f>
        <v>9.3987330293819653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>
        <f t="shared" si="1"/>
        <v>0.40864056649486807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15">
        <f>+'Competitive Ana'!F21+'Gas - Fund'!H21+'East - Fund'!F21</f>
        <v>98766.75311220868</v>
      </c>
      <c r="I21" s="25" t="s">
        <v>43</v>
      </c>
      <c r="J21" s="25">
        <v>60500</v>
      </c>
      <c r="K21" s="25">
        <v>6</v>
      </c>
      <c r="L21" s="25">
        <f t="shared" si="2"/>
        <v>363000</v>
      </c>
      <c r="Q21" s="15">
        <f t="shared" si="1"/>
        <v>4294.2066570525512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15">
        <f>+'Competitive Ana'!F22+'Gas - Fund'!H22+'East - Fund'!F22</f>
        <v>98484.748077001204</v>
      </c>
      <c r="I22" s="25" t="s">
        <v>46</v>
      </c>
      <c r="J22" s="25">
        <v>89100</v>
      </c>
      <c r="K22" s="25">
        <v>4</v>
      </c>
      <c r="L22" s="25">
        <f t="shared" si="2"/>
        <v>356400</v>
      </c>
      <c r="Q22" s="15">
        <f t="shared" si="1"/>
        <v>4281.9455685652702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3374424.4425549651</v>
      </c>
      <c r="I23" s="25" t="s">
        <v>49</v>
      </c>
      <c r="J23" s="25">
        <v>110000</v>
      </c>
      <c r="K23" s="25">
        <v>4</v>
      </c>
      <c r="L23" s="25">
        <f t="shared" si="2"/>
        <v>440000</v>
      </c>
      <c r="Q23" s="28">
        <f>SUM(Q8:Q22)</f>
        <v>146714.10619804193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2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+'Competitive Ana'!F25+'Gas - Fund'!H25+'East - Fund'!F25</f>
        <v>9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Q25" s="31">
        <f>+T16+T17+T18+T19+T20+T23+T24+T25+T26+T27</f>
        <v>0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1</v>
      </c>
      <c r="L26" s="25">
        <f t="shared" si="2"/>
        <v>198000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+'Competitive Ana'!F27+'Gas - Fund'!H27+'East - Fund'!F27</f>
        <v>14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Q27" s="31">
        <f>+T21+T22</f>
        <v>0</v>
      </c>
    </row>
    <row r="28" spans="1:17" x14ac:dyDescent="0.2">
      <c r="K28" s="25">
        <f>SUM(K16:K27)</f>
        <v>17</v>
      </c>
      <c r="L28" s="25">
        <f>SUM(L16:L27)*1.2</f>
        <v>1840080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23</v>
      </c>
      <c r="L29" s="52">
        <v>0.2</v>
      </c>
      <c r="Q29" s="31">
        <v>1</v>
      </c>
    </row>
    <row r="30" spans="1:17" hidden="1" x14ac:dyDescent="0.2">
      <c r="L30" s="25">
        <f>L28*1.2</f>
        <v>2208096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17</v>
      </c>
      <c r="L34" s="37">
        <f>+J34*K34</f>
        <v>820593.08125000016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8"/>
  <sheetViews>
    <sheetView zoomScaleNormal="100" workbookViewId="0">
      <selection activeCell="F12" sqref="F1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4.85546875" customWidth="1"/>
    <col min="7" max="7" width="13.28515625" hidden="1" customWidth="1"/>
    <col min="8" max="8" width="1.7109375" hidden="1" customWidth="1"/>
    <col min="9" max="9" width="19.42578125" hidden="1" customWidth="1"/>
    <col min="10" max="10" width="12" hidden="1" customWidth="1"/>
    <col min="11" max="11" width="8.85546875" hidden="1" customWidth="1"/>
    <col min="12" max="12" width="12.7109375" hidden="1" customWidth="1"/>
    <col min="13" max="13" width="9.140625" hidden="1" customWidth="1"/>
    <col min="14" max="14" width="11.28515625" hidden="1" customWidth="1"/>
    <col min="15" max="15" width="9.140625" hidden="1" customWidth="1"/>
  </cols>
  <sheetData>
    <row r="1" spans="1:16" ht="18" x14ac:dyDescent="0.25">
      <c r="B1" s="125" t="str">
        <f>'[7]Team Report'!B1</f>
        <v>Enron North America</v>
      </c>
      <c r="C1" s="125"/>
      <c r="D1" s="125"/>
      <c r="E1" s="125"/>
      <c r="F1" s="12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8" x14ac:dyDescent="0.25">
      <c r="B2" s="125" t="str">
        <f>'[7]Pull Sheet'!E9</f>
        <v>Competitive Analysis</v>
      </c>
      <c r="C2" s="125"/>
      <c r="D2" s="125"/>
      <c r="E2" s="125"/>
      <c r="F2" s="125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" x14ac:dyDescent="0.25">
      <c r="B3" s="126" t="s">
        <v>1</v>
      </c>
      <c r="C3" s="126"/>
      <c r="D3" s="126"/>
      <c r="E3" s="126"/>
      <c r="F3" s="126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3.5" thickBot="1" x14ac:dyDescent="0.25"/>
    <row r="5" spans="1:16" x14ac:dyDescent="0.2">
      <c r="I5" s="4"/>
      <c r="J5" s="40"/>
      <c r="K5" s="40"/>
      <c r="L5" s="41"/>
    </row>
    <row r="6" spans="1:16" x14ac:dyDescent="0.2">
      <c r="C6" s="10">
        <v>37135</v>
      </c>
      <c r="E6" s="11">
        <v>2001</v>
      </c>
      <c r="F6" s="11">
        <v>2002</v>
      </c>
      <c r="I6" s="7"/>
      <c r="J6" s="19" t="s">
        <v>2</v>
      </c>
      <c r="K6" s="19" t="s">
        <v>3</v>
      </c>
      <c r="L6" s="74" t="s">
        <v>109</v>
      </c>
      <c r="O6" s="44" t="s">
        <v>65</v>
      </c>
    </row>
    <row r="7" spans="1:16" x14ac:dyDescent="0.2">
      <c r="C7" s="12" t="s">
        <v>6</v>
      </c>
      <c r="E7" s="12" t="s">
        <v>7</v>
      </c>
      <c r="F7" s="12" t="s">
        <v>8</v>
      </c>
      <c r="G7" s="33"/>
      <c r="I7" s="7"/>
      <c r="J7" s="17"/>
      <c r="K7" s="17"/>
      <c r="L7" s="43"/>
      <c r="O7" s="12" t="s">
        <v>8</v>
      </c>
    </row>
    <row r="8" spans="1:16" x14ac:dyDescent="0.2">
      <c r="A8" s="13" t="s">
        <v>10</v>
      </c>
      <c r="B8" s="14" t="s">
        <v>11</v>
      </c>
      <c r="C8" s="15">
        <f>'[7]Team Report'!BA25</f>
        <v>1004954.44</v>
      </c>
      <c r="E8" s="15">
        <f>(C8/9)*12</f>
        <v>1339939.2533333334</v>
      </c>
      <c r="F8" s="15">
        <f>L29</f>
        <v>330000</v>
      </c>
      <c r="I8" s="7"/>
      <c r="J8" s="17"/>
      <c r="K8" s="17"/>
      <c r="L8" s="43"/>
      <c r="O8" s="15">
        <f>+F8/$F$29*$O$29</f>
        <v>110000</v>
      </c>
    </row>
    <row r="9" spans="1:16" x14ac:dyDescent="0.2">
      <c r="A9" s="13"/>
      <c r="B9" s="14" t="s">
        <v>12</v>
      </c>
      <c r="C9" s="15">
        <v>0</v>
      </c>
      <c r="E9" s="15">
        <f>(C9/9)*12</f>
        <v>0</v>
      </c>
      <c r="F9" s="15">
        <f>(D9/9)*12</f>
        <v>0</v>
      </c>
      <c r="I9" s="7" t="s">
        <v>11</v>
      </c>
      <c r="J9" s="17">
        <v>0</v>
      </c>
      <c r="K9" s="17">
        <f>K29</f>
        <v>3</v>
      </c>
      <c r="L9" s="43">
        <f>L33</f>
        <v>396000</v>
      </c>
      <c r="O9" s="15">
        <f t="shared" ref="O9:O22" si="0">+F9/$F$29*$O$29</f>
        <v>0</v>
      </c>
    </row>
    <row r="10" spans="1:16" x14ac:dyDescent="0.2">
      <c r="B10" s="14" t="s">
        <v>13</v>
      </c>
      <c r="C10" s="15">
        <v>0</v>
      </c>
      <c r="E10" s="15">
        <f>(C10/9)*12</f>
        <v>0</v>
      </c>
      <c r="F10" s="15">
        <f>(D10/9)*12</f>
        <v>0</v>
      </c>
      <c r="I10" s="7"/>
      <c r="J10" s="17"/>
      <c r="K10" s="17"/>
      <c r="L10" s="43"/>
      <c r="O10" s="15">
        <f t="shared" si="0"/>
        <v>0</v>
      </c>
    </row>
    <row r="11" spans="1:16" x14ac:dyDescent="0.2">
      <c r="A11" s="13" t="s">
        <v>14</v>
      </c>
      <c r="B11" s="14" t="s">
        <v>15</v>
      </c>
      <c r="C11" s="15">
        <f>'[7]Team Report'!BA26</f>
        <v>241285.2</v>
      </c>
      <c r="E11" s="15">
        <f>(C11/9)*12</f>
        <v>321713.59999999998</v>
      </c>
      <c r="F11" s="15">
        <f>L33-L29</f>
        <v>66000</v>
      </c>
      <c r="I11" s="7"/>
      <c r="J11" s="17"/>
      <c r="K11" s="17"/>
      <c r="L11" s="43"/>
      <c r="O11" s="15">
        <f t="shared" si="0"/>
        <v>22000</v>
      </c>
    </row>
    <row r="12" spans="1:16" x14ac:dyDescent="0.2">
      <c r="A12" s="13" t="s">
        <v>17</v>
      </c>
      <c r="B12" s="14" t="s">
        <v>18</v>
      </c>
      <c r="C12" s="15">
        <f>'[7]Team Report'!BA27</f>
        <v>64034.85</v>
      </c>
      <c r="E12" s="20">
        <f>((C12/9)*12)*1.25</f>
        <v>106724.75</v>
      </c>
      <c r="F12" s="21">
        <f t="shared" ref="F12:F22" si="1">(E12/$E$29)*$F$29</f>
        <v>11434.794642857143</v>
      </c>
      <c r="I12" s="7" t="s">
        <v>16</v>
      </c>
      <c r="J12" s="17">
        <f>(E12+E13+E14+E15+E16+E17+E18+E19+E20+E21+E22)/E29</f>
        <v>29159.270999999997</v>
      </c>
      <c r="K12" s="17">
        <f>K29</f>
        <v>3</v>
      </c>
      <c r="L12" s="43">
        <f>J12*K12</f>
        <v>87477.812999999995</v>
      </c>
      <c r="O12" s="15">
        <f t="shared" si="0"/>
        <v>3811.5982142857142</v>
      </c>
    </row>
    <row r="13" spans="1:16" x14ac:dyDescent="0.2">
      <c r="A13" s="13" t="s">
        <v>19</v>
      </c>
      <c r="B13" s="14" t="s">
        <v>20</v>
      </c>
      <c r="C13" s="15">
        <f>'[7]Team Report'!BA28</f>
        <v>201286.59999999998</v>
      </c>
      <c r="E13" s="20">
        <f>((C13/9)*12)*1.17</f>
        <v>314007.09599999996</v>
      </c>
      <c r="F13" s="21">
        <f t="shared" si="1"/>
        <v>33643.617428571422</v>
      </c>
      <c r="I13" s="7"/>
      <c r="J13" s="17"/>
      <c r="K13" s="17"/>
      <c r="L13" s="43"/>
      <c r="O13" s="15">
        <f t="shared" si="0"/>
        <v>11214.53914285714</v>
      </c>
    </row>
    <row r="14" spans="1:16" ht="13.5" thickBot="1" x14ac:dyDescent="0.25">
      <c r="A14" s="13" t="s">
        <v>22</v>
      </c>
      <c r="B14" s="14" t="s">
        <v>23</v>
      </c>
      <c r="C14" s="15">
        <f>'[7]Team Report'!BA32-C39</f>
        <v>-6.0000000055879354E-2</v>
      </c>
      <c r="E14" s="20">
        <f>((C14/9)*12)*1.3</f>
        <v>-0.10400000009685754</v>
      </c>
      <c r="F14" s="21">
        <f t="shared" si="1"/>
        <v>-1.1142857153234736E-2</v>
      </c>
      <c r="I14" s="22" t="s">
        <v>21</v>
      </c>
      <c r="J14" s="47"/>
      <c r="K14" s="47"/>
      <c r="L14" s="48">
        <f>SUM(L9:L12)</f>
        <v>483477.81299999997</v>
      </c>
      <c r="N14" s="25"/>
      <c r="O14" s="15">
        <f t="shared" si="0"/>
        <v>-3.714285717744912E-3</v>
      </c>
    </row>
    <row r="15" spans="1:16" x14ac:dyDescent="0.2">
      <c r="A15" s="13" t="s">
        <v>24</v>
      </c>
      <c r="B15" s="14" t="s">
        <v>25</v>
      </c>
      <c r="C15" s="15">
        <f>'[7]Team Report'!BA33</f>
        <v>21945.55</v>
      </c>
      <c r="E15" s="20">
        <f>((C15/9)*12)*1.25</f>
        <v>36575.916666666664</v>
      </c>
      <c r="F15" s="21">
        <f t="shared" si="1"/>
        <v>3918.8482142857142</v>
      </c>
      <c r="I15" s="8"/>
      <c r="J15" s="17"/>
      <c r="K15" s="17"/>
      <c r="L15" s="17"/>
      <c r="O15" s="15">
        <f t="shared" si="0"/>
        <v>1306.2827380952381</v>
      </c>
    </row>
    <row r="16" spans="1:16" x14ac:dyDescent="0.2">
      <c r="A16" s="13" t="s">
        <v>26</v>
      </c>
      <c r="B16" s="14" t="s">
        <v>27</v>
      </c>
      <c r="C16" s="15">
        <f>'[7]Team Report'!BA34</f>
        <v>0</v>
      </c>
      <c r="E16" s="20">
        <f>((C16/9)*12)*1.3</f>
        <v>0</v>
      </c>
      <c r="F16" s="21">
        <f t="shared" si="1"/>
        <v>0</v>
      </c>
      <c r="I16" s="8"/>
      <c r="J16" s="17"/>
      <c r="K16" s="17"/>
      <c r="L16" s="17"/>
      <c r="O16" s="15">
        <f t="shared" si="0"/>
        <v>0</v>
      </c>
    </row>
    <row r="17" spans="1:15" x14ac:dyDescent="0.2">
      <c r="A17" s="13" t="s">
        <v>29</v>
      </c>
      <c r="B17" s="14" t="s">
        <v>30</v>
      </c>
      <c r="C17" s="15">
        <f>'[7]Team Report'!BA35</f>
        <v>0</v>
      </c>
      <c r="E17" s="20">
        <f>((C17/9)*12)*1.3</f>
        <v>0</v>
      </c>
      <c r="F17" s="21">
        <f t="shared" si="1"/>
        <v>0</v>
      </c>
      <c r="I17" s="8" t="s">
        <v>28</v>
      </c>
      <c r="J17" s="17">
        <f>36000</f>
        <v>36000</v>
      </c>
      <c r="K17" s="17">
        <f>H17*J17</f>
        <v>0</v>
      </c>
      <c r="L17" s="17">
        <f t="shared" ref="L17:L28" si="2">J17*K17</f>
        <v>0</v>
      </c>
      <c r="O17" s="15">
        <f t="shared" si="0"/>
        <v>0</v>
      </c>
    </row>
    <row r="18" spans="1:15" x14ac:dyDescent="0.2">
      <c r="A18" s="13" t="s">
        <v>32</v>
      </c>
      <c r="B18" s="14" t="s">
        <v>33</v>
      </c>
      <c r="C18" s="15">
        <f>'[7]Team Report'!BA36</f>
        <v>837.87000000000012</v>
      </c>
      <c r="E18" s="20">
        <f>((C18/9)*12)*1.25</f>
        <v>1396.45</v>
      </c>
      <c r="F18" s="21">
        <f t="shared" si="1"/>
        <v>149.61964285714288</v>
      </c>
      <c r="I18" t="s">
        <v>95</v>
      </c>
      <c r="J18" s="25">
        <v>48000</v>
      </c>
      <c r="K18" s="17">
        <v>0</v>
      </c>
      <c r="L18" s="17">
        <f t="shared" si="2"/>
        <v>0</v>
      </c>
      <c r="O18" s="15">
        <f t="shared" si="0"/>
        <v>49.87321428571429</v>
      </c>
    </row>
    <row r="19" spans="1:15" x14ac:dyDescent="0.2">
      <c r="A19" s="13" t="s">
        <v>35</v>
      </c>
      <c r="B19" s="14" t="s">
        <v>36</v>
      </c>
      <c r="C19" s="15">
        <f>'[7]Team Report'!BA37</f>
        <v>24222.35</v>
      </c>
      <c r="E19" s="20">
        <f>((C19/9)*12)*1.3</f>
        <v>41985.406666666669</v>
      </c>
      <c r="F19" s="21">
        <f t="shared" si="1"/>
        <v>4498.4364285714291</v>
      </c>
      <c r="I19" t="s">
        <v>34</v>
      </c>
      <c r="J19" s="25">
        <v>49200</v>
      </c>
      <c r="K19" s="17">
        <v>0</v>
      </c>
      <c r="L19" s="17">
        <f t="shared" si="2"/>
        <v>0</v>
      </c>
      <c r="O19" s="15">
        <f t="shared" si="0"/>
        <v>1499.4788095238098</v>
      </c>
    </row>
    <row r="20" spans="1:15" x14ac:dyDescent="0.2">
      <c r="A20" s="13" t="s">
        <v>38</v>
      </c>
      <c r="B20" s="14" t="s">
        <v>39</v>
      </c>
      <c r="C20" s="15">
        <f>'[7]Team Report'!BA38</f>
        <v>8.15</v>
      </c>
      <c r="E20" s="20">
        <f>((C20/9)*12)*1.25</f>
        <v>13.583333333333334</v>
      </c>
      <c r="F20" s="21">
        <f t="shared" si="1"/>
        <v>1.4553571428571428</v>
      </c>
      <c r="I20" t="s">
        <v>96</v>
      </c>
      <c r="J20" s="25">
        <v>57600</v>
      </c>
      <c r="K20" s="17">
        <v>0</v>
      </c>
      <c r="L20" s="17">
        <f t="shared" si="2"/>
        <v>0</v>
      </c>
      <c r="O20" s="15">
        <f t="shared" si="0"/>
        <v>0.48511904761904762</v>
      </c>
    </row>
    <row r="21" spans="1:15" x14ac:dyDescent="0.2">
      <c r="A21" s="13" t="s">
        <v>41</v>
      </c>
      <c r="B21" s="14" t="s">
        <v>42</v>
      </c>
      <c r="C21" s="15">
        <f>'[7]Team Report'!BA42</f>
        <v>196834.1</v>
      </c>
      <c r="E21" s="20">
        <f>((C21/9)*12)*1.2</f>
        <v>314934.56</v>
      </c>
      <c r="F21" s="21">
        <f t="shared" si="1"/>
        <v>33742.98857142857</v>
      </c>
      <c r="I21" t="s">
        <v>46</v>
      </c>
      <c r="J21" s="25">
        <v>72000</v>
      </c>
      <c r="K21" s="25">
        <v>0</v>
      </c>
      <c r="L21" s="17">
        <f t="shared" si="2"/>
        <v>0</v>
      </c>
      <c r="O21" s="15">
        <f t="shared" si="0"/>
        <v>11247.662857142857</v>
      </c>
    </row>
    <row r="22" spans="1:15" x14ac:dyDescent="0.2">
      <c r="A22" s="13" t="s">
        <v>44</v>
      </c>
      <c r="B22" s="14" t="s">
        <v>45</v>
      </c>
      <c r="C22" s="15">
        <f>'[7]Team Report'!BA44</f>
        <v>474.19</v>
      </c>
      <c r="E22" s="20">
        <f>((C22/9)*12)*1.3</f>
        <v>821.92933333333337</v>
      </c>
      <c r="F22" s="21">
        <f t="shared" si="1"/>
        <v>88.063857142857145</v>
      </c>
      <c r="I22" t="s">
        <v>37</v>
      </c>
      <c r="J22" s="25">
        <v>62400</v>
      </c>
      <c r="K22" s="17">
        <v>0</v>
      </c>
      <c r="L22" s="17">
        <f t="shared" si="2"/>
        <v>0</v>
      </c>
      <c r="O22" s="15">
        <f t="shared" si="0"/>
        <v>29.35461904761905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1755883.24</v>
      </c>
      <c r="E23" s="28">
        <f>SUM(E8:E22)</f>
        <v>2478112.441333334</v>
      </c>
      <c r="F23" s="28">
        <f>SUM(F8:F22)</f>
        <v>483477.81300000008</v>
      </c>
      <c r="I23" t="s">
        <v>97</v>
      </c>
      <c r="J23" s="25">
        <v>74400</v>
      </c>
      <c r="K23" s="17">
        <v>0</v>
      </c>
      <c r="L23" s="17">
        <f t="shared" si="2"/>
        <v>0</v>
      </c>
      <c r="O23" s="58">
        <f>SUM(O8:O22)</f>
        <v>161159.27100000001</v>
      </c>
    </row>
    <row r="24" spans="1:15" x14ac:dyDescent="0.2">
      <c r="I24" t="s">
        <v>98</v>
      </c>
      <c r="J24" s="25">
        <v>90000</v>
      </c>
      <c r="K24" s="17">
        <v>1</v>
      </c>
      <c r="L24" s="17">
        <f t="shared" si="2"/>
        <v>90000</v>
      </c>
    </row>
    <row r="25" spans="1:15" x14ac:dyDescent="0.2">
      <c r="B25" s="27" t="s">
        <v>51</v>
      </c>
      <c r="C25" s="15"/>
      <c r="E25" s="31">
        <v>28</v>
      </c>
      <c r="F25" s="31">
        <f>+K29</f>
        <v>3</v>
      </c>
      <c r="I25" t="s">
        <v>99</v>
      </c>
      <c r="J25" s="25">
        <v>120000</v>
      </c>
      <c r="K25" s="17">
        <v>2</v>
      </c>
      <c r="L25" s="17">
        <f t="shared" si="2"/>
        <v>240000</v>
      </c>
      <c r="O25" s="31">
        <f>SUM(U16:U20,U23:U27)</f>
        <v>0</v>
      </c>
    </row>
    <row r="26" spans="1:15" x14ac:dyDescent="0.2">
      <c r="C26" s="15"/>
      <c r="E26" s="15"/>
      <c r="F26" s="15"/>
      <c r="I26" t="s">
        <v>121</v>
      </c>
      <c r="J26" s="25">
        <v>178800</v>
      </c>
      <c r="K26" s="17">
        <v>0</v>
      </c>
      <c r="L26" s="17">
        <f t="shared" si="2"/>
        <v>0</v>
      </c>
      <c r="O26" s="15"/>
    </row>
    <row r="27" spans="1:15" x14ac:dyDescent="0.2">
      <c r="B27" s="27" t="s">
        <v>103</v>
      </c>
      <c r="C27" s="15"/>
      <c r="E27" s="31">
        <v>0</v>
      </c>
      <c r="F27" s="31">
        <v>0</v>
      </c>
      <c r="I27" t="s">
        <v>101</v>
      </c>
      <c r="J27" s="25">
        <v>216000</v>
      </c>
      <c r="K27" s="17">
        <v>0</v>
      </c>
      <c r="L27" s="17">
        <f t="shared" si="2"/>
        <v>0</v>
      </c>
      <c r="O27" s="31">
        <f>SUM(U21:U22)</f>
        <v>0</v>
      </c>
    </row>
    <row r="28" spans="1:15" x14ac:dyDescent="0.2">
      <c r="I28" t="s">
        <v>102</v>
      </c>
      <c r="J28" s="25">
        <v>312000</v>
      </c>
      <c r="K28" s="17">
        <f>H27*J28</f>
        <v>0</v>
      </c>
      <c r="L28" s="17">
        <f t="shared" si="2"/>
        <v>0</v>
      </c>
    </row>
    <row r="29" spans="1:15" x14ac:dyDescent="0.2">
      <c r="B29" s="27" t="s">
        <v>56</v>
      </c>
      <c r="C29" s="15"/>
      <c r="E29" s="31">
        <f>+E27+E25</f>
        <v>28</v>
      </c>
      <c r="F29" s="31">
        <f>+F27+F25</f>
        <v>3</v>
      </c>
      <c r="G29" s="25"/>
      <c r="J29" s="25"/>
      <c r="K29" s="25">
        <f>SUM(K17:K28)</f>
        <v>3</v>
      </c>
      <c r="L29" s="17">
        <f>SUM(L17:L28)</f>
        <v>330000</v>
      </c>
      <c r="O29" s="31">
        <v>1</v>
      </c>
    </row>
    <row r="30" spans="1:15" x14ac:dyDescent="0.2">
      <c r="J30" s="25"/>
      <c r="K30" s="25"/>
      <c r="L30" s="25"/>
    </row>
    <row r="31" spans="1:15" hidden="1" x14ac:dyDescent="0.2">
      <c r="A31" s="13" t="s">
        <v>73</v>
      </c>
      <c r="B31" s="14" t="s">
        <v>74</v>
      </c>
      <c r="C31" s="15">
        <f>'[7]Team Report'!BA29</f>
        <v>0</v>
      </c>
      <c r="E31" s="15">
        <f t="shared" ref="E31:E38" si="3">(C31/9)*12</f>
        <v>0</v>
      </c>
      <c r="I31" t="s">
        <v>104</v>
      </c>
      <c r="J31" s="25"/>
      <c r="K31" s="52"/>
      <c r="L31" s="52">
        <v>0.2</v>
      </c>
    </row>
    <row r="32" spans="1:15" hidden="1" x14ac:dyDescent="0.2">
      <c r="A32" s="13" t="s">
        <v>75</v>
      </c>
      <c r="B32" s="14" t="s">
        <v>76</v>
      </c>
      <c r="C32" s="15">
        <f>'[7]Team Report'!BA30</f>
        <v>0</v>
      </c>
      <c r="E32" s="15">
        <f t="shared" si="3"/>
        <v>0</v>
      </c>
      <c r="J32" s="25"/>
      <c r="K32" s="25"/>
      <c r="L32" s="25"/>
    </row>
    <row r="33" spans="1:12" hidden="1" x14ac:dyDescent="0.2">
      <c r="A33" s="13" t="s">
        <v>77</v>
      </c>
      <c r="B33" s="14" t="s">
        <v>78</v>
      </c>
      <c r="C33" s="15">
        <f>'[7]Team Report'!BA31</f>
        <v>0</v>
      </c>
      <c r="E33" s="15">
        <f t="shared" si="3"/>
        <v>0</v>
      </c>
      <c r="J33" s="25"/>
      <c r="K33" s="25"/>
      <c r="L33" s="25">
        <f>L29*1.2</f>
        <v>396000</v>
      </c>
    </row>
    <row r="34" spans="1:12" hidden="1" x14ac:dyDescent="0.2">
      <c r="A34" s="13" t="s">
        <v>79</v>
      </c>
      <c r="B34" s="14" t="s">
        <v>80</v>
      </c>
      <c r="C34" s="15">
        <f>'[7]Team Report'!BA39</f>
        <v>0</v>
      </c>
      <c r="E34" s="15">
        <f t="shared" si="3"/>
        <v>0</v>
      </c>
      <c r="J34" s="25"/>
      <c r="K34" s="25"/>
      <c r="L34" s="25"/>
    </row>
    <row r="35" spans="1:12" hidden="1" x14ac:dyDescent="0.2">
      <c r="A35" s="13" t="s">
        <v>81</v>
      </c>
      <c r="B35" s="14" t="s">
        <v>82</v>
      </c>
      <c r="C35" s="15">
        <f>'[7]Team Report'!BA40</f>
        <v>155543.13</v>
      </c>
      <c r="E35" s="15">
        <f t="shared" si="3"/>
        <v>207390.84</v>
      </c>
    </row>
    <row r="36" spans="1:12" hidden="1" x14ac:dyDescent="0.2">
      <c r="A36" s="13" t="s">
        <v>83</v>
      </c>
      <c r="B36" s="14" t="s">
        <v>84</v>
      </c>
      <c r="C36" s="15">
        <f>'[7]Team Report'!BA41</f>
        <v>132051.71</v>
      </c>
      <c r="E36" s="15">
        <f t="shared" si="3"/>
        <v>176068.94666666666</v>
      </c>
    </row>
    <row r="37" spans="1:12" hidden="1" x14ac:dyDescent="0.2">
      <c r="A37" s="13" t="s">
        <v>85</v>
      </c>
      <c r="B37" s="14" t="s">
        <v>86</v>
      </c>
      <c r="C37" s="15">
        <f>'[7]Team Report'!BA43</f>
        <v>-1900070.7900000003</v>
      </c>
      <c r="E37" s="15">
        <f t="shared" si="3"/>
        <v>-2533427.7200000002</v>
      </c>
      <c r="G37" s="33" t="s">
        <v>57</v>
      </c>
      <c r="I37" s="25"/>
      <c r="J37" s="25"/>
      <c r="K37" s="25"/>
    </row>
    <row r="38" spans="1:12" hidden="1" x14ac:dyDescent="0.2">
      <c r="A38" s="13" t="s">
        <v>87</v>
      </c>
      <c r="B38" s="14" t="s">
        <v>88</v>
      </c>
      <c r="C38" s="15">
        <f>'[7]Team Report'!BA45</f>
        <v>0</v>
      </c>
      <c r="E38" s="15">
        <f t="shared" si="3"/>
        <v>0</v>
      </c>
      <c r="I38" s="25"/>
      <c r="J38" s="25"/>
      <c r="K38" s="25"/>
    </row>
    <row r="39" spans="1:12" hidden="1" x14ac:dyDescent="0.2">
      <c r="B39" s="14" t="s">
        <v>23</v>
      </c>
      <c r="C39" s="15">
        <v>1140923</v>
      </c>
      <c r="E39" s="15"/>
      <c r="G39" s="34" t="s">
        <v>58</v>
      </c>
      <c r="I39" s="35" t="s">
        <v>59</v>
      </c>
      <c r="J39" s="35" t="s">
        <v>60</v>
      </c>
      <c r="K39" s="35" t="s">
        <v>3</v>
      </c>
      <c r="L39" s="35" t="s">
        <v>61</v>
      </c>
    </row>
    <row r="40" spans="1:12" hidden="1" x14ac:dyDescent="0.2">
      <c r="B40" s="14"/>
      <c r="G40" s="36">
        <f>SUM(E12:E22)</f>
        <v>816459.58799999987</v>
      </c>
      <c r="I40" s="56">
        <f>+E29</f>
        <v>28</v>
      </c>
      <c r="J40" s="37">
        <f>+G40/I40</f>
        <v>29159.270999999997</v>
      </c>
      <c r="K40" s="56">
        <f>+K12</f>
        <v>3</v>
      </c>
      <c r="L40" s="37">
        <f>+J40*K40</f>
        <v>87477.812999999995</v>
      </c>
    </row>
    <row r="41" spans="1:12" hidden="1" x14ac:dyDescent="0.2">
      <c r="C41" s="54">
        <f>C23+C31+C32+C33+C34+C35+C36+C37+C38</f>
        <v>143407.2899999998</v>
      </c>
    </row>
    <row r="42" spans="1:12" hidden="1" x14ac:dyDescent="0.2"/>
    <row r="43" spans="1:12" hidden="1" x14ac:dyDescent="0.2"/>
    <row r="44" spans="1:12" hidden="1" x14ac:dyDescent="0.2"/>
    <row r="45" spans="1:12" hidden="1" x14ac:dyDescent="0.2"/>
    <row r="46" spans="1:12" hidden="1" x14ac:dyDescent="0.2"/>
    <row r="47" spans="1:12" hidden="1" x14ac:dyDescent="0.2"/>
    <row r="48" spans="1:12" hidden="1" x14ac:dyDescent="0.2"/>
  </sheetData>
  <mergeCells count="3">
    <mergeCell ref="B1:F1"/>
    <mergeCell ref="B2:F2"/>
    <mergeCell ref="B3:F3"/>
  </mergeCells>
  <phoneticPr fontId="0" type="noConversion"/>
  <printOptions horizontalCentered="1"/>
  <pageMargins left="0.75" right="0.75" top="0.4" bottom="0.48" header="0.5" footer="0.5"/>
  <pageSetup orientation="portrait" verticalDpi="196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V10" sqref="V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5" max="15" width="9.140625" hidden="1" customWidth="1"/>
    <col min="16" max="16" width="10.28515625" hidden="1" customWidth="1"/>
    <col min="17" max="17" width="12.7109375" hidden="1" customWidth="1"/>
    <col min="18" max="44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190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579480</v>
      </c>
      <c r="I8" s="42" t="s">
        <v>11</v>
      </c>
      <c r="J8" s="17">
        <v>0</v>
      </c>
      <c r="K8" s="17"/>
      <c r="L8" s="43">
        <f>L30</f>
        <v>1558656</v>
      </c>
      <c r="Q8" s="15">
        <f>+H8/$H$29*$Q$29</f>
        <v>44575.384615384617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719400</v>
      </c>
      <c r="I10" s="42"/>
      <c r="J10" s="17"/>
      <c r="K10" s="17"/>
      <c r="L10" s="43"/>
      <c r="Q10" s="15">
        <f t="shared" si="1"/>
        <v>55338.461538461539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259776</v>
      </c>
      <c r="I11" s="42" t="s">
        <v>16</v>
      </c>
      <c r="J11" s="17">
        <f>(E12+E13+E14+E15+E16+E17+E18+E19+E20+E21+E22)/E29</f>
        <v>48270.181250000009</v>
      </c>
      <c r="K11" s="17">
        <f>K28</f>
        <v>13</v>
      </c>
      <c r="L11" s="43">
        <f>J11*K11</f>
        <v>627512.35625000007</v>
      </c>
      <c r="Q11" s="15">
        <f t="shared" si="1"/>
        <v>19982.76923076923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80112.158749999973</v>
      </c>
      <c r="I12" s="42"/>
      <c r="J12" s="17"/>
      <c r="K12" s="17"/>
      <c r="L12" s="43"/>
      <c r="Q12" s="15">
        <f t="shared" si="1"/>
        <v>6162.4737499999983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71304.439916666684</v>
      </c>
      <c r="I13" s="46" t="s">
        <v>21</v>
      </c>
      <c r="J13" s="47"/>
      <c r="K13" s="47"/>
      <c r="L13" s="48">
        <f>L8+L11</f>
        <v>2186168.3562500002</v>
      </c>
      <c r="N13" s="25">
        <v>24109311.029375006</v>
      </c>
      <c r="P13" s="49">
        <f>N13-L13</f>
        <v>21923142.673125006</v>
      </c>
      <c r="Q13" s="15">
        <f t="shared" si="1"/>
        <v>5484.9569166666679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2.6000000002143978E-2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11327.658333333333</v>
      </c>
      <c r="Q15" s="15">
        <f t="shared" si="1"/>
        <v>871.35833333333335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639.16666666666663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11608.449666666669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892.95766666666691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11831.118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910.08600000000001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1.7333333333333334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14710.465249999987</v>
      </c>
      <c r="I21" s="25" t="s">
        <v>43</v>
      </c>
      <c r="J21" s="25">
        <v>60500</v>
      </c>
      <c r="K21" s="25">
        <v>6</v>
      </c>
      <c r="L21" s="25">
        <f t="shared" si="3"/>
        <v>363000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(E22/$E$29)*$K$11-327675</f>
        <v>98302.140333333518</v>
      </c>
      <c r="I22" s="25" t="s">
        <v>46</v>
      </c>
      <c r="J22" s="25">
        <v>89100</v>
      </c>
      <c r="K22" s="25">
        <v>4</v>
      </c>
      <c r="L22" s="25">
        <f t="shared" si="3"/>
        <v>356400</v>
      </c>
      <c r="Q22" s="15">
        <f t="shared" si="1"/>
        <v>7561.7031025641172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1858493.3562500002</v>
      </c>
      <c r="I23" s="25" t="s">
        <v>49</v>
      </c>
      <c r="J23" s="25">
        <v>110000</v>
      </c>
      <c r="K23" s="25">
        <v>2</v>
      </c>
      <c r="L23" s="25">
        <f t="shared" si="3"/>
        <v>220000</v>
      </c>
      <c r="Q23" s="28">
        <f>SUM(Q8:Q22)</f>
        <v>142961.02740384618</v>
      </c>
    </row>
    <row r="24" spans="1:17" x14ac:dyDescent="0.2">
      <c r="I24" s="25" t="s">
        <v>50</v>
      </c>
      <c r="J24" s="25">
        <v>143000</v>
      </c>
      <c r="K24" s="25">
        <v>1</v>
      </c>
      <c r="L24" s="25">
        <f t="shared" si="3"/>
        <v>143000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13</v>
      </c>
      <c r="L28" s="25">
        <f>SUM(L16:L27)*1.2</f>
        <v>1298880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1558656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13</v>
      </c>
      <c r="L34" s="37">
        <f>+J34*K34</f>
        <v>627512.35625000007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6"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2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318000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810720</v>
      </c>
      <c r="N8" s="15">
        <f>+F8/$F$29*$N$29</f>
        <v>45428.571428571428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357600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51085.714285714283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135120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7</v>
      </c>
      <c r="M11" s="18">
        <f>K11*L11</f>
        <v>221733.27330496447</v>
      </c>
      <c r="N11" s="15">
        <f t="shared" si="1"/>
        <v>19302.857142857141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44200.855602836877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80573.706326241139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1032453.2733049644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3.0184397172737625E-2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7405.2755744680844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420.99290780141843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22.82019858156001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38695.539290780143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6.2100425531914896</v>
      </c>
      <c r="H20" s="16">
        <f t="shared" si="0"/>
        <v>6.1420478202947023E-6</v>
      </c>
      <c r="J20" t="s">
        <v>40</v>
      </c>
      <c r="K20" s="25">
        <v>78000</v>
      </c>
      <c r="L20">
        <v>1</v>
      </c>
      <c r="M20" s="25">
        <f t="shared" si="4"/>
        <v>78000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50313.299290780131</v>
      </c>
      <c r="H21" s="16">
        <f t="shared" si="0"/>
        <v>4.9762411061411306E-2</v>
      </c>
      <c r="J21" t="s">
        <v>43</v>
      </c>
      <c r="K21" s="25">
        <v>66000</v>
      </c>
      <c r="L21">
        <v>1</v>
      </c>
      <c r="M21" s="25">
        <f t="shared" si="4"/>
        <v>66000</v>
      </c>
      <c r="N21" s="15">
        <f t="shared" si="1"/>
        <v>7187.6141843971618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94.543886524822696</v>
      </c>
      <c r="H22" s="16">
        <f t="shared" si="0"/>
        <v>9.350871063734415E-5</v>
      </c>
      <c r="J22" t="s">
        <v>46</v>
      </c>
      <c r="K22" s="25">
        <v>97200</v>
      </c>
      <c r="L22">
        <v>3</v>
      </c>
      <c r="M22" s="25">
        <f t="shared" si="4"/>
        <v>291600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1032453.2733049644</v>
      </c>
      <c r="H23" s="30">
        <f>SUM(H8:H22)</f>
        <v>1</v>
      </c>
      <c r="J23" t="s">
        <v>49</v>
      </c>
      <c r="K23" s="25">
        <v>120000</v>
      </c>
      <c r="L23">
        <f>3-1</f>
        <v>2</v>
      </c>
      <c r="M23" s="25">
        <f t="shared" si="4"/>
        <v>240000</v>
      </c>
      <c r="N23" s="58">
        <f>SUM(N8:N22)</f>
        <v>147493.32475785207</v>
      </c>
    </row>
    <row r="24" spans="1:14" x14ac:dyDescent="0.2">
      <c r="J24" t="s">
        <v>50</v>
      </c>
      <c r="K24" s="25">
        <v>156000</v>
      </c>
      <c r="L24">
        <f>1-1</f>
        <v>0</v>
      </c>
      <c r="M24" s="25">
        <f t="shared" si="4"/>
        <v>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4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7</v>
      </c>
      <c r="M28" s="25">
        <f>SUM(M16:M27)</f>
        <v>675600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7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7</v>
      </c>
      <c r="M34" s="37">
        <f>+K34*L34</f>
        <v>221733.27330496447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234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5629800</v>
      </c>
      <c r="I8" s="42" t="s">
        <v>11</v>
      </c>
      <c r="J8" s="17">
        <v>0</v>
      </c>
      <c r="K8" s="17"/>
      <c r="L8" s="43">
        <f>L30</f>
        <v>6755760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1125960</v>
      </c>
      <c r="I11" s="42" t="s">
        <v>16</v>
      </c>
      <c r="J11" s="17">
        <f>(E12+E13+E14+E15+E16+E17+E18+E19+E20+E21+E22)/E29</f>
        <v>48270.181250000009</v>
      </c>
      <c r="K11" s="17">
        <f>K28</f>
        <v>33</v>
      </c>
      <c r="L11" s="43">
        <f>J11*K11</f>
        <v>1592915.9812500002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203361.63374999992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181003.57825000005</v>
      </c>
      <c r="I13" s="46" t="s">
        <v>21</v>
      </c>
      <c r="J13" s="47"/>
      <c r="K13" s="47"/>
      <c r="L13" s="48">
        <f>L8+L11</f>
        <v>8348675.9812500002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6.6000000005442414E-2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28754.824999999997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1622.5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29467.603000000003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30032.838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4.4000000000000004</v>
      </c>
      <c r="I20" s="25" t="s">
        <v>40</v>
      </c>
      <c r="J20" s="25">
        <v>71500</v>
      </c>
      <c r="K20" s="25">
        <v>1</v>
      </c>
      <c r="L20" s="25">
        <f t="shared" si="2"/>
        <v>71500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37341.950249999965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(E22/$E$29)*$K$11-1081327</f>
        <v>-0.41299999947659671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7267348.9812500011</v>
      </c>
      <c r="I23" s="25" t="s">
        <v>49</v>
      </c>
      <c r="J23" s="25">
        <v>110000</v>
      </c>
      <c r="K23" s="25">
        <v>11</v>
      </c>
      <c r="L23" s="25">
        <f t="shared" si="2"/>
        <v>1210000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14</v>
      </c>
      <c r="L24" s="25">
        <f t="shared" si="2"/>
        <v>2002000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33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6</v>
      </c>
      <c r="L26" s="25">
        <f t="shared" si="2"/>
        <v>1188000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1</v>
      </c>
      <c r="L27" s="25">
        <f t="shared" si="2"/>
        <v>220000</v>
      </c>
      <c r="P27" s="8"/>
      <c r="Q27" s="32"/>
    </row>
    <row r="28" spans="1:17" x14ac:dyDescent="0.2">
      <c r="K28" s="25">
        <f>SUM(K16:K27)</f>
        <v>33</v>
      </c>
      <c r="L28" s="25">
        <f>SUM(L16:L27)*1.2</f>
        <v>5629800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33</v>
      </c>
      <c r="L29" s="52">
        <v>0.2</v>
      </c>
      <c r="P29" s="8"/>
      <c r="Q29" s="32"/>
    </row>
    <row r="30" spans="1:17" hidden="1" x14ac:dyDescent="0.2">
      <c r="L30" s="25">
        <f>L28*1.2</f>
        <v>6755760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33</v>
      </c>
      <c r="L34" s="37">
        <f>+J34*K34</f>
        <v>1592915.9812500002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topLeftCell="A8"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2.57031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55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192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495000</v>
      </c>
      <c r="H8" s="15"/>
      <c r="I8" s="16">
        <f t="shared" ref="I8:I22" si="0">+G8/$G$23</f>
        <v>0.51648412200982807</v>
      </c>
      <c r="K8" s="7" t="s">
        <v>11</v>
      </c>
      <c r="L8" s="17">
        <v>0</v>
      </c>
      <c r="M8" s="8">
        <f>+M11</f>
        <v>6</v>
      </c>
      <c r="N8" s="18">
        <f>N28</f>
        <v>673200</v>
      </c>
      <c r="O8" s="15">
        <f>+G8/$G$29*$O$29</f>
        <v>82500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66000</v>
      </c>
      <c r="H10" s="15"/>
      <c r="I10" s="16">
        <f t="shared" si="0"/>
        <v>6.8864549601310401E-2</v>
      </c>
      <c r="K10" s="7"/>
      <c r="L10" s="8"/>
      <c r="M10" s="8"/>
      <c r="N10" s="9"/>
      <c r="O10" s="15">
        <f t="shared" si="1"/>
        <v>11000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112200</v>
      </c>
      <c r="H11" s="15"/>
      <c r="I11" s="16">
        <f t="shared" si="0"/>
        <v>0.11706973432222768</v>
      </c>
      <c r="K11" s="7" t="s">
        <v>16</v>
      </c>
      <c r="L11" s="19">
        <f>(E12+E13+E14+E15+E16+E17+E18+E19+E20+E21+E22)/E29</f>
        <v>47533.855280898868</v>
      </c>
      <c r="M11" s="8">
        <f>M28</f>
        <v>6</v>
      </c>
      <c r="N11" s="18">
        <f>L11*M11</f>
        <v>285203.13168539322</v>
      </c>
      <c r="O11" s="15">
        <f t="shared" si="1"/>
        <v>18700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70987.974471910129</v>
      </c>
      <c r="H12" s="15"/>
      <c r="I12" s="16">
        <f t="shared" si="0"/>
        <v>7.4069013471475931E-2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77638.522247191009</v>
      </c>
      <c r="H13" s="15"/>
      <c r="I13" s="16">
        <f t="shared" si="0"/>
        <v>8.1008210094911007E-2</v>
      </c>
      <c r="K13" s="22" t="s">
        <v>21</v>
      </c>
      <c r="L13" s="23"/>
      <c r="M13" s="23"/>
      <c r="N13" s="24">
        <f>N8+N11</f>
        <v>958403.13168539316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2.5887640423319307E-2</v>
      </c>
      <c r="H14" s="15"/>
      <c r="I14" s="16">
        <f t="shared" si="0"/>
        <v>2.7011222696856981E-8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13902.756674157306</v>
      </c>
      <c r="H15" s="15"/>
      <c r="I15" s="16">
        <f t="shared" si="0"/>
        <v>1.4506167827006896E-2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1218.8764044943819</v>
      </c>
      <c r="H17" s="15"/>
      <c r="I17" s="16">
        <f t="shared" si="0"/>
        <v>1.2717784032601552E-3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35320.205662921348</v>
      </c>
      <c r="H18" s="15"/>
      <c r="I18" s="16">
        <f t="shared" si="0"/>
        <v>3.6853182648526238E-2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16810.287101123595</v>
      </c>
      <c r="H19" s="15"/>
      <c r="I19" s="16">
        <f t="shared" si="0"/>
        <v>1.7539891664963548E-2</v>
      </c>
      <c r="K19" t="s">
        <v>37</v>
      </c>
      <c r="L19" s="25">
        <v>63000</v>
      </c>
      <c r="M19">
        <v>1</v>
      </c>
      <c r="N19" s="25">
        <f t="shared" si="4"/>
        <v>63000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12.528539325842697</v>
      </c>
      <c r="H20" s="15"/>
      <c r="I20" s="16">
        <f t="shared" si="0"/>
        <v>1.3072306330855491E-5</v>
      </c>
      <c r="K20" t="s">
        <v>40</v>
      </c>
      <c r="L20" s="25">
        <v>78000</v>
      </c>
      <c r="M20">
        <v>2</v>
      </c>
      <c r="N20" s="25">
        <f t="shared" si="4"/>
        <v>156000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61145.520539325866</v>
      </c>
      <c r="H21" s="15"/>
      <c r="I21" s="16">
        <f t="shared" si="0"/>
        <v>6.3799374728459854E-2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8166.4341573033671</v>
      </c>
      <c r="H22" s="15"/>
      <c r="I22" s="16">
        <f t="shared" si="0"/>
        <v>8.5208759104765646E-3</v>
      </c>
      <c r="K22" t="s">
        <v>46</v>
      </c>
      <c r="L22" s="25">
        <v>97200</v>
      </c>
      <c r="M22">
        <v>0</v>
      </c>
      <c r="N22" s="25">
        <f t="shared" si="4"/>
        <v>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958403.1316853934</v>
      </c>
      <c r="H23" s="29"/>
      <c r="I23" s="30">
        <f>SUM(I8:I22)</f>
        <v>0.99999999999999989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159733.85528089892</v>
      </c>
    </row>
    <row r="24" spans="1:15" x14ac:dyDescent="0.2">
      <c r="K24" t="s">
        <v>50</v>
      </c>
      <c r="L24" s="25">
        <v>156000</v>
      </c>
      <c r="M24">
        <v>1</v>
      </c>
      <c r="N24" s="25">
        <f t="shared" si="4"/>
        <v>156000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5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1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6</v>
      </c>
      <c r="N28" s="25">
        <f>SUM(N16:N27)*1.2</f>
        <v>673200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6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6</v>
      </c>
      <c r="N34" s="37">
        <f>+L34*M34</f>
        <v>285203.13168539322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4"/>
  <sheetViews>
    <sheetView zoomScaleNormal="100" workbookViewId="0">
      <selection activeCell="T83" sqref="T83"/>
    </sheetView>
  </sheetViews>
  <sheetFormatPr defaultRowHeight="12.75" x14ac:dyDescent="0.2"/>
  <cols>
    <col min="2" max="2" width="24.85546875" customWidth="1"/>
    <col min="3" max="3" width="19.140625" hidden="1" customWidth="1"/>
    <col min="4" max="4" width="2.5703125" customWidth="1"/>
    <col min="5" max="5" width="13.85546875" hidden="1" customWidth="1"/>
    <col min="6" max="6" width="2.5703125" customWidth="1"/>
    <col min="7" max="7" width="13.5703125" customWidth="1"/>
    <col min="8" max="8" width="3.140625" hidden="1" customWidth="1"/>
    <col min="9" max="9" width="9.140625" hidden="1" customWidth="1"/>
    <col min="10" max="10" width="13" hidden="1" customWidth="1"/>
    <col min="11" max="11" width="14.85546875" hidden="1" customWidth="1"/>
    <col min="12" max="12" width="11.28515625" hidden="1" customWidth="1"/>
    <col min="13" max="13" width="9.140625" hidden="1" customWidth="1"/>
    <col min="14" max="14" width="14" hidden="1" customWidth="1"/>
    <col min="15" max="15" width="9.140625" hidden="1" customWidth="1"/>
    <col min="16" max="47" width="0" hidden="1" customWidth="1"/>
  </cols>
  <sheetData>
    <row r="1" spans="1:47" ht="18" x14ac:dyDescent="0.25">
      <c r="B1" s="125" t="str">
        <f>'[17]Team Report'!B1</f>
        <v>Enron North America</v>
      </c>
      <c r="C1" s="125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8" x14ac:dyDescent="0.25">
      <c r="B2" s="125" t="s">
        <v>193</v>
      </c>
      <c r="C2" s="125"/>
      <c r="D2" s="127"/>
      <c r="E2" s="127"/>
      <c r="F2" s="127"/>
      <c r="G2" s="127"/>
      <c r="H2" s="127"/>
      <c r="I2" s="12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8.75" thickBot="1" x14ac:dyDescent="0.3">
      <c r="B3" s="128" t="s">
        <v>1</v>
      </c>
      <c r="C3" s="128"/>
      <c r="D3" s="129"/>
      <c r="E3" s="129"/>
      <c r="F3" s="129"/>
      <c r="G3" s="129"/>
      <c r="H3" s="129"/>
      <c r="I3" s="1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K4" s="4"/>
      <c r="L4" s="5"/>
      <c r="M4" s="5"/>
      <c r="N4" s="6"/>
    </row>
    <row r="5" spans="1:47" x14ac:dyDescent="0.2">
      <c r="K5" s="7"/>
      <c r="L5" s="8" t="s">
        <v>2</v>
      </c>
      <c r="M5" s="8" t="s">
        <v>3</v>
      </c>
      <c r="N5" s="9" t="s">
        <v>4</v>
      </c>
    </row>
    <row r="6" spans="1:47" x14ac:dyDescent="0.2">
      <c r="C6" s="10">
        <v>37135</v>
      </c>
      <c r="E6" s="11">
        <v>2001</v>
      </c>
      <c r="F6" s="10"/>
      <c r="G6" s="11">
        <v>2002</v>
      </c>
      <c r="H6" s="10"/>
      <c r="I6" s="10" t="s">
        <v>5</v>
      </c>
      <c r="K6" s="7"/>
      <c r="L6" s="8"/>
      <c r="M6" s="8"/>
      <c r="N6" s="9"/>
      <c r="O6" s="11">
        <v>2002</v>
      </c>
    </row>
    <row r="7" spans="1:47" x14ac:dyDescent="0.2">
      <c r="C7" s="12" t="s">
        <v>6</v>
      </c>
      <c r="E7" s="12" t="s">
        <v>7</v>
      </c>
      <c r="F7" s="12"/>
      <c r="G7" s="12" t="s">
        <v>8</v>
      </c>
      <c r="H7" s="12"/>
      <c r="I7" s="12" t="s">
        <v>9</v>
      </c>
      <c r="K7" s="7"/>
      <c r="L7" s="8"/>
      <c r="M7" s="8"/>
      <c r="N7" s="9"/>
      <c r="O7" s="12" t="s">
        <v>8</v>
      </c>
    </row>
    <row r="8" spans="1:47" x14ac:dyDescent="0.2">
      <c r="A8" s="13" t="s">
        <v>10</v>
      </c>
      <c r="B8" s="14" t="s">
        <v>11</v>
      </c>
      <c r="C8" s="15">
        <f>'[18]Executive Orig'!C8+[18]Trading!C8+[18]Origination!C8+'[18]Mid Market'!C8+[18]Services!C8+[18]Fundamentals!C8</f>
        <v>4789958.9899999993</v>
      </c>
      <c r="E8" s="15">
        <f>(C8/9)*12</f>
        <v>6386611.9866666663</v>
      </c>
      <c r="F8" s="15"/>
      <c r="G8" s="15">
        <f>SUM(N16:N20,N23:N27)</f>
        <v>120000</v>
      </c>
      <c r="H8" s="15"/>
      <c r="I8" s="16">
        <f t="shared" ref="I8:I22" si="0">+G8/$G$23</f>
        <v>0.24873478675161834</v>
      </c>
      <c r="K8" s="7" t="s">
        <v>11</v>
      </c>
      <c r="L8" s="17">
        <v>0</v>
      </c>
      <c r="M8" s="8">
        <f>+M11</f>
        <v>3</v>
      </c>
      <c r="N8" s="18">
        <f>N28</f>
        <v>339840</v>
      </c>
      <c r="O8" s="15">
        <f>+G8/$G$29*$O$29</f>
        <v>40000</v>
      </c>
    </row>
    <row r="9" spans="1:47" hidden="1" x14ac:dyDescent="0.2">
      <c r="A9" s="13"/>
      <c r="B9" s="14" t="s">
        <v>12</v>
      </c>
      <c r="C9" s="15">
        <f>'[18]Executive Orig'!C9+[18]Trading!C9+[18]Origination!C9+'[18]Mid Market'!C9+[18]Services!C9+[18]Fundamentals!C9</f>
        <v>1464000</v>
      </c>
      <c r="E9" s="15">
        <f>+C9</f>
        <v>1464000</v>
      </c>
      <c r="F9" s="15"/>
      <c r="G9" s="15"/>
      <c r="H9" s="15"/>
      <c r="I9" s="16">
        <f t="shared" si="0"/>
        <v>0</v>
      </c>
      <c r="K9" s="7"/>
      <c r="L9" s="8"/>
      <c r="M9" s="8"/>
      <c r="N9" s="9"/>
      <c r="O9" s="15">
        <f t="shared" ref="O9:O22" si="1">+G9/$G$29*$O$29</f>
        <v>0</v>
      </c>
    </row>
    <row r="10" spans="1:47" x14ac:dyDescent="0.2">
      <c r="B10" s="14" t="s">
        <v>13</v>
      </c>
      <c r="C10" s="15">
        <f>'[18]Executive Orig'!C10+[18]Trading!C10+[18]Origination!C10+'[18]Mid Market'!C10+[18]Services!C10+[18]Fundamentals!C10</f>
        <v>804567</v>
      </c>
      <c r="E10" s="15">
        <f>(C10/9)*12</f>
        <v>1072756</v>
      </c>
      <c r="F10" s="15"/>
      <c r="G10" s="15">
        <f>+N21+N22</f>
        <v>163200</v>
      </c>
      <c r="H10" s="15"/>
      <c r="I10" s="16">
        <f t="shared" si="0"/>
        <v>0.33827930998220096</v>
      </c>
      <c r="K10" s="7"/>
      <c r="L10" s="8"/>
      <c r="M10" s="8"/>
      <c r="N10" s="9"/>
      <c r="O10" s="15">
        <f t="shared" si="1"/>
        <v>54400</v>
      </c>
    </row>
    <row r="11" spans="1:47" x14ac:dyDescent="0.2">
      <c r="A11" s="13" t="s">
        <v>14</v>
      </c>
      <c r="B11" s="14" t="s">
        <v>15</v>
      </c>
      <c r="C11" s="15">
        <f>'[18]Executive Orig'!C11+[18]Trading!C11+[18]Origination!C11+'[18]Mid Market'!C11+[18]Services!C11+[18]Fundamentals!C11</f>
        <v>1096068.21</v>
      </c>
      <c r="E11" s="15">
        <f>(C11/9)*12</f>
        <v>1461424.2799999998</v>
      </c>
      <c r="F11" s="15"/>
      <c r="G11" s="15">
        <f>+G8*0.2+(N21+N22)*0.2</f>
        <v>56640</v>
      </c>
      <c r="H11" s="15"/>
      <c r="I11" s="16">
        <f t="shared" si="0"/>
        <v>0.11740281934676386</v>
      </c>
      <c r="K11" s="7" t="s">
        <v>16</v>
      </c>
      <c r="L11" s="19">
        <f>(E12+E13+E14+E15+E16+E17+E18+E19+E20+E21+E22)/E29</f>
        <v>47533.855280898868</v>
      </c>
      <c r="M11" s="8">
        <f>M28</f>
        <v>3</v>
      </c>
      <c r="N11" s="18">
        <f>L11*M11</f>
        <v>142601.56584269661</v>
      </c>
      <c r="O11" s="15">
        <f t="shared" si="1"/>
        <v>18880</v>
      </c>
    </row>
    <row r="12" spans="1:47" x14ac:dyDescent="0.2">
      <c r="A12" s="13" t="s">
        <v>17</v>
      </c>
      <c r="B12" s="14" t="s">
        <v>18</v>
      </c>
      <c r="C12" s="15">
        <f>'[18]Executive Orig'!C12+[18]Trading!C12+[18]Origination!C12+'[18]Mid Market'!C12+[18]Services!C12+[18]Fundamentals!C12</f>
        <v>658117.68000000005</v>
      </c>
      <c r="E12" s="20">
        <f t="shared" ref="E12:E22" si="2">((C12/9)*12)*1.2</f>
        <v>1052988.2880000002</v>
      </c>
      <c r="F12" s="15"/>
      <c r="G12" s="21">
        <f t="shared" ref="G12:G22" si="3">+E12/$E$29*$M$11</f>
        <v>35493.987235955065</v>
      </c>
      <c r="H12" s="15"/>
      <c r="I12" s="16">
        <f t="shared" si="0"/>
        <v>7.3571577884166212E-2</v>
      </c>
      <c r="K12" s="7"/>
      <c r="L12" s="8"/>
      <c r="M12" s="8"/>
      <c r="N12" s="9"/>
      <c r="O12" s="15">
        <f t="shared" si="1"/>
        <v>11831.329078651688</v>
      </c>
    </row>
    <row r="13" spans="1:47" ht="13.5" thickBot="1" x14ac:dyDescent="0.25">
      <c r="A13" s="13" t="s">
        <v>19</v>
      </c>
      <c r="B13" s="14" t="s">
        <v>20</v>
      </c>
      <c r="C13" s="15">
        <f>'[18]Executive Orig'!C13+[18]Trading!C13+[18]Origination!C13+'[18]Mid Market'!C13+[18]Services!C13+[18]Fundamentals!C13</f>
        <v>719773.79999999993</v>
      </c>
      <c r="E13" s="20">
        <f t="shared" si="2"/>
        <v>1151638.0799999998</v>
      </c>
      <c r="F13" s="15"/>
      <c r="G13" s="21">
        <f t="shared" si="3"/>
        <v>38819.261123595505</v>
      </c>
      <c r="H13" s="15"/>
      <c r="I13" s="16">
        <f t="shared" si="0"/>
        <v>8.0464171978607626E-2</v>
      </c>
      <c r="K13" s="22" t="s">
        <v>21</v>
      </c>
      <c r="L13" s="23"/>
      <c r="M13" s="23"/>
      <c r="N13" s="24">
        <f>N8+N11</f>
        <v>482441.56584269658</v>
      </c>
      <c r="O13" s="15">
        <f t="shared" si="1"/>
        <v>12939.753707865168</v>
      </c>
    </row>
    <row r="14" spans="1:47" x14ac:dyDescent="0.2">
      <c r="A14" s="13" t="s">
        <v>22</v>
      </c>
      <c r="B14" s="14" t="s">
        <v>23</v>
      </c>
      <c r="C14" s="15">
        <f>'[18]Executive Orig'!C14+[18]Trading!C14+[18]Origination!C14+'[18]Mid Market'!C14+[18]Services!C14+[18]Fundamentals!C14-C32</f>
        <v>0.23999999975785613</v>
      </c>
      <c r="E14" s="20">
        <f t="shared" si="2"/>
        <v>0.38399999961256975</v>
      </c>
      <c r="F14" s="15"/>
      <c r="G14" s="21">
        <f t="shared" si="3"/>
        <v>1.2943820211659653E-2</v>
      </c>
      <c r="H14" s="15"/>
      <c r="I14" s="16">
        <f t="shared" si="0"/>
        <v>2.6829819667487093E-8</v>
      </c>
      <c r="O14" s="15">
        <f t="shared" si="1"/>
        <v>4.3146067372198844E-3</v>
      </c>
    </row>
    <row r="15" spans="1:47" x14ac:dyDescent="0.2">
      <c r="A15" s="13" t="s">
        <v>24</v>
      </c>
      <c r="B15" s="14" t="s">
        <v>25</v>
      </c>
      <c r="C15" s="15">
        <f>'[18]Executive Orig'!C15+[18]Trading!C15+[18]Origination!C15+'[18]Mid Market'!C15+[18]Services!C15+[18]Fundamentals!C15</f>
        <v>128890.14</v>
      </c>
      <c r="E15" s="20">
        <f t="shared" si="2"/>
        <v>206224.22400000002</v>
      </c>
      <c r="F15" s="15"/>
      <c r="G15" s="21">
        <f t="shared" si="3"/>
        <v>6951.3783370786532</v>
      </c>
      <c r="H15" s="15"/>
      <c r="I15" s="16">
        <f t="shared" si="0"/>
        <v>1.4408746735858985E-2</v>
      </c>
      <c r="O15" s="15">
        <f t="shared" si="1"/>
        <v>2317.1261123595509</v>
      </c>
    </row>
    <row r="16" spans="1:47" x14ac:dyDescent="0.2">
      <c r="A16" s="13" t="s">
        <v>26</v>
      </c>
      <c r="B16" s="14" t="s">
        <v>27</v>
      </c>
      <c r="C16" s="15">
        <f>'[18]Executive Orig'!C16+[18]Trading!C16+[18]Origination!C16+'[18]Mid Market'!C16+[18]Services!C16+[18]Fundamentals!C16</f>
        <v>0</v>
      </c>
      <c r="E16" s="20">
        <f t="shared" si="2"/>
        <v>0</v>
      </c>
      <c r="F16" s="15"/>
      <c r="G16" s="21">
        <f t="shared" si="3"/>
        <v>0</v>
      </c>
      <c r="H16" s="15"/>
      <c r="I16" s="16">
        <f t="shared" si="0"/>
        <v>0</v>
      </c>
      <c r="K16" t="s">
        <v>28</v>
      </c>
      <c r="L16" s="25">
        <v>33600</v>
      </c>
      <c r="M16">
        <v>0</v>
      </c>
      <c r="N16" s="25">
        <f t="shared" ref="N16:N27" si="4">L16*M16</f>
        <v>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'[18]Executive Orig'!C17+[18]Trading!C17+[18]Origination!C17+'[18]Mid Market'!C17+[18]Services!C17+[18]Fundamentals!C17</f>
        <v>11300</v>
      </c>
      <c r="E17" s="20">
        <f t="shared" si="2"/>
        <v>18080</v>
      </c>
      <c r="F17" s="15"/>
      <c r="G17" s="21">
        <f t="shared" si="3"/>
        <v>609.43820224719093</v>
      </c>
      <c r="H17" s="15"/>
      <c r="I17" s="16">
        <f t="shared" si="0"/>
        <v>1.2632373439520391E-3</v>
      </c>
      <c r="K17" t="s">
        <v>31</v>
      </c>
      <c r="L17" s="25">
        <v>52800</v>
      </c>
      <c r="M17">
        <v>0</v>
      </c>
      <c r="N17" s="25">
        <f t="shared" si="4"/>
        <v>0</v>
      </c>
      <c r="O17" s="15">
        <f t="shared" si="1"/>
        <v>203.1460674157303</v>
      </c>
    </row>
    <row r="18" spans="1:15" x14ac:dyDescent="0.2">
      <c r="A18" s="13" t="s">
        <v>32</v>
      </c>
      <c r="B18" s="14" t="s">
        <v>33</v>
      </c>
      <c r="C18" s="15">
        <f>'[18]Executive Orig'!C18+[18]Trading!C18+[18]Origination!C18+'[18]Mid Market'!C18+[18]Services!C18+[18]Fundamentals!C18</f>
        <v>327447.74000000005</v>
      </c>
      <c r="E18" s="20">
        <f t="shared" si="2"/>
        <v>523916.38400000002</v>
      </c>
      <c r="F18" s="15"/>
      <c r="G18" s="21">
        <f t="shared" si="3"/>
        <v>17660.102831460674</v>
      </c>
      <c r="H18" s="15"/>
      <c r="I18" s="16">
        <f t="shared" si="0"/>
        <v>3.6605682598291847E-2</v>
      </c>
      <c r="K18" t="s">
        <v>34</v>
      </c>
      <c r="L18" s="25">
        <v>54000</v>
      </c>
      <c r="M18">
        <v>0</v>
      </c>
      <c r="N18" s="25">
        <f t="shared" si="4"/>
        <v>0</v>
      </c>
      <c r="O18" s="15">
        <f t="shared" si="1"/>
        <v>5886.7009438202249</v>
      </c>
    </row>
    <row r="19" spans="1:15" x14ac:dyDescent="0.2">
      <c r="A19" s="13" t="s">
        <v>35</v>
      </c>
      <c r="B19" s="14" t="s">
        <v>36</v>
      </c>
      <c r="C19" s="15">
        <f>'[18]Executive Orig'!C19+[18]Trading!C19+[18]Origination!C19+'[18]Mid Market'!C19+[18]Services!C19+[18]Fundamentals!C19</f>
        <v>155845.37</v>
      </c>
      <c r="E19" s="20">
        <f t="shared" si="2"/>
        <v>249352.59199999998</v>
      </c>
      <c r="F19" s="15"/>
      <c r="G19" s="21">
        <f t="shared" si="3"/>
        <v>8405.1435505617974</v>
      </c>
      <c r="H19" s="15"/>
      <c r="I19" s="16">
        <f t="shared" si="0"/>
        <v>1.7422096572214406E-2</v>
      </c>
      <c r="K19" t="s">
        <v>37</v>
      </c>
      <c r="L19" s="25">
        <v>63000</v>
      </c>
      <c r="M19">
        <v>0</v>
      </c>
      <c r="N19" s="25">
        <f t="shared" si="4"/>
        <v>0</v>
      </c>
      <c r="O19" s="15">
        <f t="shared" si="1"/>
        <v>2801.7145168539323</v>
      </c>
    </row>
    <row r="20" spans="1:15" x14ac:dyDescent="0.2">
      <c r="A20" s="13" t="s">
        <v>38</v>
      </c>
      <c r="B20" s="14" t="s">
        <v>39</v>
      </c>
      <c r="C20" s="15">
        <f>'[18]Executive Orig'!C20+[18]Trading!C20+[18]Origination!C20+'[18]Mid Market'!C20+[18]Services!C20+[18]Fundamentals!C20</f>
        <v>116.15</v>
      </c>
      <c r="E20" s="20">
        <f t="shared" si="2"/>
        <v>185.84</v>
      </c>
      <c r="F20" s="15"/>
      <c r="G20" s="21">
        <f t="shared" si="3"/>
        <v>6.2642696629213486</v>
      </c>
      <c r="H20" s="15"/>
      <c r="I20" s="16">
        <f t="shared" si="0"/>
        <v>1.2984514823011448E-5</v>
      </c>
      <c r="K20" t="s">
        <v>40</v>
      </c>
      <c r="L20" s="25">
        <v>78000</v>
      </c>
      <c r="M20">
        <f>2-2</f>
        <v>0</v>
      </c>
      <c r="N20" s="25">
        <f t="shared" si="4"/>
        <v>0</v>
      </c>
      <c r="O20" s="15">
        <f t="shared" si="1"/>
        <v>2.0880898876404497</v>
      </c>
    </row>
    <row r="21" spans="1:15" x14ac:dyDescent="0.2">
      <c r="A21" s="13" t="s">
        <v>41</v>
      </c>
      <c r="B21" s="14" t="s">
        <v>42</v>
      </c>
      <c r="C21" s="15">
        <f>'[18]Executive Orig'!C21+[18]Trading!C21+[18]Origination!C21+'[18]Mid Market'!C21+[18]Services!C21+[18]Fundamentals!C21</f>
        <v>566869.93000000017</v>
      </c>
      <c r="E21" s="20">
        <f t="shared" si="2"/>
        <v>906991.88800000027</v>
      </c>
      <c r="F21" s="15"/>
      <c r="G21" s="21">
        <f t="shared" si="3"/>
        <v>30572.760269662933</v>
      </c>
      <c r="H21" s="15"/>
      <c r="I21" s="16">
        <f t="shared" si="0"/>
        <v>6.3370908384024663E-2</v>
      </c>
      <c r="K21" t="s">
        <v>43</v>
      </c>
      <c r="L21" s="25">
        <v>66000</v>
      </c>
      <c r="M21">
        <v>1</v>
      </c>
      <c r="N21" s="25">
        <f t="shared" si="4"/>
        <v>66000</v>
      </c>
      <c r="O21" s="15">
        <f t="shared" si="1"/>
        <v>10190.920089887644</v>
      </c>
    </row>
    <row r="22" spans="1:15" x14ac:dyDescent="0.2">
      <c r="A22" s="13" t="s">
        <v>44</v>
      </c>
      <c r="B22" s="14" t="s">
        <v>45</v>
      </c>
      <c r="C22" s="15">
        <f>'[18]Executive Orig'!C22+[18]Trading!C22+[18]Origination!C22+'[18]Mid Market'!C22+[18]Services!C22+[18]Fundamentals!C22</f>
        <v>75709.649999999965</v>
      </c>
      <c r="E22" s="20">
        <f t="shared" si="2"/>
        <v>121135.43999999994</v>
      </c>
      <c r="F22" s="15"/>
      <c r="G22" s="21">
        <f t="shared" si="3"/>
        <v>4083.2170786516836</v>
      </c>
      <c r="H22" s="15"/>
      <c r="I22" s="16">
        <f t="shared" si="0"/>
        <v>8.4636510776582713E-3</v>
      </c>
      <c r="K22" t="s">
        <v>46</v>
      </c>
      <c r="L22" s="25">
        <v>97200</v>
      </c>
      <c r="M22">
        <v>1</v>
      </c>
      <c r="N22" s="25">
        <f t="shared" si="4"/>
        <v>97200</v>
      </c>
      <c r="O22" s="15">
        <f t="shared" si="1"/>
        <v>1361.0723595505613</v>
      </c>
    </row>
    <row r="23" spans="1:15" x14ac:dyDescent="0.2">
      <c r="A23" s="26" t="s">
        <v>47</v>
      </c>
      <c r="B23" s="27" t="s">
        <v>48</v>
      </c>
      <c r="C23" s="28">
        <f>SUM(C8:C22)</f>
        <v>10798664.9</v>
      </c>
      <c r="E23" s="28">
        <f>SUM(E8:E22)</f>
        <v>14615305.386666665</v>
      </c>
      <c r="F23" s="29"/>
      <c r="G23" s="28">
        <f>SUM(G8:G22)</f>
        <v>482441.5658426967</v>
      </c>
      <c r="H23" s="29"/>
      <c r="I23" s="30">
        <f>SUM(I8:I22)</f>
        <v>1.0000000000000002</v>
      </c>
      <c r="K23" t="s">
        <v>49</v>
      </c>
      <c r="L23" s="25">
        <v>120000</v>
      </c>
      <c r="M23">
        <v>1</v>
      </c>
      <c r="N23" s="25">
        <f t="shared" si="4"/>
        <v>120000</v>
      </c>
      <c r="O23" s="28">
        <f>SUM(O8:O22)</f>
        <v>160813.85528089892</v>
      </c>
    </row>
    <row r="24" spans="1:15" x14ac:dyDescent="0.2">
      <c r="K24" t="s">
        <v>50</v>
      </c>
      <c r="L24" s="25">
        <v>156000</v>
      </c>
      <c r="M24">
        <f>1-1</f>
        <v>0</v>
      </c>
      <c r="N24" s="25">
        <f t="shared" si="4"/>
        <v>0</v>
      </c>
    </row>
    <row r="25" spans="1:15" x14ac:dyDescent="0.2">
      <c r="B25" s="27" t="s">
        <v>51</v>
      </c>
      <c r="C25" s="15"/>
      <c r="E25" s="31">
        <f>'[18]Executive Orig'!E25+[18]Trading!E25+[18]Origination!E25+'[18]Mid Market'!E25+[18]Services!E25+[18]Fundamentals!E25</f>
        <v>74</v>
      </c>
      <c r="F25" s="32"/>
      <c r="G25" s="31">
        <f>SUM(M16:M20,M23:M27)</f>
        <v>1</v>
      </c>
      <c r="H25" s="32"/>
      <c r="K25" t="s">
        <v>52</v>
      </c>
      <c r="L25" s="25">
        <v>180000</v>
      </c>
      <c r="M25">
        <v>0</v>
      </c>
      <c r="N25" s="25">
        <f t="shared" si="4"/>
        <v>0</v>
      </c>
      <c r="O25" s="31">
        <v>1</v>
      </c>
    </row>
    <row r="26" spans="1:15" x14ac:dyDescent="0.2">
      <c r="C26" s="15"/>
      <c r="E26" s="15"/>
      <c r="F26" s="15"/>
      <c r="G26" s="15"/>
      <c r="H26" s="15"/>
      <c r="K26" t="s">
        <v>53</v>
      </c>
      <c r="L26" s="25">
        <v>216000</v>
      </c>
      <c r="M26">
        <v>0</v>
      </c>
      <c r="N26" s="25">
        <f t="shared" si="4"/>
        <v>0</v>
      </c>
      <c r="O26" s="15"/>
    </row>
    <row r="27" spans="1:15" x14ac:dyDescent="0.2">
      <c r="B27" s="27" t="s">
        <v>54</v>
      </c>
      <c r="C27" s="15"/>
      <c r="E27" s="31">
        <f>'[18]Executive Orig'!E27+[18]Trading!E27+[18]Origination!E27+'[18]Mid Market'!E27+[18]Services!E27+[18]Fundamentals!E27</f>
        <v>15</v>
      </c>
      <c r="F27" s="32"/>
      <c r="G27" s="31">
        <f>+M21+M22</f>
        <v>2</v>
      </c>
      <c r="H27" s="32"/>
      <c r="K27" t="s">
        <v>55</v>
      </c>
      <c r="L27" s="25">
        <v>240000</v>
      </c>
      <c r="M27">
        <v>0</v>
      </c>
      <c r="N27" s="25">
        <f t="shared" si="4"/>
        <v>0</v>
      </c>
      <c r="O27" s="31">
        <f>+U21+U22</f>
        <v>0</v>
      </c>
    </row>
    <row r="28" spans="1:15" x14ac:dyDescent="0.2">
      <c r="M28">
        <f>SUM(M16:M27)</f>
        <v>3</v>
      </c>
      <c r="N28" s="25">
        <f>SUM(N16:N27)*1.2</f>
        <v>339840</v>
      </c>
    </row>
    <row r="29" spans="1:15" x14ac:dyDescent="0.2">
      <c r="B29" s="27" t="s">
        <v>56</v>
      </c>
      <c r="C29" s="15"/>
      <c r="E29" s="31">
        <f>+E27+E25</f>
        <v>89</v>
      </c>
      <c r="F29" s="32"/>
      <c r="G29" s="31">
        <f>+G27+G25</f>
        <v>3</v>
      </c>
      <c r="H29" s="32"/>
      <c r="I29" s="25"/>
      <c r="O29" s="31">
        <f>+O27+O25</f>
        <v>1</v>
      </c>
    </row>
    <row r="31" spans="1:15" x14ac:dyDescent="0.2">
      <c r="J31" s="33" t="s">
        <v>57</v>
      </c>
      <c r="K31" s="25"/>
      <c r="L31" s="25"/>
      <c r="M31" s="25"/>
    </row>
    <row r="32" spans="1:15" hidden="1" x14ac:dyDescent="0.2">
      <c r="B32" s="14" t="s">
        <v>23</v>
      </c>
      <c r="C32" s="15">
        <v>677322</v>
      </c>
      <c r="K32" s="25"/>
      <c r="L32" s="25"/>
      <c r="M32" s="25"/>
    </row>
    <row r="33" spans="10:14" x14ac:dyDescent="0.2">
      <c r="J33" s="34" t="s">
        <v>58</v>
      </c>
      <c r="K33" s="35" t="s">
        <v>59</v>
      </c>
      <c r="L33" s="35" t="s">
        <v>60</v>
      </c>
      <c r="M33" s="35" t="s">
        <v>3</v>
      </c>
      <c r="N33" s="35" t="s">
        <v>61</v>
      </c>
    </row>
    <row r="34" spans="10:14" x14ac:dyDescent="0.2">
      <c r="J34" s="36">
        <f>SUM(E12:E22)</f>
        <v>4230513.1199999992</v>
      </c>
      <c r="K34" s="37">
        <f>+E29</f>
        <v>89</v>
      </c>
      <c r="L34" s="37">
        <f>+J34/K34</f>
        <v>47533.855280898868</v>
      </c>
      <c r="M34" s="37">
        <f>+M11</f>
        <v>3</v>
      </c>
      <c r="N34" s="37">
        <f>+L34*M34</f>
        <v>142601.56584269661</v>
      </c>
    </row>
  </sheetData>
  <mergeCells count="3">
    <mergeCell ref="B1:I1"/>
    <mergeCell ref="B2:I2"/>
    <mergeCell ref="B3:I3"/>
  </mergeCells>
  <phoneticPr fontId="0" type="noConversion"/>
  <pageMargins left="2.27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285156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43" width="0" hidden="1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191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 t="s">
        <v>65</v>
      </c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 t="s">
        <v>8</v>
      </c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475200</v>
      </c>
      <c r="I8" s="42" t="s">
        <v>11</v>
      </c>
      <c r="J8" s="17">
        <v>0</v>
      </c>
      <c r="K8" s="17"/>
      <c r="L8" s="43">
        <f>L30</f>
        <v>570240</v>
      </c>
      <c r="Q8" s="15">
        <f>+H8/$H$29*$Q$29</f>
        <v>158400</v>
      </c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>
        <f t="shared" ref="Q9:Q22" si="1">+H9/$H$29*$Q$29</f>
        <v>0</v>
      </c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>
        <f t="shared" si="1"/>
        <v>0</v>
      </c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95040</v>
      </c>
      <c r="I11" s="42" t="s">
        <v>16</v>
      </c>
      <c r="J11" s="17">
        <f>(E12+E13+E14+E15+E16+E17+E18+E19+E20+E21+E22)/E29</f>
        <v>48270.181250000009</v>
      </c>
      <c r="K11" s="17">
        <f>K28</f>
        <v>3</v>
      </c>
      <c r="L11" s="43">
        <f>J11*K11</f>
        <v>144810.54375000001</v>
      </c>
      <c r="Q11" s="15">
        <f t="shared" si="1"/>
        <v>31680</v>
      </c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2">(E12/$E$29)*$K$11</f>
        <v>18487.421249999992</v>
      </c>
      <c r="I12" s="42"/>
      <c r="J12" s="17"/>
      <c r="K12" s="17"/>
      <c r="L12" s="43"/>
      <c r="Q12" s="15">
        <f t="shared" si="1"/>
        <v>6162.4737499999974</v>
      </c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2"/>
        <v>16454.870750000002</v>
      </c>
      <c r="I13" s="46" t="s">
        <v>21</v>
      </c>
      <c r="J13" s="47"/>
      <c r="K13" s="47"/>
      <c r="L13" s="48">
        <f>L8+L11</f>
        <v>715050.54374999995</v>
      </c>
      <c r="N13" s="25">
        <v>24109311.029375006</v>
      </c>
      <c r="P13" s="49">
        <f>N13-L13</f>
        <v>23394260.485625006</v>
      </c>
      <c r="Q13" s="15">
        <f t="shared" si="1"/>
        <v>5484.956916666667</v>
      </c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2"/>
        <v>6.0000000004947641E-3</v>
      </c>
      <c r="Q14" s="15">
        <f t="shared" si="1"/>
        <v>2.0000000001649215E-3</v>
      </c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2"/>
        <v>2614.0749999999998</v>
      </c>
      <c r="Q15" s="15">
        <f t="shared" si="1"/>
        <v>871.35833333333323</v>
      </c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2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3">J16*K16</f>
        <v>0</v>
      </c>
      <c r="Q16" s="15">
        <f t="shared" si="1"/>
        <v>0</v>
      </c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2"/>
        <v>147.5</v>
      </c>
      <c r="I17" s="25" t="s">
        <v>31</v>
      </c>
      <c r="J17" s="25">
        <v>48400</v>
      </c>
      <c r="K17" s="25">
        <v>0</v>
      </c>
      <c r="L17" s="25">
        <f t="shared" si="3"/>
        <v>0</v>
      </c>
      <c r="Q17" s="15">
        <f t="shared" si="1"/>
        <v>49.166666666666664</v>
      </c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2"/>
        <v>2678.8730000000005</v>
      </c>
      <c r="I18" s="25" t="s">
        <v>34</v>
      </c>
      <c r="J18" s="25">
        <v>49500</v>
      </c>
      <c r="K18" s="25">
        <v>0</v>
      </c>
      <c r="L18" s="25">
        <f t="shared" si="3"/>
        <v>0</v>
      </c>
      <c r="Q18" s="15">
        <f t="shared" si="1"/>
        <v>892.9576666666668</v>
      </c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2"/>
        <v>2730.2579999999998</v>
      </c>
      <c r="I19" s="25" t="s">
        <v>37</v>
      </c>
      <c r="J19" s="25">
        <v>57750</v>
      </c>
      <c r="K19" s="25">
        <v>0</v>
      </c>
      <c r="L19" s="25">
        <f t="shared" si="3"/>
        <v>0</v>
      </c>
      <c r="Q19" s="15">
        <f t="shared" si="1"/>
        <v>910.0859999999999</v>
      </c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2"/>
        <v>0.4</v>
      </c>
      <c r="I20" s="25" t="s">
        <v>40</v>
      </c>
      <c r="J20" s="25">
        <v>71500</v>
      </c>
      <c r="K20" s="25">
        <v>0</v>
      </c>
      <c r="L20" s="25">
        <f t="shared" si="3"/>
        <v>0</v>
      </c>
      <c r="Q20" s="15">
        <f t="shared" si="1"/>
        <v>0.13333333333333333</v>
      </c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2"/>
        <v>3394.7227499999972</v>
      </c>
      <c r="I21" s="25" t="s">
        <v>43</v>
      </c>
      <c r="J21" s="25">
        <v>60500</v>
      </c>
      <c r="K21" s="25">
        <f>6-5-1</f>
        <v>0</v>
      </c>
      <c r="L21" s="25">
        <f t="shared" si="3"/>
        <v>0</v>
      </c>
      <c r="Q21" s="15">
        <f t="shared" si="1"/>
        <v>1131.574249999999</v>
      </c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(E22/$E$29)*$K$11-98302</f>
        <v>0.41700000004493631</v>
      </c>
      <c r="I22" s="25" t="s">
        <v>46</v>
      </c>
      <c r="J22" s="25">
        <v>89100</v>
      </c>
      <c r="K22" s="25">
        <v>0</v>
      </c>
      <c r="L22" s="25">
        <f t="shared" si="3"/>
        <v>0</v>
      </c>
      <c r="Q22" s="15">
        <f t="shared" si="1"/>
        <v>0.13900000001497878</v>
      </c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616748.54375000007</v>
      </c>
      <c r="I23" s="25" t="s">
        <v>49</v>
      </c>
      <c r="J23" s="25">
        <v>110000</v>
      </c>
      <c r="K23" s="25">
        <v>1</v>
      </c>
      <c r="L23" s="25">
        <f t="shared" si="3"/>
        <v>110000</v>
      </c>
      <c r="Q23" s="28">
        <f>SUM(Q8:Q22)</f>
        <v>205582.84791666671</v>
      </c>
    </row>
    <row r="24" spans="1:17" x14ac:dyDescent="0.2">
      <c r="I24" s="25" t="s">
        <v>50</v>
      </c>
      <c r="J24" s="25">
        <v>143000</v>
      </c>
      <c r="K24" s="25">
        <v>2</v>
      </c>
      <c r="L24" s="25">
        <f t="shared" si="3"/>
        <v>286000</v>
      </c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3</v>
      </c>
      <c r="I25" s="25" t="s">
        <v>52</v>
      </c>
      <c r="J25" s="25">
        <v>165000</v>
      </c>
      <c r="K25" s="25">
        <v>0</v>
      </c>
      <c r="L25" s="25">
        <f t="shared" si="3"/>
        <v>0</v>
      </c>
      <c r="Q25" s="31">
        <v>1</v>
      </c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3"/>
        <v>0</v>
      </c>
      <c r="Q26" s="15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3"/>
        <v>0</v>
      </c>
      <c r="Q27" s="31">
        <f>+T21+T22</f>
        <v>0</v>
      </c>
    </row>
    <row r="28" spans="1:17" x14ac:dyDescent="0.2">
      <c r="K28" s="25">
        <f>SUM(K16:K27)</f>
        <v>3</v>
      </c>
      <c r="L28" s="25">
        <f>SUM(L16:L27)*1.2</f>
        <v>475200</v>
      </c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3</v>
      </c>
      <c r="L29" s="52">
        <v>0.2</v>
      </c>
      <c r="Q29" s="31">
        <f>SUM(Q25:Q27)</f>
        <v>1</v>
      </c>
    </row>
    <row r="30" spans="1:17" hidden="1" x14ac:dyDescent="0.2">
      <c r="L30" s="25">
        <f>L28*1.2</f>
        <v>570240</v>
      </c>
    </row>
    <row r="31" spans="1:17" hidden="1" x14ac:dyDescent="0.2">
      <c r="H31" s="33" t="s">
        <v>57</v>
      </c>
      <c r="L31"/>
    </row>
    <row r="32" spans="1:17" hidden="1" x14ac:dyDescent="0.2">
      <c r="B32" s="14" t="s">
        <v>23</v>
      </c>
      <c r="C32" s="15">
        <v>254512</v>
      </c>
      <c r="L32"/>
    </row>
    <row r="33" spans="8:12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</row>
    <row r="34" spans="8:12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</row>
    <row r="35" spans="8:12" hidden="1" x14ac:dyDescent="0.2"/>
    <row r="36" spans="8:12" hidden="1" x14ac:dyDescent="0.2"/>
    <row r="37" spans="8:12" hidden="1" x14ac:dyDescent="0.2"/>
    <row r="38" spans="8:12" hidden="1" x14ac:dyDescent="0.2"/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71" bottom="1" header="0.22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4"/>
  <sheetViews>
    <sheetView topLeftCell="A7" zoomScaleNormal="100" workbookViewId="0">
      <selection activeCell="B7" sqref="B7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0" hidden="1" customWidth="1"/>
    <col min="13" max="13" width="14" hidden="1" customWidth="1"/>
    <col min="14" max="14" width="10.85546875" bestFit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195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N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N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432000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676800</v>
      </c>
      <c r="N8" s="15">
        <f>+F8/$F$29*$N$29</f>
        <v>72000</v>
      </c>
    </row>
    <row r="9" spans="1:45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N9" s="15">
        <f t="shared" ref="N9:N22" si="1">+F9/$F$29*$N$29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132000</v>
      </c>
      <c r="H10" s="16">
        <f t="shared" si="0"/>
        <v>0.17365740666634583</v>
      </c>
      <c r="J10" s="7"/>
      <c r="K10" s="8"/>
      <c r="L10" s="8"/>
      <c r="M10" s="9"/>
      <c r="N10" s="15">
        <f t="shared" si="1"/>
        <v>22000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112800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</v>
      </c>
      <c r="M11" s="18">
        <f>K11*L11</f>
        <v>190057.09140425528</v>
      </c>
      <c r="N11" s="15">
        <f t="shared" si="1"/>
        <v>18800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37886.447659574464</v>
      </c>
      <c r="H12" s="16">
        <f t="shared" si="0"/>
        <v>4.3716893481034705E-2</v>
      </c>
      <c r="J12" s="7"/>
      <c r="K12" s="8"/>
      <c r="L12" s="8"/>
      <c r="M12" s="9"/>
      <c r="N12" s="15">
        <f t="shared" si="1"/>
        <v>6314.4079432624103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69063.176851063836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866857.09140425525</v>
      </c>
      <c r="N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2.5872340433775107E-2</v>
      </c>
      <c r="H14" s="16">
        <f t="shared" si="0"/>
        <v>2.9853903459396468E-8</v>
      </c>
      <c r="N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6347.3790638297869</v>
      </c>
      <c r="H15" s="16">
        <f t="shared" si="0"/>
        <v>7.3241940471838168E-3</v>
      </c>
      <c r="K15" s="25"/>
      <c r="N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f>'[20]Ercot Trading'!K16+'[20]Ercot Origination'!K16+'[20]Southeast Trading'!K16+'[20]Southeast Origination'!K16+'[20]Midwest Trading'!K16+'[20]Midwest Origination'!K16+'[20]Northeast Trading'!K16+'[20]Northeast Origination'!K16+'[20]Management Book'!K16+[20]Structuring_Fund!K16+[20]Services!K16+[20]Options!K16</f>
        <v>0</v>
      </c>
      <c r="M16" s="25">
        <f t="shared" ref="M16:M27" si="4">K16*L16</f>
        <v>0</v>
      </c>
      <c r="N16" s="15">
        <f t="shared" si="1"/>
        <v>0</v>
      </c>
    </row>
    <row r="17" spans="1:14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360.85106382978722</v>
      </c>
      <c r="H17" s="16">
        <f t="shared" si="0"/>
        <v>4.1638339022207621E-4</v>
      </c>
      <c r="J17" t="s">
        <v>31</v>
      </c>
      <c r="K17" s="25">
        <v>52800</v>
      </c>
      <c r="L17">
        <f>'[20]Ercot Trading'!K17+'[20]Ercot Origination'!K17+'[20]Southeast Trading'!K17+'[20]Southeast Origination'!K17+'[20]Midwest Trading'!K17+'[20]Midwest Origination'!K17+'[20]Northeast Trading'!K17+'[20]Northeast Origination'!K17+'[20]Management Book'!K17+[20]Structuring_Fund!K17+[20]Services!K17+[20]Options!K17</f>
        <v>0</v>
      </c>
      <c r="M17" s="25">
        <f t="shared" si="4"/>
        <v>0</v>
      </c>
      <c r="N17" s="15">
        <f t="shared" si="1"/>
        <v>60.141843971631204</v>
      </c>
    </row>
    <row r="18" spans="1:14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19.560170212765723</v>
      </c>
      <c r="H18" s="16">
        <f t="shared" si="0"/>
        <v>2.2570336637150724E-5</v>
      </c>
      <c r="J18" t="s">
        <v>34</v>
      </c>
      <c r="K18" s="25">
        <v>54000</v>
      </c>
      <c r="L18">
        <f>'[20]Ercot Trading'!K18+'[20]Ercot Origination'!K18+'[20]Southeast Trading'!K18+'[20]Southeast Origination'!K18+'[20]Midwest Trading'!K18+'[20]Midwest Origination'!K18+'[20]Northeast Trading'!K18+'[20]Northeast Origination'!K18+'[20]Management Book'!K18+[20]Structuring_Fund!K18+[20]Services!K18+[20]Options!K18</f>
        <v>0</v>
      </c>
      <c r="M18" s="25">
        <f t="shared" si="4"/>
        <v>0</v>
      </c>
      <c r="N18" s="15">
        <f t="shared" si="1"/>
        <v>3.2600283687942873</v>
      </c>
    </row>
    <row r="19" spans="1:14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33167.60510638298</v>
      </c>
      <c r="H19" s="16">
        <f t="shared" si="0"/>
        <v>3.8271855743390995E-2</v>
      </c>
      <c r="J19" t="s">
        <v>37</v>
      </c>
      <c r="K19" s="25">
        <v>63000</v>
      </c>
      <c r="L19">
        <f>'[20]Ercot Trading'!K19+'[20]Ercot Origination'!K19+'[20]Southeast Trading'!K19+'[20]Southeast Origination'!K19+'[20]Midwest Trading'!K19+'[20]Midwest Origination'!K19+'[20]Northeast Trading'!K19+'[20]Northeast Origination'!K19+'[20]Management Book'!K19+[20]Structuring_Fund!K19+[20]Services!K19+[20]Options!K19</f>
        <v>0</v>
      </c>
      <c r="M19" s="25">
        <f t="shared" si="4"/>
        <v>0</v>
      </c>
      <c r="N19" s="15">
        <f t="shared" si="1"/>
        <v>5527.9341843971633</v>
      </c>
    </row>
    <row r="20" spans="1:14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5.3228936170212773</v>
      </c>
      <c r="H20" s="16">
        <f t="shared" si="0"/>
        <v>6.1420478202947023E-6</v>
      </c>
      <c r="J20" t="s">
        <v>40</v>
      </c>
      <c r="K20" s="25">
        <v>78000</v>
      </c>
      <c r="L20">
        <f>3-1</f>
        <v>2</v>
      </c>
      <c r="M20" s="25">
        <f t="shared" si="4"/>
        <v>156000</v>
      </c>
      <c r="N20" s="15">
        <f t="shared" si="1"/>
        <v>0.88714893617021284</v>
      </c>
    </row>
    <row r="21" spans="1:14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43125.685106382967</v>
      </c>
      <c r="H21" s="16">
        <f t="shared" si="0"/>
        <v>4.9762411061411306E-2</v>
      </c>
      <c r="J21" t="s">
        <v>43</v>
      </c>
      <c r="K21" s="25">
        <v>66000</v>
      </c>
      <c r="L21">
        <f>3-1</f>
        <v>2</v>
      </c>
      <c r="M21" s="25">
        <f t="shared" si="4"/>
        <v>132000</v>
      </c>
      <c r="N21" s="15">
        <f t="shared" si="1"/>
        <v>7187.6141843971609</v>
      </c>
    </row>
    <row r="22" spans="1:14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81.037617021276589</v>
      </c>
      <c r="H22" s="16">
        <f t="shared" si="0"/>
        <v>9.350871063734415E-5</v>
      </c>
      <c r="J22" t="s">
        <v>46</v>
      </c>
      <c r="K22" s="25">
        <v>97200</v>
      </c>
      <c r="L22">
        <f>3-3</f>
        <v>0</v>
      </c>
      <c r="M22" s="25">
        <f t="shared" si="4"/>
        <v>0</v>
      </c>
      <c r="N22" s="15">
        <f t="shared" si="1"/>
        <v>13.506269503546099</v>
      </c>
    </row>
    <row r="23" spans="1:14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866857.09140425513</v>
      </c>
      <c r="H23" s="30">
        <f>SUM(H8:H22)</f>
        <v>1</v>
      </c>
      <c r="J23" t="s">
        <v>49</v>
      </c>
      <c r="K23" s="25">
        <v>120000</v>
      </c>
      <c r="L23">
        <f>3-2</f>
        <v>1</v>
      </c>
      <c r="M23" s="25">
        <f t="shared" si="4"/>
        <v>120000</v>
      </c>
      <c r="N23" s="58">
        <f>SUM(N8:N22)</f>
        <v>144476.18190070923</v>
      </c>
    </row>
    <row r="24" spans="1:14" x14ac:dyDescent="0.2">
      <c r="J24" t="s">
        <v>50</v>
      </c>
      <c r="K24" s="25">
        <v>156000</v>
      </c>
      <c r="L24">
        <v>1</v>
      </c>
      <c r="M24" s="25">
        <f t="shared" si="4"/>
        <v>156000</v>
      </c>
    </row>
    <row r="25" spans="1:14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</v>
      </c>
      <c r="J25" t="s">
        <v>52</v>
      </c>
      <c r="K25" s="25">
        <v>180000</v>
      </c>
      <c r="L25">
        <f>'[20]Ercot Trading'!K25+'[20]Ercot Origination'!K25+'[20]Southeast Trading'!K25+'[20]Southeast Origination'!K25+'[20]Midwest Trading'!K25+'[20]Midwest Origination'!K25+'[20]Northeast Trading'!K25+'[20]Northeast Origination'!K25+'[20]Management Book'!K25+[20]Structuring_Fund!K25+[20]Services!K25+[20]Options!K25</f>
        <v>0</v>
      </c>
      <c r="M25" s="25">
        <f t="shared" si="4"/>
        <v>0</v>
      </c>
      <c r="N25" s="31">
        <v>1</v>
      </c>
    </row>
    <row r="26" spans="1:14" x14ac:dyDescent="0.2">
      <c r="C26" s="15"/>
      <c r="E26" s="15"/>
      <c r="F26" s="15"/>
      <c r="J26" t="s">
        <v>53</v>
      </c>
      <c r="K26" s="25">
        <v>216000</v>
      </c>
      <c r="L26">
        <f>'[20]Ercot Trading'!K26+'[20]Ercot Origination'!K26+'[20]Southeast Trading'!K26+'[20]Southeast Origination'!K26+'[20]Midwest Trading'!K26+'[20]Midwest Origination'!K26+'[20]Northeast Trading'!K26+'[20]Northeast Origination'!K26+'[20]Management Book'!K26+[20]Structuring_Fund!K26+[20]Services!K26+[20]Options!K26</f>
        <v>0</v>
      </c>
      <c r="M26" s="25">
        <f t="shared" si="4"/>
        <v>0</v>
      </c>
      <c r="N26" s="15"/>
    </row>
    <row r="27" spans="1:14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2</v>
      </c>
      <c r="J27" t="s">
        <v>55</v>
      </c>
      <c r="K27" s="25">
        <v>240000</v>
      </c>
      <c r="L27">
        <f>'[20]Ercot Trading'!K27+'[20]Ercot Origination'!K27+'[20]Southeast Trading'!K27+'[20]Southeast Origination'!K27+'[20]Midwest Trading'!K27+'[20]Midwest Origination'!K27+'[20]Northeast Trading'!K27+'[20]Northeast Origination'!K27+'[20]Management Book'!K27+[20]Structuring_Fund!K27+[20]Services!K27+[20]Options!K27</f>
        <v>0</v>
      </c>
      <c r="M27" s="25">
        <f t="shared" si="4"/>
        <v>0</v>
      </c>
      <c r="N27" s="31">
        <f>SUM(T21:T22)</f>
        <v>0</v>
      </c>
    </row>
    <row r="28" spans="1:14" x14ac:dyDescent="0.2">
      <c r="B28" s="27"/>
      <c r="L28">
        <f>SUM(L16:L27)</f>
        <v>6</v>
      </c>
      <c r="M28" s="25">
        <f>SUM(M16:M27)</f>
        <v>564000</v>
      </c>
    </row>
    <row r="29" spans="1:14" x14ac:dyDescent="0.2">
      <c r="B29" s="27" t="s">
        <v>56</v>
      </c>
      <c r="E29" s="59">
        <f>SUM(E25:E27)</f>
        <v>141</v>
      </c>
      <c r="F29" s="59">
        <f>SUM(F25:F27)</f>
        <v>6</v>
      </c>
      <c r="H29" s="25"/>
      <c r="N29" s="59">
        <f>SUM(N25:N27)</f>
        <v>1</v>
      </c>
    </row>
    <row r="31" spans="1:14" x14ac:dyDescent="0.2">
      <c r="I31" s="33" t="s">
        <v>57</v>
      </c>
      <c r="J31" s="25"/>
      <c r="K31" s="25"/>
      <c r="L31" s="25"/>
    </row>
    <row r="32" spans="1:14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</v>
      </c>
      <c r="M34" s="37">
        <f>+K34*L34</f>
        <v>190057.09140425528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235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179520</v>
      </c>
      <c r="I8" s="42" t="s">
        <v>11</v>
      </c>
      <c r="J8" s="17">
        <v>0</v>
      </c>
      <c r="K8" s="17"/>
      <c r="L8" s="43">
        <f>L30</f>
        <v>1292544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897600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215424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1871786.175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v>0</v>
      </c>
      <c r="L17" s="25">
        <f t="shared" si="2"/>
        <v>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f>5+1</f>
        <v>6</v>
      </c>
      <c r="L21" s="25">
        <f t="shared" si="2"/>
        <v>363000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f>1+5</f>
        <v>6</v>
      </c>
      <c r="L22" s="25">
        <f t="shared" si="2"/>
        <v>534600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1478576.1750000003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0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12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1077120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1292544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Q30" sqref="Q3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5" hidden="1" customWidth="1"/>
    <col min="10" max="10" width="11.28515625" style="25" hidden="1" customWidth="1"/>
    <col min="11" max="11" width="9.28515625" style="25" hidden="1" customWidth="1"/>
    <col min="12" max="12" width="13.140625" style="25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38"/>
      <c r="J1" s="38"/>
      <c r="K1" s="38"/>
      <c r="L1" s="3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125" t="s">
        <v>236</v>
      </c>
      <c r="C2" s="125"/>
      <c r="D2" s="125"/>
      <c r="E2" s="125"/>
      <c r="F2" s="125"/>
      <c r="G2" s="125"/>
      <c r="H2" s="125"/>
      <c r="I2" s="38"/>
      <c r="J2" s="38"/>
      <c r="K2" s="38"/>
      <c r="L2" s="3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8"/>
      <c r="J3" s="38"/>
      <c r="K3" s="38"/>
      <c r="L3" s="3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39"/>
      <c r="J4" s="40"/>
      <c r="K4" s="40"/>
      <c r="L4" s="41"/>
    </row>
    <row r="5" spans="1:44" x14ac:dyDescent="0.2">
      <c r="I5" s="42"/>
      <c r="J5" s="17" t="s">
        <v>2</v>
      </c>
      <c r="K5" s="17" t="s">
        <v>3</v>
      </c>
      <c r="L5" s="43" t="s">
        <v>4</v>
      </c>
    </row>
    <row r="6" spans="1:44" x14ac:dyDescent="0.2">
      <c r="C6" s="10">
        <v>37135</v>
      </c>
      <c r="E6" s="44" t="s">
        <v>63</v>
      </c>
      <c r="G6" s="10" t="s">
        <v>64</v>
      </c>
      <c r="H6" s="44" t="s">
        <v>65</v>
      </c>
      <c r="I6" s="42"/>
      <c r="J6" s="17"/>
      <c r="K6" s="17"/>
      <c r="L6" s="43"/>
      <c r="Q6" s="44"/>
    </row>
    <row r="7" spans="1:44" x14ac:dyDescent="0.2">
      <c r="C7" s="12" t="s">
        <v>6</v>
      </c>
      <c r="E7" s="12" t="s">
        <v>7</v>
      </c>
      <c r="G7" s="12" t="s">
        <v>66</v>
      </c>
      <c r="H7" s="12" t="s">
        <v>8</v>
      </c>
      <c r="I7" s="42"/>
      <c r="J7" s="17"/>
      <c r="K7" s="17"/>
      <c r="L7" s="43"/>
      <c r="Q7" s="12"/>
    </row>
    <row r="8" spans="1:44" x14ac:dyDescent="0.2">
      <c r="A8" s="13" t="s">
        <v>10</v>
      </c>
      <c r="B8" s="14" t="s">
        <v>11</v>
      </c>
      <c r="C8" s="15">
        <f>'[19]Central Trading'!C8+'[19]Central Origination'!C8+[19]Derivatives!C8+'[19]East Trading'!C8+'[19]East Origination'!C8+'[19]Financial Gas'!C8+[19]Structuring!C8+'[19]Texas Trading'!C8+'[19]Texas Origination'!C8+'[19]West Trading'!C8+'[19]West Origination'!C8+[19]Fundamentals!C8</f>
        <v>8647857.6600000001</v>
      </c>
      <c r="E8" s="15">
        <f>((C8/9)*12)</f>
        <v>11530476.880000001</v>
      </c>
      <c r="G8" s="45">
        <f t="shared" ref="G8:G23" si="0">E8/$E$23</f>
        <v>0.5287785559542808</v>
      </c>
      <c r="H8" s="15">
        <f>L28-H10</f>
        <v>696960</v>
      </c>
      <c r="I8" s="42" t="s">
        <v>11</v>
      </c>
      <c r="J8" s="17">
        <v>0</v>
      </c>
      <c r="K8" s="17"/>
      <c r="L8" s="43">
        <f>L30</f>
        <v>836352</v>
      </c>
      <c r="Q8" s="15"/>
    </row>
    <row r="9" spans="1:44" hidden="1" x14ac:dyDescent="0.2">
      <c r="A9" s="13"/>
      <c r="B9" s="14" t="s">
        <v>12</v>
      </c>
      <c r="C9" s="15">
        <f>'[19]Central Trading'!C9+'[19]Central Origination'!C9+[19]Derivatives!C9+'[19]East Trading'!C9+'[19]East Origination'!C9+'[19]Financial Gas'!C9+[19]Structuring!C9+'[19]Texas Trading'!C9+'[19]Texas Origination'!C9+'[19]West Trading'!C9+'[19]West Origination'!C9+[19]Fundamentals!C9</f>
        <v>1485250</v>
      </c>
      <c r="E9" s="15">
        <v>0</v>
      </c>
      <c r="G9" s="45">
        <f t="shared" si="0"/>
        <v>0</v>
      </c>
      <c r="H9" s="15">
        <v>0</v>
      </c>
      <c r="I9" s="42"/>
      <c r="J9" s="17"/>
      <c r="K9" s="17"/>
      <c r="L9" s="43"/>
      <c r="Q9" s="15"/>
    </row>
    <row r="10" spans="1:44" x14ac:dyDescent="0.2">
      <c r="A10" s="13"/>
      <c r="B10" s="14" t="s">
        <v>67</v>
      </c>
      <c r="C10" s="15">
        <f>'[19]Central Trading'!C10+'[19]Central Origination'!C10+[19]Derivatives!C10+'[19]East Trading'!C10+'[19]East Origination'!C10+'[19]Financial Gas'!C10+[19]Structuring!C10+'[19]Texas Trading'!C10+'[19]Texas Origination'!C10+'[19]West Trading'!C10+'[19]West Origination'!C10+[19]Fundamentals!C10</f>
        <v>3095252.76</v>
      </c>
      <c r="D10" s="15"/>
      <c r="E10" s="15">
        <f>('[19]Central Trading'!E9+'[19]Central Origination'!E10+[19]Derivatives!E10+'[19]East Trading'!E10+'[19]East Origination'!E10+'[19]Financial Gas'!E10+[19]Structuring!E10+'[19]Texas Trading'!E10+'[19]Texas Origination'!E10+'[19]West Trading'!E10+'[19]West Origination'!E10+[19]Fundamentals!E10)-4000000</f>
        <v>82420.999999999534</v>
      </c>
      <c r="G10" s="45">
        <f t="shared" si="0"/>
        <v>3.7797619139155266E-3</v>
      </c>
      <c r="H10" s="15">
        <f>L21+L22</f>
        <v>0</v>
      </c>
      <c r="I10" s="42"/>
      <c r="J10" s="17"/>
      <c r="K10" s="17"/>
      <c r="L10" s="43"/>
      <c r="Q10" s="15"/>
    </row>
    <row r="11" spans="1:44" x14ac:dyDescent="0.2">
      <c r="A11" s="13" t="s">
        <v>14</v>
      </c>
      <c r="B11" s="14" t="s">
        <v>15</v>
      </c>
      <c r="C11" s="15">
        <f>'[19]Central Trading'!C11+'[19]Central Origination'!C11+[19]Derivatives!C11+'[19]East Trading'!C11+'[19]East Origination'!C11+'[19]Financial Gas'!C11+[19]Structuring!C11+'[19]Texas Trading'!C11+'[19]Texas Origination'!C11+'[19]West Trading'!C11+'[19]West Origination'!C11+[19]Fundamentals!C11</f>
        <v>1852307.95</v>
      </c>
      <c r="E11" s="15">
        <f>((C11/9)*12)</f>
        <v>2469743.9333333331</v>
      </c>
      <c r="G11" s="45">
        <f t="shared" si="0"/>
        <v>0.11326050468129861</v>
      </c>
      <c r="H11" s="15">
        <f>L30-L28</f>
        <v>139392</v>
      </c>
      <c r="I11" s="42" t="s">
        <v>16</v>
      </c>
      <c r="J11" s="17">
        <f>(E12+E13+E14+E15+E16+E17+E18+E19+E20+E21+E22)/E29</f>
        <v>48270.181250000009</v>
      </c>
      <c r="K11" s="17">
        <f>K28</f>
        <v>12</v>
      </c>
      <c r="L11" s="43">
        <f>J11*K11</f>
        <v>579242.17500000005</v>
      </c>
      <c r="Q11" s="15"/>
    </row>
    <row r="12" spans="1:44" x14ac:dyDescent="0.2">
      <c r="A12" s="13" t="s">
        <v>17</v>
      </c>
      <c r="B12" s="14" t="s">
        <v>18</v>
      </c>
      <c r="C12" s="15">
        <f>'[19]Central Trading'!C12+'[19]Central Origination'!C12+[19]Derivatives!C12+'[19]East Trading'!C12+'[19]East Origination'!C12+'[19]Financial Gas'!C12+[19]Structuring!C12+'[19]Texas Trading'!C12+'[19]Texas Origination'!C12+'[19]West Trading'!C12+'[19]West Origination'!C12+[19]Fundamentals!C12</f>
        <v>1114496.8499999996</v>
      </c>
      <c r="E12" s="20">
        <f>((C12/9)*12)-500000</f>
        <v>985995.79999999958</v>
      </c>
      <c r="G12" s="45">
        <f t="shared" si="0"/>
        <v>4.5216988050626544E-2</v>
      </c>
      <c r="H12" s="21">
        <f t="shared" ref="H12:H21" si="1">(E12/$E$29)*$K$11</f>
        <v>73949.684999999969</v>
      </c>
      <c r="I12" s="42"/>
      <c r="J12" s="17"/>
      <c r="K12" s="17"/>
      <c r="L12" s="43"/>
      <c r="Q12" s="15"/>
    </row>
    <row r="13" spans="1:44" ht="13.5" thickBot="1" x14ac:dyDescent="0.25">
      <c r="A13" s="13" t="s">
        <v>19</v>
      </c>
      <c r="B13" s="14" t="s">
        <v>20</v>
      </c>
      <c r="C13" s="15">
        <f>'[19]Central Trading'!C13+'[19]Central Origination'!C13+[19]Derivatives!C13+'[19]East Trading'!C13+'[19]East Origination'!C13+'[19]Financial Gas'!C13+[19]Structuring!C13+'[19]Texas Trading'!C13+'[19]Texas Origination'!C13+'[19]West Trading'!C13+'[19]West Origination'!C13+[19]Fundamentals!C13</f>
        <v>1408194.83</v>
      </c>
      <c r="E13" s="20">
        <f>((C13/9)*12)-500000-500000</f>
        <v>877593.10666666692</v>
      </c>
      <c r="G13" s="45">
        <f t="shared" si="0"/>
        <v>4.02457262165406E-2</v>
      </c>
      <c r="H13" s="21">
        <f t="shared" si="1"/>
        <v>65819.483000000007</v>
      </c>
      <c r="I13" s="46" t="s">
        <v>21</v>
      </c>
      <c r="J13" s="47"/>
      <c r="K13" s="47"/>
      <c r="L13" s="48">
        <f>L8+L11</f>
        <v>1415594.175</v>
      </c>
      <c r="N13" s="25"/>
      <c r="P13" s="49"/>
      <c r="Q13" s="15"/>
    </row>
    <row r="14" spans="1:44" x14ac:dyDescent="0.2">
      <c r="A14" s="13" t="s">
        <v>22</v>
      </c>
      <c r="B14" s="14" t="s">
        <v>23</v>
      </c>
      <c r="C14" s="15">
        <f>'[19]Central Trading'!C14+'[19]Central Origination'!C14+[19]Derivatives!C14+'[19]East Trading'!C14+'[19]East Origination'!C14+'[19]Financial Gas'!C14+[19]Structuring!C14+'[19]Texas Trading'!C14+'[19]Texas Origination'!C14+'[19]West Trading'!C14+'[19]West Origination'!C14+[19]Fundamentals!C14-C32</f>
        <v>0.2400000000197906</v>
      </c>
      <c r="E14" s="20">
        <f>(C14/9)*12</f>
        <v>0.32000000002638745</v>
      </c>
      <c r="G14" s="45">
        <f t="shared" si="0"/>
        <v>1.4674947071167709E-8</v>
      </c>
      <c r="H14" s="21">
        <f t="shared" si="1"/>
        <v>2.4000000001979056E-2</v>
      </c>
      <c r="Q14" s="15"/>
    </row>
    <row r="15" spans="1:44" x14ac:dyDescent="0.2">
      <c r="A15" s="13" t="s">
        <v>24</v>
      </c>
      <c r="B15" s="14" t="s">
        <v>25</v>
      </c>
      <c r="C15" s="15">
        <f>'[19]Central Trading'!C15+'[19]Central Origination'!C15+[19]Derivatives!C15+'[19]East Trading'!C15+'[19]East Origination'!C15+'[19]Financial Gas'!C15+[19]Structuring!C15+'[19]Texas Trading'!C15+'[19]Texas Origination'!C15+'[19]West Trading'!C15+'[19]West Origination'!C15+[19]Fundamentals!C15</f>
        <v>160813</v>
      </c>
      <c r="E15" s="20">
        <f>((C15/9)*12)-75000</f>
        <v>139417.33333333331</v>
      </c>
      <c r="G15" s="45">
        <f t="shared" si="0"/>
        <v>6.3935687103165682E-3</v>
      </c>
      <c r="H15" s="21">
        <f t="shared" si="1"/>
        <v>10456.299999999999</v>
      </c>
      <c r="Q15" s="15"/>
    </row>
    <row r="16" spans="1:44" x14ac:dyDescent="0.2">
      <c r="A16" s="13" t="s">
        <v>26</v>
      </c>
      <c r="B16" s="14" t="s">
        <v>27</v>
      </c>
      <c r="C16" s="15">
        <f>'[19]Central Trading'!C16+'[19]Central Origination'!C16+[19]Derivatives!C16+'[19]East Trading'!C16+'[19]East Origination'!C16+'[19]Financial Gas'!C16+[19]Structuring!C16+'[19]Texas Trading'!C16+'[19]Texas Origination'!C16+'[19]West Trading'!C16+'[19]West Origination'!C16+[19]Fundamentals!C16</f>
        <v>0</v>
      </c>
      <c r="E16" s="20">
        <f>(C16/9)*12</f>
        <v>0</v>
      </c>
      <c r="G16" s="45">
        <f t="shared" si="0"/>
        <v>0</v>
      </c>
      <c r="H16" s="21">
        <f t="shared" si="1"/>
        <v>0</v>
      </c>
      <c r="I16" s="50" t="s">
        <v>68</v>
      </c>
      <c r="J16" s="25">
        <v>33000</v>
      </c>
      <c r="K16" s="25">
        <f>1-1</f>
        <v>0</v>
      </c>
      <c r="L16" s="25">
        <f t="shared" ref="L16:L27" si="2">J16*K16</f>
        <v>0</v>
      </c>
      <c r="Q16" s="15"/>
    </row>
    <row r="17" spans="1:17" x14ac:dyDescent="0.2">
      <c r="A17" s="13" t="s">
        <v>29</v>
      </c>
      <c r="B17" s="14" t="s">
        <v>30</v>
      </c>
      <c r="C17" s="15">
        <f>'[19]Central Trading'!C17+'[19]Central Origination'!C17+[19]Derivatives!C17+'[19]East Trading'!C17+'[19]East Origination'!C17+'[19]Financial Gas'!C17+[19]Structuring!C17+'[19]Texas Trading'!C17+'[19]Texas Origination'!C17+'[19]West Trading'!C17+'[19]West Origination'!C17+[19]Fundamentals!C17</f>
        <v>5900</v>
      </c>
      <c r="E17" s="20">
        <f>((C17/9)*12)</f>
        <v>7866.6666666666661</v>
      </c>
      <c r="G17" s="45">
        <f t="shared" si="0"/>
        <v>3.60759115469791E-4</v>
      </c>
      <c r="H17" s="21">
        <f t="shared" si="1"/>
        <v>590</v>
      </c>
      <c r="I17" s="25" t="s">
        <v>31</v>
      </c>
      <c r="J17" s="25">
        <v>48400</v>
      </c>
      <c r="K17" s="25">
        <f>12</f>
        <v>12</v>
      </c>
      <c r="L17" s="25">
        <f t="shared" si="2"/>
        <v>580800</v>
      </c>
      <c r="Q17" s="15"/>
    </row>
    <row r="18" spans="1:17" x14ac:dyDescent="0.2">
      <c r="A18" s="13" t="s">
        <v>32</v>
      </c>
      <c r="B18" s="14" t="s">
        <v>33</v>
      </c>
      <c r="C18" s="15">
        <f>'[19]Central Trading'!C18+'[19]Central Origination'!C18+[19]Derivatives!C18+'[19]East Trading'!C18+'[19]East Origination'!C18+'[19]Financial Gas'!C18+[19]Structuring!C18+'[19]Texas Trading'!C18+'[19]Texas Origination'!C18+'[19]West Trading'!C18+'[19]West Origination'!C18+[19]Fundamentals!C18</f>
        <v>350904.92000000004</v>
      </c>
      <c r="E18" s="20">
        <f>((C18/9)*12)-250000-75000</f>
        <v>142873.22666666668</v>
      </c>
      <c r="G18" s="45">
        <f t="shared" si="0"/>
        <v>6.552053247023089E-3</v>
      </c>
      <c r="H18" s="21">
        <f t="shared" si="1"/>
        <v>10715.492000000002</v>
      </c>
      <c r="I18" s="25" t="s">
        <v>34</v>
      </c>
      <c r="J18" s="25">
        <v>49500</v>
      </c>
      <c r="K18" s="25">
        <v>0</v>
      </c>
      <c r="L18" s="25">
        <f t="shared" si="2"/>
        <v>0</v>
      </c>
      <c r="Q18" s="15"/>
    </row>
    <row r="19" spans="1:17" x14ac:dyDescent="0.2">
      <c r="A19" s="13" t="s">
        <v>35</v>
      </c>
      <c r="B19" s="14" t="s">
        <v>36</v>
      </c>
      <c r="C19" s="15">
        <f>'[19]Central Trading'!C19+'[19]Central Origination'!C19+[19]Derivatives!C19+'[19]East Trading'!C19+'[19]East Origination'!C19+'[19]Financial Gas'!C19+[19]Structuring!C19+'[19]Texas Trading'!C19+'[19]Texas Origination'!C19+'[19]West Trading'!C19+'[19]West Origination'!C19+[19]Fundamentals!C19</f>
        <v>277960.32000000001</v>
      </c>
      <c r="E19" s="20">
        <f>((C19/9)*12)-75000-75000-50000-25000</f>
        <v>145613.76000000001</v>
      </c>
      <c r="G19" s="45">
        <f t="shared" si="0"/>
        <v>6.6777319395547171E-3</v>
      </c>
      <c r="H19" s="21">
        <f t="shared" si="1"/>
        <v>10921.031999999999</v>
      </c>
      <c r="I19" s="25" t="s">
        <v>37</v>
      </c>
      <c r="J19" s="25">
        <v>57750</v>
      </c>
      <c r="K19" s="25">
        <v>0</v>
      </c>
      <c r="L19" s="25">
        <f t="shared" si="2"/>
        <v>0</v>
      </c>
      <c r="Q19" s="15"/>
    </row>
    <row r="20" spans="1:17" x14ac:dyDescent="0.2">
      <c r="A20" s="13" t="s">
        <v>38</v>
      </c>
      <c r="B20" s="14" t="s">
        <v>39</v>
      </c>
      <c r="C20" s="15">
        <f>'[19]Central Trading'!C20+'[19]Central Origination'!C20+[19]Derivatives!C20+'[19]East Trading'!C20+'[19]East Origination'!C20+'[19]Financial Gas'!C20+[19]Structuring!C20+'[19]Texas Trading'!C20+'[19]Texas Origination'!C20+'[19]West Trading'!C20+'[19]West Origination'!C20+[19]Fundamentals!C20</f>
        <v>16</v>
      </c>
      <c r="E20" s="20">
        <f>((C20/9)*12)</f>
        <v>21.333333333333332</v>
      </c>
      <c r="G20" s="45">
        <f t="shared" si="0"/>
        <v>9.7832980466383997E-7</v>
      </c>
      <c r="H20" s="21">
        <f t="shared" si="1"/>
        <v>1.6</v>
      </c>
      <c r="I20" s="25" t="s">
        <v>40</v>
      </c>
      <c r="J20" s="25">
        <v>71500</v>
      </c>
      <c r="K20" s="25">
        <v>0</v>
      </c>
      <c r="L20" s="25">
        <f t="shared" si="2"/>
        <v>0</v>
      </c>
      <c r="Q20" s="15"/>
    </row>
    <row r="21" spans="1:17" x14ac:dyDescent="0.2">
      <c r="A21" s="13" t="s">
        <v>41</v>
      </c>
      <c r="B21" s="14" t="s">
        <v>42</v>
      </c>
      <c r="C21" s="15">
        <f>'[19]Central Trading'!C21+'[19]Central Origination'!C21+[19]Derivatives!C21+'[19]East Trading'!C21+'[19]East Origination'!C21+'[19]Financial Gas'!C21+[19]Structuring!C21+'[19]Texas Trading'!C21+'[19]Texas Origination'!C21+'[19]West Trading'!C21+'[19]West Origination'!C21+[19]Fundamentals!C21</f>
        <v>192038.90999999986</v>
      </c>
      <c r="E21" s="20">
        <f>((C21/9)*12)-75000</f>
        <v>181051.87999999983</v>
      </c>
      <c r="G21" s="45">
        <f t="shared" si="0"/>
        <v>8.302896112238476E-3</v>
      </c>
      <c r="H21" s="21">
        <f t="shared" si="1"/>
        <v>13578.890999999989</v>
      </c>
      <c r="I21" s="25" t="s">
        <v>43</v>
      </c>
      <c r="J21" s="25">
        <v>60500</v>
      </c>
      <c r="K21" s="25">
        <v>0</v>
      </c>
      <c r="L21" s="25">
        <f t="shared" si="2"/>
        <v>0</v>
      </c>
      <c r="P21" s="8"/>
      <c r="Q21" s="32"/>
    </row>
    <row r="22" spans="1:17" x14ac:dyDescent="0.2">
      <c r="A22" s="13" t="s">
        <v>44</v>
      </c>
      <c r="B22" s="14" t="s">
        <v>45</v>
      </c>
      <c r="C22" s="15">
        <f>'[19]Central Trading'!C22+'[19]Central Origination'!C22+[19]Derivatives!C22+'[19]East Trading'!C22+'[19]East Origination'!C22+'[19]Financial Gas'!C22+[19]Structuring!C22+'[19]Texas Trading'!C22+'[19]Texas Origination'!C22+'[19]West Trading'!C22+'[19]West Origination'!C22+[19]Fundamentals!C22</f>
        <v>4757096.6800000016</v>
      </c>
      <c r="E22" s="20">
        <f>((C22/9)*12)-1000000-100000</f>
        <v>5242795.573333336</v>
      </c>
      <c r="G22" s="45">
        <f t="shared" si="0"/>
        <v>0.2404304610539835</v>
      </c>
      <c r="H22" s="21">
        <f>(E22/$E$29)*$K$11-393210</f>
        <v>-0.33199999982025474</v>
      </c>
      <c r="I22" s="25" t="s">
        <v>46</v>
      </c>
      <c r="J22" s="25">
        <v>89100</v>
      </c>
      <c r="K22" s="25">
        <v>0</v>
      </c>
      <c r="L22" s="25">
        <f t="shared" si="2"/>
        <v>0</v>
      </c>
      <c r="P22" s="8"/>
      <c r="Q22" s="32"/>
    </row>
    <row r="23" spans="1:17" x14ac:dyDescent="0.2">
      <c r="A23" s="26" t="s">
        <v>47</v>
      </c>
      <c r="B23" s="27" t="s">
        <v>48</v>
      </c>
      <c r="C23" s="28">
        <f>SUM(C8:C22)</f>
        <v>23348090.119999997</v>
      </c>
      <c r="E23" s="28">
        <f>SUM(E8:E22)</f>
        <v>21805870.813333336</v>
      </c>
      <c r="G23" s="51">
        <f t="shared" si="0"/>
        <v>1</v>
      </c>
      <c r="H23" s="28">
        <f>SUM(H8:H22)</f>
        <v>1022384.175</v>
      </c>
      <c r="I23" s="25" t="s">
        <v>49</v>
      </c>
      <c r="J23" s="25">
        <v>110000</v>
      </c>
      <c r="K23" s="25">
        <v>0</v>
      </c>
      <c r="L23" s="25">
        <f t="shared" si="2"/>
        <v>0</v>
      </c>
      <c r="P23" s="8"/>
      <c r="Q23" s="29"/>
    </row>
    <row r="24" spans="1:17" x14ac:dyDescent="0.2">
      <c r="I24" s="25" t="s">
        <v>50</v>
      </c>
      <c r="J24" s="25">
        <v>143000</v>
      </c>
      <c r="K24" s="25">
        <v>0</v>
      </c>
      <c r="L24" s="25">
        <f t="shared" si="2"/>
        <v>0</v>
      </c>
      <c r="P24" s="8"/>
      <c r="Q24" s="8"/>
    </row>
    <row r="25" spans="1:17" x14ac:dyDescent="0.2">
      <c r="B25" s="27" t="s">
        <v>51</v>
      </c>
      <c r="C25" s="15"/>
      <c r="E25" s="31">
        <f>'[19]Central Trading'!E25+'[19]Central Origination'!E25+[19]Derivatives!E25+'[19]East Trading'!E25+'[19]East Origination'!E25+'[19]Financial Gas'!E25+[19]Structuring!E25+'[19]Texas Trading'!E25+'[19]Texas Origination'!E25+'[19]West Trading'!E25+'[19]West Origination'!E25+[19]Fundamentals!E25</f>
        <v>108</v>
      </c>
      <c r="H25" s="31">
        <f>+K16+K17+K18+K19+K20+K23+K24+K25+K26+K27</f>
        <v>12</v>
      </c>
      <c r="I25" s="25" t="s">
        <v>52</v>
      </c>
      <c r="J25" s="25">
        <v>165000</v>
      </c>
      <c r="K25" s="25">
        <v>0</v>
      </c>
      <c r="L25" s="25">
        <f t="shared" si="2"/>
        <v>0</v>
      </c>
      <c r="P25" s="8"/>
      <c r="Q25" s="32"/>
    </row>
    <row r="26" spans="1:17" x14ac:dyDescent="0.2">
      <c r="C26" s="15"/>
      <c r="E26" s="15"/>
      <c r="H26" s="15"/>
      <c r="I26" s="25" t="s">
        <v>53</v>
      </c>
      <c r="J26" s="25">
        <v>198000</v>
      </c>
      <c r="K26" s="25">
        <v>0</v>
      </c>
      <c r="L26" s="25">
        <f t="shared" si="2"/>
        <v>0</v>
      </c>
      <c r="P26" s="8"/>
      <c r="Q26" s="32"/>
    </row>
    <row r="27" spans="1:17" x14ac:dyDescent="0.2">
      <c r="B27" s="27" t="s">
        <v>69</v>
      </c>
      <c r="C27" s="15"/>
      <c r="E27" s="31">
        <f>'[19]Central Trading'!E27+'[19]Central Origination'!E27+[19]Derivatives!E27+'[19]East Trading'!E27+'[19]East Origination'!E27+'[19]Financial Gas'!E27+[19]Structuring!E27+'[19]Texas Trading'!E27+'[19]Texas Origination'!E27+'[19]West Trading'!E27+'[19]West Origination'!E27+[19]Fundamentals!E27</f>
        <v>52</v>
      </c>
      <c r="H27" s="31">
        <f>+K21+K22</f>
        <v>0</v>
      </c>
      <c r="I27" s="25" t="s">
        <v>55</v>
      </c>
      <c r="J27" s="25">
        <v>220000</v>
      </c>
      <c r="K27" s="25">
        <v>0</v>
      </c>
      <c r="L27" s="25">
        <f t="shared" si="2"/>
        <v>0</v>
      </c>
      <c r="P27" s="8"/>
      <c r="Q27" s="32"/>
    </row>
    <row r="28" spans="1:17" x14ac:dyDescent="0.2">
      <c r="K28" s="25">
        <f>SUM(K16:K27)</f>
        <v>12</v>
      </c>
      <c r="L28" s="25">
        <f>SUM(L16:L27)*1.2</f>
        <v>696960</v>
      </c>
      <c r="P28" s="8"/>
      <c r="Q28" s="8"/>
    </row>
    <row r="29" spans="1:17" x14ac:dyDescent="0.2">
      <c r="B29" s="27" t="s">
        <v>56</v>
      </c>
      <c r="C29" s="15"/>
      <c r="E29" s="31">
        <f>SUM(E25:E27)</f>
        <v>160</v>
      </c>
      <c r="G29" s="25"/>
      <c r="H29" s="31">
        <f>SUM(H25:H27)</f>
        <v>12</v>
      </c>
      <c r="L29" s="52">
        <v>0.2</v>
      </c>
      <c r="P29" s="8"/>
      <c r="Q29" s="32"/>
    </row>
    <row r="30" spans="1:17" hidden="1" x14ac:dyDescent="0.2">
      <c r="L30" s="25">
        <f>L28*1.2</f>
        <v>836352</v>
      </c>
      <c r="P30" s="8"/>
      <c r="Q30" s="8"/>
    </row>
    <row r="31" spans="1:17" hidden="1" x14ac:dyDescent="0.2">
      <c r="H31" s="33" t="s">
        <v>57</v>
      </c>
      <c r="L31"/>
      <c r="P31" s="8"/>
      <c r="Q31" s="8"/>
    </row>
    <row r="32" spans="1:17" hidden="1" x14ac:dyDescent="0.2">
      <c r="B32" s="14" t="s">
        <v>23</v>
      </c>
      <c r="C32" s="15">
        <v>254512</v>
      </c>
      <c r="L32"/>
      <c r="P32" s="8"/>
      <c r="Q32" s="8"/>
    </row>
    <row r="33" spans="8:17" hidden="1" x14ac:dyDescent="0.2">
      <c r="H33" s="34" t="s">
        <v>58</v>
      </c>
      <c r="I33" s="35" t="s">
        <v>59</v>
      </c>
      <c r="J33" s="35" t="s">
        <v>60</v>
      </c>
      <c r="K33" s="35" t="s">
        <v>3</v>
      </c>
      <c r="L33" s="35" t="s">
        <v>61</v>
      </c>
      <c r="P33" s="8"/>
      <c r="Q33" s="8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12</v>
      </c>
      <c r="L34" s="37">
        <f>+J34*K34</f>
        <v>579242.17500000005</v>
      </c>
      <c r="P34" s="8"/>
      <c r="Q34" s="8"/>
    </row>
    <row r="35" spans="8:17" hidden="1" x14ac:dyDescent="0.2">
      <c r="P35" s="8"/>
      <c r="Q35" s="8"/>
    </row>
    <row r="36" spans="8:17" hidden="1" x14ac:dyDescent="0.2">
      <c r="P36" s="8"/>
      <c r="Q36" s="8"/>
    </row>
    <row r="37" spans="8:17" hidden="1" x14ac:dyDescent="0.2">
      <c r="P37" s="8"/>
      <c r="Q37" s="8"/>
    </row>
    <row r="38" spans="8:17" hidden="1" x14ac:dyDescent="0.2">
      <c r="P38" s="8"/>
      <c r="Q38" s="8"/>
    </row>
    <row r="39" spans="8:17" x14ac:dyDescent="0.2">
      <c r="P39" s="8"/>
      <c r="Q39" s="8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S34"/>
  <sheetViews>
    <sheetView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15" width="9.140625" hidden="1" customWidth="1"/>
    <col min="16" max="48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89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5602800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9273600</v>
      </c>
      <c r="O8" s="15">
        <f>+F8/$F$29*$O$29</f>
        <v>87543.75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ref="O9:O22" si="1">+F9/$F$29*$O$29</f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1465200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22893.75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1545600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64</v>
      </c>
      <c r="M11" s="18">
        <f>K11*L11</f>
        <v>2027275.6416453896</v>
      </c>
      <c r="O11" s="15">
        <f t="shared" si="1"/>
        <v>24150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404122.10836879432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736673.88641134754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11300875.641645391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0.27597163129360114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67705.376680851055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3849.078014184397</v>
      </c>
      <c r="H17" s="16">
        <f t="shared" si="0"/>
        <v>4.1638339022207621E-4</v>
      </c>
      <c r="J17" t="s">
        <v>31</v>
      </c>
      <c r="K17" s="25">
        <v>52800</v>
      </c>
      <c r="L17">
        <v>2</v>
      </c>
      <c r="M17" s="25">
        <f t="shared" si="4"/>
        <v>105600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208.64181560283438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353787.78780141845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56.777531914893622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460007.30780141836</v>
      </c>
      <c r="H21" s="16">
        <f t="shared" si="0"/>
        <v>4.9762411061411306E-2</v>
      </c>
      <c r="J21" t="s">
        <v>43</v>
      </c>
      <c r="K21" s="25">
        <v>66000</v>
      </c>
      <c r="L21">
        <f>6</f>
        <v>6</v>
      </c>
      <c r="M21" s="25">
        <f t="shared" si="4"/>
        <v>396000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864.40124822695032</v>
      </c>
      <c r="H22" s="16">
        <f t="shared" si="0"/>
        <v>9.350871063734415E-5</v>
      </c>
      <c r="J22" t="s">
        <v>46</v>
      </c>
      <c r="K22" s="25">
        <v>97200</v>
      </c>
      <c r="L22">
        <f>10+1</f>
        <v>11</v>
      </c>
      <c r="M22" s="25">
        <f t="shared" si="4"/>
        <v>1069200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10640875.641645389</v>
      </c>
      <c r="H23" s="30">
        <f>SUM(H8:H22)</f>
        <v>1</v>
      </c>
      <c r="J23" t="s">
        <v>49</v>
      </c>
      <c r="K23" s="25">
        <v>120000</v>
      </c>
      <c r="L23">
        <f>11+4</f>
        <v>15</v>
      </c>
      <c r="M23" s="25">
        <f t="shared" si="4"/>
        <v>1800000</v>
      </c>
      <c r="O23" s="58">
        <f>SUM(O8:O22)</f>
        <v>166263.6819007092</v>
      </c>
    </row>
    <row r="24" spans="1:15" x14ac:dyDescent="0.2">
      <c r="J24" t="s">
        <v>50</v>
      </c>
      <c r="K24" s="25">
        <v>156000</v>
      </c>
      <c r="L24">
        <f>2+4+7</f>
        <v>13</v>
      </c>
      <c r="M24" s="25">
        <f t="shared" si="4"/>
        <v>2028000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47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</f>
        <v>5</v>
      </c>
      <c r="M26" s="25">
        <f t="shared" si="4"/>
        <v>1080000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17</v>
      </c>
      <c r="J27" t="s">
        <v>55</v>
      </c>
      <c r="K27" s="25">
        <v>240000</v>
      </c>
      <c r="L27">
        <v>2</v>
      </c>
      <c r="M27" s="25">
        <f t="shared" si="4"/>
        <v>480000</v>
      </c>
      <c r="O27" s="31">
        <f>SUM(U21:U22)</f>
        <v>0</v>
      </c>
    </row>
    <row r="28" spans="1:15" x14ac:dyDescent="0.2">
      <c r="B28" s="27"/>
      <c r="L28">
        <f>SUM(L16:L27)</f>
        <v>64</v>
      </c>
      <c r="M28" s="25">
        <f>SUM(M16:M27)</f>
        <v>7728000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64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64</v>
      </c>
      <c r="M34" s="37">
        <f>+K34*L34</f>
        <v>2027275.6416453896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V34"/>
  <sheetViews>
    <sheetView topLeftCell="A2" zoomScaleNormal="100" workbookViewId="0">
      <selection activeCell="F14" sqref="F14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13.85546875" customWidth="1"/>
    <col min="7" max="7" width="2.5703125" hidden="1" customWidth="1"/>
    <col min="8" max="8" width="12.85546875" hidden="1" customWidth="1"/>
    <col min="9" max="9" width="13.42578125" hidden="1" customWidth="1"/>
    <col min="10" max="10" width="12.85546875" hidden="1" customWidth="1"/>
    <col min="11" max="11" width="11.28515625" hidden="1" customWidth="1"/>
    <col min="12" max="12" width="9.140625" hidden="1" customWidth="1"/>
    <col min="13" max="13" width="14" hidden="1" customWidth="1"/>
    <col min="14" max="14" width="10.85546875" hidden="1" customWidth="1"/>
    <col min="15" max="48" width="9.140625" hidden="1" customWidth="1"/>
    <col min="49" max="60" width="0" hidden="1" customWidth="1"/>
  </cols>
  <sheetData>
    <row r="1" spans="1:45" ht="18" x14ac:dyDescent="0.25">
      <c r="B1" s="125" t="str">
        <f>'[17]Team Report'!B1</f>
        <v>Enron North America</v>
      </c>
      <c r="C1" s="125"/>
      <c r="D1" s="125"/>
      <c r="E1" s="125"/>
      <c r="F1" s="125"/>
      <c r="G1" s="125"/>
      <c r="H1" s="1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8" x14ac:dyDescent="0.25">
      <c r="B2" s="125" t="s">
        <v>224</v>
      </c>
      <c r="C2" s="125"/>
      <c r="D2" s="125"/>
      <c r="E2" s="125"/>
      <c r="F2" s="125"/>
      <c r="G2" s="125"/>
      <c r="H2" s="1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18.75" thickBot="1" x14ac:dyDescent="0.3">
      <c r="B3" s="126" t="s">
        <v>1</v>
      </c>
      <c r="C3" s="126"/>
      <c r="D3" s="126"/>
      <c r="E3" s="126"/>
      <c r="F3" s="126"/>
      <c r="G3" s="126"/>
      <c r="H3" s="12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J4" s="4"/>
      <c r="K4" s="5"/>
      <c r="L4" s="5"/>
      <c r="M4" s="6"/>
    </row>
    <row r="5" spans="1:45" x14ac:dyDescent="0.2">
      <c r="J5" s="7"/>
      <c r="K5" s="8" t="s">
        <v>2</v>
      </c>
      <c r="L5" s="8" t="s">
        <v>3</v>
      </c>
      <c r="M5" s="9" t="s">
        <v>4</v>
      </c>
    </row>
    <row r="6" spans="1:45" x14ac:dyDescent="0.2">
      <c r="C6" s="10">
        <v>37135</v>
      </c>
      <c r="E6" s="44" t="s">
        <v>63</v>
      </c>
      <c r="F6" s="44" t="s">
        <v>65</v>
      </c>
      <c r="H6" s="57" t="s">
        <v>64</v>
      </c>
      <c r="J6" s="7"/>
      <c r="K6" s="8"/>
      <c r="L6" s="8"/>
      <c r="M6" s="9"/>
      <c r="O6" s="44" t="s">
        <v>65</v>
      </c>
    </row>
    <row r="7" spans="1:45" x14ac:dyDescent="0.2">
      <c r="C7" s="12" t="s">
        <v>6</v>
      </c>
      <c r="E7" s="12" t="s">
        <v>7</v>
      </c>
      <c r="F7" s="12" t="s">
        <v>8</v>
      </c>
      <c r="H7" s="57" t="s">
        <v>66</v>
      </c>
      <c r="J7" s="7"/>
      <c r="K7" s="8"/>
      <c r="L7" s="8"/>
      <c r="M7" s="9"/>
      <c r="O7" s="12" t="s">
        <v>8</v>
      </c>
    </row>
    <row r="8" spans="1:45" x14ac:dyDescent="0.2">
      <c r="A8" s="13" t="s">
        <v>10</v>
      </c>
      <c r="B8" s="14" t="s">
        <v>11</v>
      </c>
      <c r="C8" s="15">
        <f>'[20]Ercot Trading'!C8+'[20]Ercot Origination'!C8+'[20]Southeast Trading'!C8+'[20]Southeast Origination'!C8+'[20]Midwest Trading'!C8+'[20]Midwest Origination'!C8+'[20]Northeast Trading'!C8+'[20]Northeast Origination'!C8+'[20]Management Book'!C8+[20]Structuring_Fund!C8+[20]Services!C8+[20]Options!C8</f>
        <v>6640774.8000000017</v>
      </c>
      <c r="E8" s="15">
        <f>(C8/9)*12</f>
        <v>8854366.4000000022</v>
      </c>
      <c r="F8" s="15">
        <f>M16+M17+M18+M19+M20+M23+M24+M26</f>
        <v>3709200</v>
      </c>
      <c r="H8" s="16">
        <f t="shared" ref="H8:H22" si="0">E8/$E$23</f>
        <v>0.43476545989391996</v>
      </c>
      <c r="J8" s="7" t="s">
        <v>11</v>
      </c>
      <c r="K8" s="17">
        <v>0</v>
      </c>
      <c r="L8" s="8"/>
      <c r="M8" s="18">
        <f>M28*1.2</f>
        <v>4955040</v>
      </c>
      <c r="O8" s="15">
        <f t="shared" ref="O8:O22" si="1">+F8/$F$29*$O$29</f>
        <v>115912.5</v>
      </c>
    </row>
    <row r="9" spans="1:45" hidden="1" x14ac:dyDescent="0.2">
      <c r="A9" s="13"/>
      <c r="B9" s="14" t="s">
        <v>12</v>
      </c>
      <c r="C9" s="15">
        <f>'[20]Ercot Trading'!C9+'[20]Ercot Origination'!C9+'[20]Southeast Trading'!C9+'[20]Southeast Origination'!C9+'[20]Midwest Trading'!C9+'[20]Midwest Origination'!C9+'[20]Northeast Trading'!C9+'[20]Northeast Origination'!C9+'[20]Management Book'!C9+[20]Structuring_Fund!C9+[20]Services!C9+[20]Options!C9</f>
        <v>1460000</v>
      </c>
      <c r="E9" s="15">
        <f>C9</f>
        <v>1460000</v>
      </c>
      <c r="F9" s="15"/>
      <c r="H9" s="16">
        <f t="shared" si="0"/>
        <v>7.1688649731631054E-2</v>
      </c>
      <c r="J9" s="7"/>
      <c r="K9" s="8"/>
      <c r="L9" s="8"/>
      <c r="M9" s="9"/>
      <c r="O9" s="15">
        <f t="shared" si="1"/>
        <v>0</v>
      </c>
    </row>
    <row r="10" spans="1:45" x14ac:dyDescent="0.2">
      <c r="A10" s="13"/>
      <c r="B10" s="14" t="s">
        <v>13</v>
      </c>
      <c r="C10" s="15">
        <f>'[20]Ercot Trading'!C10+'[20]Ercot Origination'!C10+'[20]Southeast Trading'!C10+'[20]Southeast Origination'!C10+'[20]Midwest Trading'!C10+'[20]Midwest Origination'!C10+'[20]Northeast Trading'!C10+'[20]Northeast Origination'!C10+'[20]Management Book'!C10+[20]Structuring_Fund!C10+[20]Services!C10+[20]Options!C10</f>
        <v>2652510</v>
      </c>
      <c r="E10" s="15">
        <f>(C10/9)*12</f>
        <v>3536680</v>
      </c>
      <c r="F10" s="15">
        <f>M21+M22</f>
        <v>0</v>
      </c>
      <c r="H10" s="16">
        <f t="shared" si="0"/>
        <v>0.17365740666634583</v>
      </c>
      <c r="J10" s="7"/>
      <c r="K10" s="8"/>
      <c r="L10" s="8"/>
      <c r="M10" s="9"/>
      <c r="O10" s="15">
        <f t="shared" si="1"/>
        <v>0</v>
      </c>
    </row>
    <row r="11" spans="1:45" x14ac:dyDescent="0.2">
      <c r="A11" s="13" t="s">
        <v>14</v>
      </c>
      <c r="B11" s="14" t="s">
        <v>15</v>
      </c>
      <c r="C11" s="15">
        <f>'[20]Ercot Trading'!C11+'[20]Ercot Origination'!C11+'[20]Southeast Trading'!C11+'[20]Southeast Origination'!C11+'[20]Midwest Trading'!C11+'[20]Midwest Origination'!C11+'[20]Northeast Trading'!C11+'[20]Northeast Origination'!C11+'[20]Management Book'!C11+[20]Structuring_Fund!C11+[20]Services!C11+[20]Options!C11</f>
        <v>1536343.4600000002</v>
      </c>
      <c r="E11" s="15">
        <f>(C11/9)*12</f>
        <v>2048457.9466666668</v>
      </c>
      <c r="F11" s="15">
        <f>M28*0.2</f>
        <v>825840</v>
      </c>
      <c r="H11" s="16">
        <f t="shared" si="0"/>
        <v>0.10058300289627591</v>
      </c>
      <c r="J11" s="7" t="s">
        <v>16</v>
      </c>
      <c r="K11" s="17">
        <f>(E12+E13+E14+E15+E16+E17+E18+E19+E20+E21+E22)/E29</f>
        <v>31676.181900709213</v>
      </c>
      <c r="L11" s="8">
        <f>L28</f>
        <v>32</v>
      </c>
      <c r="M11" s="18">
        <f>K11*L11</f>
        <v>1013637.8208226948</v>
      </c>
      <c r="O11" s="15">
        <f t="shared" si="1"/>
        <v>25807.5</v>
      </c>
    </row>
    <row r="12" spans="1:45" x14ac:dyDescent="0.2">
      <c r="A12" s="13" t="s">
        <v>17</v>
      </c>
      <c r="B12" s="14" t="s">
        <v>18</v>
      </c>
      <c r="C12" s="15">
        <f>'[20]Ercot Trading'!C12+'[20]Ercot Origination'!C12+'[20]Southeast Trading'!C12+'[20]Southeast Origination'!C12+'[20]Midwest Trading'!C12+'[20]Midwest Origination'!C12+'[20]Northeast Trading'!C12+'[20]Northeast Origination'!C12+'[20]Management Book'!C12+[20]Structuring_Fund!C12+[20]Services!C12+[20]Options!C12</f>
        <v>556457.20000000007</v>
      </c>
      <c r="E12" s="20">
        <f t="shared" ref="E12:E22" si="2">(C12/9)*12*1.2</f>
        <v>890331.52</v>
      </c>
      <c r="F12" s="21">
        <f t="shared" ref="F12:F22" si="3">E12/$E$29*$L$11</f>
        <v>202061.05418439716</v>
      </c>
      <c r="H12" s="16">
        <f t="shared" si="0"/>
        <v>4.3716893481034705E-2</v>
      </c>
      <c r="J12" s="7"/>
      <c r="K12" s="8"/>
      <c r="L12" s="8"/>
      <c r="M12" s="9"/>
      <c r="O12" s="15">
        <f t="shared" si="1"/>
        <v>6314.4079432624112</v>
      </c>
    </row>
    <row r="13" spans="1:45" ht="13.5" thickBot="1" x14ac:dyDescent="0.25">
      <c r="A13" s="13" t="s">
        <v>19</v>
      </c>
      <c r="B13" s="14" t="s">
        <v>20</v>
      </c>
      <c r="C13" s="15">
        <f>'[20]Ercot Trading'!C13+'[20]Ercot Origination'!C13+'[20]Southeast Trading'!C13+'[20]Southeast Origination'!C13+'[20]Midwest Trading'!C13+'[20]Midwest Origination'!C13+'[20]Northeast Trading'!C13+'[20]Northeast Origination'!C13+'[20]Management Book'!C13+[20]Structuring_Fund!C13+[20]Services!C13+[20]Options!C13</f>
        <v>1014365.41</v>
      </c>
      <c r="E13" s="20">
        <f t="shared" si="2"/>
        <v>1622984.656</v>
      </c>
      <c r="F13" s="21">
        <f t="shared" si="3"/>
        <v>368336.94320567377</v>
      </c>
      <c r="H13" s="16">
        <f t="shared" si="0"/>
        <v>7.9691492139586095E-2</v>
      </c>
      <c r="J13" s="22" t="s">
        <v>21</v>
      </c>
      <c r="K13" s="23"/>
      <c r="L13" s="23"/>
      <c r="M13" s="24">
        <f>M8+M11</f>
        <v>5968677.8208226953</v>
      </c>
      <c r="O13" s="15">
        <f t="shared" si="1"/>
        <v>11510.529475177305</v>
      </c>
    </row>
    <row r="14" spans="1:45" x14ac:dyDescent="0.2">
      <c r="A14" s="13" t="s">
        <v>22</v>
      </c>
      <c r="B14" s="14" t="s">
        <v>23</v>
      </c>
      <c r="C14" s="15">
        <f>'[20]Ercot Trading'!C14+'[20]Ercot Origination'!C14+'[20]Southeast Trading'!C14+'[20]Southeast Origination'!C14+'[20]Midwest Trading'!C14+'[20]Midwest Origination'!C14+'[20]Northeast Trading'!C14+'[20]Northeast Origination'!C14+'[20]Management Book'!C14+[20]Structuring_Fund!C14+[20]Services!C14+[20]Options!C14-C32</f>
        <v>0.38000000012107193</v>
      </c>
      <c r="E14" s="20">
        <f t="shared" si="2"/>
        <v>0.60800000019371503</v>
      </c>
      <c r="F14" s="21">
        <f t="shared" si="3"/>
        <v>0.13798581564680057</v>
      </c>
      <c r="H14" s="16">
        <f t="shared" si="0"/>
        <v>2.9853903459396468E-8</v>
      </c>
      <c r="N14" s="49"/>
      <c r="O14" s="15">
        <f t="shared" si="1"/>
        <v>4.3120567389625178E-3</v>
      </c>
    </row>
    <row r="15" spans="1:45" x14ac:dyDescent="0.2">
      <c r="A15" s="13" t="s">
        <v>24</v>
      </c>
      <c r="B15" s="14" t="s">
        <v>25</v>
      </c>
      <c r="C15" s="15">
        <f>'[20]Ercot Trading'!C15+'[20]Ercot Origination'!C15+'[20]Southeast Trading'!C15+'[20]Southeast Origination'!C15+'[20]Midwest Trading'!C15+'[20]Midwest Origination'!C15+'[20]Northeast Trading'!C15+'[20]Northeast Origination'!C15+'[20]Management Book'!C15+[20]Structuring_Fund!C15+[20]Services!C15+[20]Options!C15</f>
        <v>93227.13</v>
      </c>
      <c r="E15" s="20">
        <f t="shared" si="2"/>
        <v>149163.408</v>
      </c>
      <c r="F15" s="21">
        <f t="shared" si="3"/>
        <v>33852.688340425528</v>
      </c>
      <c r="H15" s="16">
        <f t="shared" si="0"/>
        <v>7.3241940471838168E-3</v>
      </c>
      <c r="K15" s="25"/>
      <c r="O15" s="15">
        <f t="shared" si="1"/>
        <v>1057.8965106382977</v>
      </c>
    </row>
    <row r="16" spans="1:45" x14ac:dyDescent="0.2">
      <c r="A16" s="13" t="s">
        <v>26</v>
      </c>
      <c r="B16" s="14" t="s">
        <v>27</v>
      </c>
      <c r="C16" s="15">
        <f>'[20]Ercot Trading'!C16+'[20]Ercot Origination'!C16+'[20]Southeast Trading'!C16+'[20]Southeast Origination'!C16+'[20]Midwest Trading'!C16+'[20]Midwest Origination'!C16+'[20]Northeast Trading'!C16+'[20]Northeast Origination'!C16+'[20]Management Book'!C16+[20]Structuring_Fund!C16+[20]Services!C16+[20]Options!C16</f>
        <v>0</v>
      </c>
      <c r="E16" s="20">
        <f t="shared" si="2"/>
        <v>0</v>
      </c>
      <c r="F16" s="21">
        <f t="shared" si="3"/>
        <v>0</v>
      </c>
      <c r="H16" s="16">
        <f t="shared" si="0"/>
        <v>0</v>
      </c>
      <c r="J16" t="s">
        <v>28</v>
      </c>
      <c r="K16" s="25">
        <v>33600</v>
      </c>
      <c r="L16">
        <v>2</v>
      </c>
      <c r="M16" s="25">
        <f t="shared" ref="M16:M27" si="4">K16*L16</f>
        <v>67200</v>
      </c>
      <c r="O16" s="15">
        <f t="shared" si="1"/>
        <v>0</v>
      </c>
    </row>
    <row r="17" spans="1:15" x14ac:dyDescent="0.2">
      <c r="A17" s="13" t="s">
        <v>29</v>
      </c>
      <c r="B17" s="14" t="s">
        <v>30</v>
      </c>
      <c r="C17" s="15">
        <f>'[20]Ercot Trading'!C17+'[20]Ercot Origination'!C17+'[20]Southeast Trading'!C17+'[20]Southeast Origination'!C17+'[20]Midwest Trading'!C17+'[20]Midwest Origination'!C17+'[20]Northeast Trading'!C17+'[20]Northeast Origination'!C17+'[20]Management Book'!C17+[20]Structuring_Fund!C17+[20]Services!C17+[20]Options!C17</f>
        <v>5300</v>
      </c>
      <c r="E17" s="20">
        <f t="shared" si="2"/>
        <v>8480</v>
      </c>
      <c r="F17" s="21">
        <f t="shared" si="3"/>
        <v>1924.5390070921985</v>
      </c>
      <c r="H17" s="16">
        <f t="shared" si="0"/>
        <v>4.1638339022207621E-4</v>
      </c>
      <c r="J17" t="s">
        <v>31</v>
      </c>
      <c r="K17" s="25">
        <v>52800</v>
      </c>
      <c r="L17">
        <v>0</v>
      </c>
      <c r="M17" s="25">
        <f t="shared" si="4"/>
        <v>0</v>
      </c>
      <c r="O17" s="15">
        <f t="shared" si="1"/>
        <v>60.141843971631204</v>
      </c>
    </row>
    <row r="18" spans="1:15" x14ac:dyDescent="0.2">
      <c r="A18" s="13" t="s">
        <v>32</v>
      </c>
      <c r="B18" s="14" t="s">
        <v>33</v>
      </c>
      <c r="C18" s="15">
        <f>'[20]Ercot Trading'!C18+'[20]Ercot Origination'!C18+'[20]Southeast Trading'!C18+'[20]Southeast Origination'!C18+'[20]Midwest Trading'!C18+'[20]Midwest Origination'!C18+'[20]Northeast Trading'!C18+'[20]Northeast Origination'!C18+'[20]Management Book'!C18+[20]Structuring_Fund!C18+[20]Services!C18+[20]Options!C18</f>
        <v>287.28999999999655</v>
      </c>
      <c r="E18" s="20">
        <f t="shared" si="2"/>
        <v>459.66399999999447</v>
      </c>
      <c r="F18" s="21">
        <f t="shared" si="3"/>
        <v>104.32090780141719</v>
      </c>
      <c r="H18" s="16">
        <f t="shared" si="0"/>
        <v>2.2570336637150724E-5</v>
      </c>
      <c r="J18" t="s">
        <v>34</v>
      </c>
      <c r="K18" s="25">
        <v>54000</v>
      </c>
      <c r="L18">
        <f>1</f>
        <v>1</v>
      </c>
      <c r="M18" s="25">
        <f t="shared" si="4"/>
        <v>54000</v>
      </c>
      <c r="O18" s="15">
        <f t="shared" si="1"/>
        <v>3.2600283687942873</v>
      </c>
    </row>
    <row r="19" spans="1:15" x14ac:dyDescent="0.2">
      <c r="A19" s="13" t="s">
        <v>35</v>
      </c>
      <c r="B19" s="14" t="s">
        <v>36</v>
      </c>
      <c r="C19" s="15">
        <f>'[20]Ercot Trading'!C19+'[20]Ercot Origination'!C19+'[20]Southeast Trading'!C19+'[20]Southeast Origination'!C19+'[20]Midwest Trading'!C19+'[20]Midwest Origination'!C19+'[20]Northeast Trading'!C19+'[20]Northeast Origination'!C19+'[20]Management Book'!C19+[20]Structuring_Fund!C19+[20]Services!C19+[20]Options!C19</f>
        <v>487149.2</v>
      </c>
      <c r="E19" s="20">
        <f t="shared" si="2"/>
        <v>779438.72000000009</v>
      </c>
      <c r="F19" s="21">
        <f t="shared" si="3"/>
        <v>176893.89390070923</v>
      </c>
      <c r="H19" s="16">
        <f t="shared" si="0"/>
        <v>3.8271855743390995E-2</v>
      </c>
      <c r="J19" t="s">
        <v>37</v>
      </c>
      <c r="K19" s="25">
        <v>63000</v>
      </c>
      <c r="L19">
        <v>0</v>
      </c>
      <c r="M19" s="25">
        <f t="shared" si="4"/>
        <v>0</v>
      </c>
      <c r="O19" s="15">
        <f t="shared" si="1"/>
        <v>5527.9341843971633</v>
      </c>
    </row>
    <row r="20" spans="1:15" x14ac:dyDescent="0.2">
      <c r="A20" s="13" t="s">
        <v>38</v>
      </c>
      <c r="B20" s="14" t="s">
        <v>39</v>
      </c>
      <c r="C20" s="15">
        <f>'[20]Ercot Trading'!C20+'[20]Ercot Origination'!C20+'[20]Southeast Trading'!C20+'[20]Southeast Origination'!C20+'[20]Midwest Trading'!C20+'[20]Midwest Origination'!C20+'[20]Northeast Trading'!C20+'[20]Northeast Origination'!C20+'[20]Management Book'!C20+[20]Structuring_Fund!C20+[20]Services!C20+[20]Options!C20</f>
        <v>78.180000000000007</v>
      </c>
      <c r="E20" s="20">
        <f t="shared" si="2"/>
        <v>125.08800000000001</v>
      </c>
      <c r="F20" s="21">
        <f t="shared" si="3"/>
        <v>28.388765957446811</v>
      </c>
      <c r="H20" s="16">
        <f t="shared" si="0"/>
        <v>6.1420478202947023E-6</v>
      </c>
      <c r="J20" t="s">
        <v>40</v>
      </c>
      <c r="K20" s="25">
        <v>78000</v>
      </c>
      <c r="L20">
        <f>6</f>
        <v>6</v>
      </c>
      <c r="M20" s="25">
        <f t="shared" si="4"/>
        <v>468000</v>
      </c>
      <c r="O20" s="15">
        <f t="shared" si="1"/>
        <v>0.88714893617021284</v>
      </c>
    </row>
    <row r="21" spans="1:15" x14ac:dyDescent="0.2">
      <c r="A21" s="13" t="s">
        <v>41</v>
      </c>
      <c r="B21" s="14" t="s">
        <v>42</v>
      </c>
      <c r="C21" s="15">
        <f>'[20]Ercot Trading'!C21+'[20]Ercot Origination'!C21+'[20]Southeast Trading'!C21+'[20]Southeast Origination'!C21+'[20]Midwest Trading'!C21+'[20]Midwest Origination'!C21+'[20]Northeast Trading'!C21+'[20]Northeast Origination'!C21+'[20]Management Book'!C21+[20]Structuring_Fund!C21+[20]Services!C21+[20]Options!C21</f>
        <v>633408.5</v>
      </c>
      <c r="E21" s="20">
        <f t="shared" si="2"/>
        <v>1013453.5999999999</v>
      </c>
      <c r="F21" s="21">
        <f t="shared" si="3"/>
        <v>230003.65390070918</v>
      </c>
      <c r="H21" s="16">
        <f t="shared" si="0"/>
        <v>4.9762411061411306E-2</v>
      </c>
      <c r="J21" t="s">
        <v>43</v>
      </c>
      <c r="K21" s="25">
        <v>66000</v>
      </c>
      <c r="L21">
        <v>0</v>
      </c>
      <c r="M21" s="25">
        <f t="shared" si="4"/>
        <v>0</v>
      </c>
      <c r="O21" s="15">
        <f t="shared" si="1"/>
        <v>7187.6141843971618</v>
      </c>
    </row>
    <row r="22" spans="1:15" x14ac:dyDescent="0.2">
      <c r="A22" s="13" t="s">
        <v>44</v>
      </c>
      <c r="B22" s="14" t="s">
        <v>45</v>
      </c>
      <c r="C22" s="15">
        <f>'[20]Ercot Trading'!C22+'[20]Ercot Origination'!C22+'[20]Southeast Trading'!C22+'[20]Southeast Origination'!C22+'[20]Midwest Trading'!C22+'[20]Midwest Origination'!C22+'[20]Northeast Trading'!C22+'[20]Northeast Origination'!C22+'[20]Management Book'!C22+[20]Structuring_Fund!C22+[20]Services!C22+[20]Options!C22</f>
        <v>1190.24</v>
      </c>
      <c r="E22" s="20">
        <f t="shared" si="2"/>
        <v>1904.384</v>
      </c>
      <c r="F22" s="21">
        <f t="shared" si="3"/>
        <v>432.20062411347516</v>
      </c>
      <c r="H22" s="16">
        <f t="shared" si="0"/>
        <v>9.350871063734415E-5</v>
      </c>
      <c r="J22" t="s">
        <v>46</v>
      </c>
      <c r="K22" s="25">
        <v>97200</v>
      </c>
      <c r="L22">
        <v>0</v>
      </c>
      <c r="M22" s="25">
        <f t="shared" si="4"/>
        <v>0</v>
      </c>
      <c r="O22" s="15">
        <f t="shared" si="1"/>
        <v>13.506269503546099</v>
      </c>
    </row>
    <row r="23" spans="1:15" ht="13.5" thickBot="1" x14ac:dyDescent="0.25">
      <c r="A23" s="26" t="s">
        <v>47</v>
      </c>
      <c r="B23" s="27" t="s">
        <v>48</v>
      </c>
      <c r="C23" s="28">
        <f>SUM(C8:C22)</f>
        <v>15081091.790000001</v>
      </c>
      <c r="E23" s="28">
        <f>SUM(E8:E22)</f>
        <v>20365845.99466667</v>
      </c>
      <c r="F23" s="58">
        <f>SUM(F8:F22)</f>
        <v>5548677.8208226943</v>
      </c>
      <c r="H23" s="30">
        <f>SUM(H8:H22)</f>
        <v>1</v>
      </c>
      <c r="J23" t="s">
        <v>49</v>
      </c>
      <c r="K23" s="25">
        <v>120000</v>
      </c>
      <c r="L23">
        <f>11+4-4</f>
        <v>11</v>
      </c>
      <c r="M23" s="25">
        <f t="shared" si="4"/>
        <v>1320000</v>
      </c>
      <c r="O23" s="58">
        <f>SUM(O8:O22)</f>
        <v>173396.1819007092</v>
      </c>
    </row>
    <row r="24" spans="1:15" x14ac:dyDescent="0.2">
      <c r="J24" t="s">
        <v>50</v>
      </c>
      <c r="K24" s="25">
        <v>156000</v>
      </c>
      <c r="L24">
        <f>2+4+7-7</f>
        <v>6</v>
      </c>
      <c r="M24" s="25">
        <f t="shared" si="4"/>
        <v>936000</v>
      </c>
    </row>
    <row r="25" spans="1:15" x14ac:dyDescent="0.2">
      <c r="B25" s="27" t="s">
        <v>51</v>
      </c>
      <c r="C25" s="15"/>
      <c r="E25" s="31">
        <f>'[20]Ercot Trading'!E25+'[20]Ercot Origination'!E25+'[20]Southeast Trading'!E25+'[20]Southeast Origination'!E25+'[20]Midwest Trading'!E25+'[20]Midwest Origination'!E25+'[20]Northeast Trading'!E25+'[20]Northeast Origination'!E25+'[20]Management Book'!E25+[20]Structuring_Fund!E25+[20]Services!E25+[20]Options!E25</f>
        <v>91</v>
      </c>
      <c r="F25" s="31">
        <f>SUM(L16:L20,L23:L27)</f>
        <v>32</v>
      </c>
      <c r="J25" t="s">
        <v>52</v>
      </c>
      <c r="K25" s="25">
        <v>180000</v>
      </c>
      <c r="L25">
        <f>1</f>
        <v>1</v>
      </c>
      <c r="M25" s="25">
        <f t="shared" si="4"/>
        <v>180000</v>
      </c>
      <c r="O25" s="31">
        <f>SUM(U16:U20,U23:U27)</f>
        <v>0</v>
      </c>
    </row>
    <row r="26" spans="1:15" x14ac:dyDescent="0.2">
      <c r="C26" s="15"/>
      <c r="E26" s="15"/>
      <c r="F26" s="15"/>
      <c r="J26" t="s">
        <v>53</v>
      </c>
      <c r="K26" s="25">
        <v>216000</v>
      </c>
      <c r="L26">
        <f>4+1-1</f>
        <v>4</v>
      </c>
      <c r="M26" s="25">
        <f t="shared" si="4"/>
        <v>864000</v>
      </c>
      <c r="O26" s="15"/>
    </row>
    <row r="27" spans="1:15" x14ac:dyDescent="0.2">
      <c r="B27" s="27" t="s">
        <v>54</v>
      </c>
      <c r="C27" s="15"/>
      <c r="E27" s="31">
        <f>'[20]Ercot Trading'!E27+'[20]Ercot Origination'!E27+'[20]Southeast Trading'!E27+'[20]Southeast Origination'!E27+'[20]Midwest Trading'!E27+'[20]Midwest Origination'!E27+'[20]Northeast Trading'!E27+'[20]Northeast Origination'!E27+'[20]Management Book'!E27+[20]Structuring_Fund!E27+[20]Services!E27+[20]Options!E27</f>
        <v>50</v>
      </c>
      <c r="F27" s="31">
        <f>SUM(L21:L22)</f>
        <v>0</v>
      </c>
      <c r="J27" t="s">
        <v>55</v>
      </c>
      <c r="K27" s="25">
        <v>240000</v>
      </c>
      <c r="L27">
        <f>2-1</f>
        <v>1</v>
      </c>
      <c r="M27" s="25">
        <f t="shared" si="4"/>
        <v>240000</v>
      </c>
      <c r="O27" s="31">
        <f>SUM(U21:U22)</f>
        <v>0</v>
      </c>
    </row>
    <row r="28" spans="1:15" x14ac:dyDescent="0.2">
      <c r="B28" s="27"/>
      <c r="L28">
        <f>SUM(L16:L27)</f>
        <v>32</v>
      </c>
      <c r="M28" s="25">
        <f>SUM(M16:M27)</f>
        <v>4129200</v>
      </c>
    </row>
    <row r="29" spans="1:15" x14ac:dyDescent="0.2">
      <c r="B29" s="27" t="s">
        <v>56</v>
      </c>
      <c r="E29" s="59">
        <f>SUM(E25:E27)</f>
        <v>141</v>
      </c>
      <c r="F29" s="31">
        <f>SUM(F25:F27)</f>
        <v>32</v>
      </c>
      <c r="H29" s="25"/>
      <c r="O29" s="31">
        <v>1</v>
      </c>
    </row>
    <row r="31" spans="1:15" x14ac:dyDescent="0.2">
      <c r="I31" s="33" t="s">
        <v>57</v>
      </c>
      <c r="J31" s="25"/>
      <c r="K31" s="25"/>
      <c r="L31" s="25"/>
    </row>
    <row r="32" spans="1:15" hidden="1" x14ac:dyDescent="0.2">
      <c r="B32" s="14" t="s">
        <v>23</v>
      </c>
      <c r="C32" s="15">
        <v>524067</v>
      </c>
      <c r="J32" s="25"/>
      <c r="K32" s="25"/>
      <c r="L32" s="25"/>
    </row>
    <row r="33" spans="9:13" x14ac:dyDescent="0.2">
      <c r="I33" s="34" t="s">
        <v>58</v>
      </c>
      <c r="J33" s="35" t="s">
        <v>59</v>
      </c>
      <c r="K33" s="35" t="s">
        <v>60</v>
      </c>
      <c r="L33" s="35" t="s">
        <v>3</v>
      </c>
      <c r="M33" s="35" t="s">
        <v>61</v>
      </c>
    </row>
    <row r="34" spans="9:13" x14ac:dyDescent="0.2">
      <c r="I34" s="36">
        <f>SUM(E12:E22)</f>
        <v>4466341.6479999991</v>
      </c>
      <c r="J34" s="37">
        <f>+E29</f>
        <v>141</v>
      </c>
      <c r="K34" s="37">
        <f>+I34/J34</f>
        <v>31676.181900709213</v>
      </c>
      <c r="L34" s="37">
        <f>+L11</f>
        <v>32</v>
      </c>
      <c r="M34" s="37">
        <f>+K34*L34</f>
        <v>1013637.8208226948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Summary 2002 Revised</vt:lpstr>
      <vt:lpstr>Summary 2002</vt:lpstr>
      <vt:lpstr>Natural Gas</vt:lpstr>
      <vt:lpstr>Natural Gas Trading</vt:lpstr>
      <vt:lpstr>Natural Gas Orig</vt:lpstr>
      <vt:lpstr>Natural Gas A&amp;A</vt:lpstr>
      <vt:lpstr>Natural Gas Admin</vt:lpstr>
      <vt:lpstr>East Power</vt:lpstr>
      <vt:lpstr>East Power Trading</vt:lpstr>
      <vt:lpstr>East Power Origination</vt:lpstr>
      <vt:lpstr>East Power A&amp;A</vt:lpstr>
      <vt:lpstr>East Power Admins</vt:lpstr>
      <vt:lpstr>West Power</vt:lpstr>
      <vt:lpstr>West Power Trading</vt:lpstr>
      <vt:lpstr>West Power Origination</vt:lpstr>
      <vt:lpstr>West Power A&amp;A</vt:lpstr>
      <vt:lpstr>West Power Admins</vt:lpstr>
      <vt:lpstr>Canada</vt:lpstr>
      <vt:lpstr>Canada Trading</vt:lpstr>
      <vt:lpstr>Canada Origination</vt:lpstr>
      <vt:lpstr>Canada A&amp;A</vt:lpstr>
      <vt:lpstr>Canada Admins</vt:lpstr>
      <vt:lpstr>Office of the Chair</vt:lpstr>
      <vt:lpstr>Fin Ops</vt:lpstr>
      <vt:lpstr>Mexico</vt:lpstr>
      <vt:lpstr>Cash Ops</vt:lpstr>
      <vt:lpstr>SAP</vt:lpstr>
      <vt:lpstr>Tax</vt:lpstr>
      <vt:lpstr>Reg Affairs</vt:lpstr>
      <vt:lpstr>Credit</vt:lpstr>
      <vt:lpstr>Research</vt:lpstr>
      <vt:lpstr>Mkt Risk</vt:lpstr>
      <vt:lpstr>EOPs</vt:lpstr>
      <vt:lpstr>HR</vt:lpstr>
      <vt:lpstr>IT Dev-EOL</vt:lpstr>
      <vt:lpstr>IT Infra</vt:lpstr>
      <vt:lpstr>EOL Support</vt:lpstr>
      <vt:lpstr>Canada Support</vt:lpstr>
      <vt:lpstr>Legal</vt:lpstr>
      <vt:lpstr>Fundies-All</vt:lpstr>
      <vt:lpstr>Struct</vt:lpstr>
      <vt:lpstr>Weather</vt:lpstr>
      <vt:lpstr>IT Dev</vt:lpstr>
      <vt:lpstr>IT EOL</vt:lpstr>
      <vt:lpstr>IT All</vt:lpstr>
      <vt:lpstr>Fundies-Hou</vt:lpstr>
      <vt:lpstr>Competitive Ana</vt:lpstr>
      <vt:lpstr>Gas - Fund</vt:lpstr>
      <vt:lpstr>East - Fund</vt:lpstr>
      <vt:lpstr>West - Fund</vt:lpstr>
      <vt:lpstr>West - Struct</vt:lpstr>
      <vt:lpstr>Gas - Struct</vt:lpstr>
      <vt:lpstr>East - Struct</vt:lpstr>
      <vt:lpstr>Canada!Print_Area</vt:lpstr>
      <vt:lpstr>'Canada A&amp;A'!Print_Area</vt:lpstr>
      <vt:lpstr>'Canada Admins'!Print_Area</vt:lpstr>
      <vt:lpstr>'Canada Origination'!Print_Area</vt:lpstr>
      <vt:lpstr>'Canada Support'!Print_Area</vt:lpstr>
      <vt:lpstr>'Canada Trading'!Print_Area</vt:lpstr>
      <vt:lpstr>'Cash Ops'!Print_Area</vt:lpstr>
      <vt:lpstr>'Competitive Ana'!Print_Area</vt:lpstr>
      <vt:lpstr>Credit!Print_Area</vt:lpstr>
      <vt:lpstr>'East - Fund'!Print_Area</vt:lpstr>
      <vt:lpstr>'East - Struct'!Print_Area</vt:lpstr>
      <vt:lpstr>'East Power'!Print_Area</vt:lpstr>
      <vt:lpstr>'East Power A&amp;A'!Print_Area</vt:lpstr>
      <vt:lpstr>'East Power Admins'!Print_Area</vt:lpstr>
      <vt:lpstr>'East Power Origination'!Print_Area</vt:lpstr>
      <vt:lpstr>'East Power Trading'!Print_Area</vt:lpstr>
      <vt:lpstr>'EOL Support'!Print_Area</vt:lpstr>
      <vt:lpstr>EOPs!Print_Area</vt:lpstr>
      <vt:lpstr>'Fin Ops'!Print_Area</vt:lpstr>
      <vt:lpstr>'Fundies-All'!Print_Area</vt:lpstr>
      <vt:lpstr>'Fundies-Hou'!Print_Area</vt:lpstr>
      <vt:lpstr>'Gas - Fund'!Print_Area</vt:lpstr>
      <vt:lpstr>'Gas - Struct'!Print_Area</vt:lpstr>
      <vt:lpstr>HR!Print_Area</vt:lpstr>
      <vt:lpstr>'IT All'!Print_Area</vt:lpstr>
      <vt:lpstr>'IT Dev'!Print_Area</vt:lpstr>
      <vt:lpstr>'IT Dev-EOL'!Print_Area</vt:lpstr>
      <vt:lpstr>'IT EOL'!Print_Area</vt:lpstr>
      <vt:lpstr>'IT Infra'!Print_Area</vt:lpstr>
      <vt:lpstr>Legal!Print_Area</vt:lpstr>
      <vt:lpstr>Mexico!Print_Area</vt:lpstr>
      <vt:lpstr>'Mkt Risk'!Print_Area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  <vt:lpstr>'Office of the Chair'!Print_Area</vt:lpstr>
      <vt:lpstr>'Reg Affairs'!Print_Area</vt:lpstr>
      <vt:lpstr>Research!Print_Area</vt:lpstr>
      <vt:lpstr>SAP!Print_Area</vt:lpstr>
      <vt:lpstr>Struct!Print_Area</vt:lpstr>
      <vt:lpstr>'Summary 2002'!Print_Area</vt:lpstr>
      <vt:lpstr>'Summary 2002 Revised'!Print_Area</vt:lpstr>
      <vt:lpstr>Tax!Print_Area</vt:lpstr>
      <vt:lpstr>Weather!Print_Area</vt:lpstr>
      <vt:lpstr>'West - Fund'!Print_Area</vt:lpstr>
      <vt:lpstr>'West - Struct'!Print_Area</vt:lpstr>
      <vt:lpstr>'West Power'!Print_Area</vt:lpstr>
      <vt:lpstr>'West Power A&amp;A'!Print_Area</vt:lpstr>
      <vt:lpstr>'West Power Admins'!Print_Area</vt:lpstr>
      <vt:lpstr>'West Power Origination'!Print_Area</vt:lpstr>
      <vt:lpstr>'West Power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2001-12-28T17:23:13Z</cp:lastPrinted>
  <dcterms:created xsi:type="dcterms:W3CDTF">2001-12-05T13:20:56Z</dcterms:created>
  <dcterms:modified xsi:type="dcterms:W3CDTF">2014-09-05T10:47:26Z</dcterms:modified>
</cp:coreProperties>
</file>