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930" yWindow="-285" windowWidth="15480" windowHeight="10095" activeTab="1"/>
  </bookViews>
  <sheets>
    <sheet name="summary_P&amp;L" sheetId="16" r:id="rId1"/>
    <sheet name="All" sheetId="22" r:id="rId2"/>
    <sheet name="Non-Peak" sheetId="21" r:id="rId3"/>
    <sheet name="Peak" sheetId="20" r:id="rId4"/>
    <sheet name="external_curves" sheetId="1" r:id="rId5"/>
    <sheet name="Trades" sheetId="14" r:id="rId6"/>
    <sheet name="Sheet2" sheetId="17" r:id="rId7"/>
    <sheet name="ROM_hrs" sheetId="8" r:id="rId8"/>
    <sheet name="hourly_curves" sheetId="19" r:id="rId9"/>
    <sheet name="Alberta Curve" sheetId="18" r:id="rId10"/>
    <sheet name="Fwd_curves" sheetId="3" r:id="rId11"/>
    <sheet name="swap_model" sheetId="7" r:id="rId12"/>
    <sheet name="H-rate_model" sheetId="10" r:id="rId13"/>
    <sheet name="ab_gas_deal" sheetId="15" r:id="rId14"/>
    <sheet name="PJM_deal" sheetId="1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BasisTable">'Alberta Curve'!$AR$13:$AT$19</definedName>
    <definedName name="BigTable">'Alberta Curve'!$M$9:$U$92</definedName>
    <definedName name="DailyScalarsTable">'Alberta Curve'!$AB$7:$AL$7</definedName>
    <definedName name="DateToday">[2]MAIN!$C$2</definedName>
    <definedName name="GasBasis">[2]MAIN!$C$31</definedName>
    <definedName name="GasFirstMonth">'Alberta Curve'!#REF!</definedName>
    <definedName name="GasPriceCurve">[2]MAIN!$AZ$29</definedName>
    <definedName name="GasTable">'Alberta Curve'!#REF!</definedName>
    <definedName name="GasTransportPercent">[2]MAIN!$C$34</definedName>
    <definedName name="GasVolAsPercentOfNYMEX">[2]MAIN!$F$32</definedName>
    <definedName name="GasVolCurve">[2]MAIN!$AZ$30</definedName>
    <definedName name="GasVolOver">[2]MAIN!$F$34</definedName>
    <definedName name="GasVolSpread">[2]MAIN!$F$33</definedName>
    <definedName name="HeatRateOffPeak">HeatRatePeak*[2]MAIN!$I$29</definedName>
    <definedName name="HeatRatePeak">[2]MAIN!$I$28</definedName>
    <definedName name="IRFirstMonth">'Alberta Curve'!$A$3</definedName>
    <definedName name="IRTable">'Alberta Curve'!$A$3:$B$46</definedName>
    <definedName name="OBuySell">[2]MAIN!$AZ$15</definedName>
    <definedName name="OCallPut">[2]MAIN!$AZ$16</definedName>
    <definedName name="OVolType">[2]MAIN!$AZ$19</definedName>
    <definedName name="PeakEnd">'Alberta Curve'!#REF!</definedName>
    <definedName name="PeakStart">'Alberta Curve'!#REF!</definedName>
    <definedName name="PositionBasis">'Alberta Curve'!$AR$4</definedName>
    <definedName name="PositionRegion">'Alberta Curve'!$D$3</definedName>
    <definedName name="PriceTable">'Alberta Curve'!$D$40:$K$46</definedName>
    <definedName name="_xlnm.Print_Area" localSheetId="4">external_curves!$A$8:$E$37</definedName>
    <definedName name="_xlnm.Print_Area" localSheetId="10">Fwd_curves!$A$2:$K$85</definedName>
    <definedName name="_xlnm.Print_Area" localSheetId="11">swap_model!$A$2:$I$36</definedName>
    <definedName name="_xlnm.Print_Area" localSheetId="5">Trades!$A$21:$AD$58</definedName>
    <definedName name="SpreadOptGasMargin">[2]MAIN!$C$32+[2]MAIN!$C$33</definedName>
    <definedName name="SpreadOptPowerMargin">[2]MAIN!$I$30+[2]MAIN!$I$31</definedName>
    <definedName name="VolSmileBook">'Alberta Curve'!$W$10:$Y$19</definedName>
    <definedName name="VolSmileModel">'Alberta Curve'!$AO$5:$AP$25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G6" i="15" l="1"/>
  <c r="B7" i="15"/>
  <c r="G10" i="15"/>
  <c r="G11" i="15"/>
  <c r="B12" i="15"/>
  <c r="G12" i="15"/>
  <c r="B13" i="15"/>
  <c r="B14" i="15"/>
  <c r="G14" i="15"/>
  <c r="B15" i="15"/>
  <c r="G15" i="15"/>
  <c r="B16" i="15"/>
  <c r="B22" i="15"/>
  <c r="A27" i="15"/>
  <c r="B27" i="15"/>
  <c r="E27" i="15"/>
  <c r="F27" i="15"/>
  <c r="G27" i="15"/>
  <c r="H27" i="15"/>
  <c r="J27" i="15"/>
  <c r="K27" i="15"/>
  <c r="L27" i="15"/>
  <c r="N27" i="15"/>
  <c r="O27" i="15"/>
  <c r="A28" i="15"/>
  <c r="B28" i="15"/>
  <c r="E28" i="15"/>
  <c r="F28" i="15"/>
  <c r="G28" i="15"/>
  <c r="H28" i="15"/>
  <c r="J28" i="15"/>
  <c r="K28" i="15"/>
  <c r="L28" i="15"/>
  <c r="N28" i="15"/>
  <c r="O28" i="15"/>
  <c r="A29" i="15"/>
  <c r="B29" i="15"/>
  <c r="E29" i="15"/>
  <c r="F29" i="15"/>
  <c r="G29" i="15"/>
  <c r="H29" i="15"/>
  <c r="J29" i="15"/>
  <c r="K29" i="15"/>
  <c r="L29" i="15"/>
  <c r="N29" i="15"/>
  <c r="O29" i="15"/>
  <c r="A30" i="15"/>
  <c r="B30" i="15"/>
  <c r="E30" i="15"/>
  <c r="F30" i="15"/>
  <c r="G30" i="15"/>
  <c r="H30" i="15"/>
  <c r="J30" i="15"/>
  <c r="K30" i="15"/>
  <c r="L30" i="15"/>
  <c r="N30" i="15"/>
  <c r="O30" i="15"/>
  <c r="A31" i="15"/>
  <c r="B31" i="15"/>
  <c r="E31" i="15"/>
  <c r="F31" i="15"/>
  <c r="G31" i="15"/>
  <c r="H31" i="15"/>
  <c r="J31" i="15"/>
  <c r="K31" i="15"/>
  <c r="L31" i="15"/>
  <c r="N31" i="15"/>
  <c r="O31" i="15"/>
  <c r="A32" i="15"/>
  <c r="B32" i="15"/>
  <c r="E32" i="15"/>
  <c r="F32" i="15"/>
  <c r="G32" i="15"/>
  <c r="H32" i="15"/>
  <c r="J32" i="15"/>
  <c r="K32" i="15"/>
  <c r="L32" i="15"/>
  <c r="N32" i="15"/>
  <c r="O32" i="15"/>
  <c r="A33" i="15"/>
  <c r="B33" i="15"/>
  <c r="E33" i="15"/>
  <c r="F33" i="15"/>
  <c r="G33" i="15"/>
  <c r="H33" i="15"/>
  <c r="J33" i="15"/>
  <c r="K33" i="15"/>
  <c r="L33" i="15"/>
  <c r="N33" i="15"/>
  <c r="O33" i="15"/>
  <c r="A34" i="15"/>
  <c r="B34" i="15"/>
  <c r="E34" i="15"/>
  <c r="F34" i="15"/>
  <c r="G34" i="15"/>
  <c r="H34" i="15"/>
  <c r="J34" i="15"/>
  <c r="K34" i="15"/>
  <c r="L34" i="15"/>
  <c r="N34" i="15"/>
  <c r="O34" i="15"/>
  <c r="A35" i="15"/>
  <c r="B35" i="15"/>
  <c r="E35" i="15"/>
  <c r="F35" i="15"/>
  <c r="G35" i="15"/>
  <c r="H35" i="15"/>
  <c r="J35" i="15"/>
  <c r="K35" i="15"/>
  <c r="L35" i="15"/>
  <c r="N35" i="15"/>
  <c r="O35" i="15"/>
  <c r="A36" i="15"/>
  <c r="B36" i="15"/>
  <c r="E36" i="15"/>
  <c r="F36" i="15"/>
  <c r="G36" i="15"/>
  <c r="H36" i="15"/>
  <c r="J36" i="15"/>
  <c r="K36" i="15"/>
  <c r="L36" i="15"/>
  <c r="N36" i="15"/>
  <c r="O36" i="15"/>
  <c r="A37" i="15"/>
  <c r="B37" i="15"/>
  <c r="E37" i="15"/>
  <c r="F37" i="15"/>
  <c r="G37" i="15"/>
  <c r="H37" i="15"/>
  <c r="J37" i="15"/>
  <c r="K37" i="15"/>
  <c r="L37" i="15"/>
  <c r="N37" i="15"/>
  <c r="O37" i="15"/>
  <c r="A38" i="15"/>
  <c r="B38" i="15"/>
  <c r="E38" i="15"/>
  <c r="F38" i="15"/>
  <c r="G38" i="15"/>
  <c r="H38" i="15"/>
  <c r="J38" i="15"/>
  <c r="K38" i="15"/>
  <c r="L38" i="15"/>
  <c r="N38" i="15"/>
  <c r="O38" i="15"/>
  <c r="A39" i="15"/>
  <c r="B39" i="15"/>
  <c r="E39" i="15"/>
  <c r="F39" i="15"/>
  <c r="G39" i="15"/>
  <c r="H39" i="15"/>
  <c r="J39" i="15"/>
  <c r="K39" i="15"/>
  <c r="L39" i="15"/>
  <c r="N39" i="15"/>
  <c r="O39" i="15"/>
  <c r="A40" i="15"/>
  <c r="B40" i="15"/>
  <c r="E40" i="15"/>
  <c r="F40" i="15"/>
  <c r="G40" i="15"/>
  <c r="H40" i="15"/>
  <c r="J40" i="15"/>
  <c r="K40" i="15"/>
  <c r="L40" i="15"/>
  <c r="N40" i="15"/>
  <c r="O40" i="15"/>
  <c r="A41" i="15"/>
  <c r="B41" i="15"/>
  <c r="E41" i="15"/>
  <c r="F41" i="15"/>
  <c r="G41" i="15"/>
  <c r="H41" i="15"/>
  <c r="J41" i="15"/>
  <c r="K41" i="15"/>
  <c r="L41" i="15"/>
  <c r="N41" i="15"/>
  <c r="O41" i="15"/>
  <c r="A42" i="15"/>
  <c r="B42" i="15"/>
  <c r="E42" i="15"/>
  <c r="F42" i="15"/>
  <c r="G42" i="15"/>
  <c r="H42" i="15"/>
  <c r="J42" i="15"/>
  <c r="K42" i="15"/>
  <c r="L42" i="15"/>
  <c r="N42" i="15"/>
  <c r="O42" i="15"/>
  <c r="A43" i="15"/>
  <c r="B43" i="15"/>
  <c r="E43" i="15"/>
  <c r="F43" i="15"/>
  <c r="G43" i="15"/>
  <c r="H43" i="15"/>
  <c r="J43" i="15"/>
  <c r="K43" i="15"/>
  <c r="L43" i="15"/>
  <c r="N43" i="15"/>
  <c r="O43" i="15"/>
  <c r="A44" i="15"/>
  <c r="B44" i="15"/>
  <c r="E44" i="15"/>
  <c r="F44" i="15"/>
  <c r="G44" i="15"/>
  <c r="H44" i="15"/>
  <c r="J44" i="15"/>
  <c r="K44" i="15"/>
  <c r="L44" i="15"/>
  <c r="N44" i="15"/>
  <c r="O44" i="15"/>
  <c r="A45" i="15"/>
  <c r="B45" i="15"/>
  <c r="E45" i="15"/>
  <c r="F45" i="15"/>
  <c r="G45" i="15"/>
  <c r="H45" i="15"/>
  <c r="J45" i="15"/>
  <c r="K45" i="15"/>
  <c r="L45" i="15"/>
  <c r="N45" i="15"/>
  <c r="O45" i="15"/>
  <c r="A46" i="15"/>
  <c r="B46" i="15"/>
  <c r="E46" i="15"/>
  <c r="F46" i="15"/>
  <c r="G46" i="15"/>
  <c r="H46" i="15"/>
  <c r="J46" i="15"/>
  <c r="K46" i="15"/>
  <c r="L46" i="15"/>
  <c r="N46" i="15"/>
  <c r="O46" i="15"/>
  <c r="A47" i="15"/>
  <c r="B47" i="15"/>
  <c r="E47" i="15"/>
  <c r="F47" i="15"/>
  <c r="G47" i="15"/>
  <c r="H47" i="15"/>
  <c r="J47" i="15"/>
  <c r="K47" i="15"/>
  <c r="L47" i="15"/>
  <c r="N47" i="15"/>
  <c r="O47" i="15"/>
  <c r="A48" i="15"/>
  <c r="B48" i="15"/>
  <c r="E48" i="15"/>
  <c r="F48" i="15"/>
  <c r="G48" i="15"/>
  <c r="H48" i="15"/>
  <c r="J48" i="15"/>
  <c r="K48" i="15"/>
  <c r="L48" i="15"/>
  <c r="N48" i="15"/>
  <c r="O48" i="15"/>
  <c r="A49" i="15"/>
  <c r="B49" i="15"/>
  <c r="E49" i="15"/>
  <c r="F49" i="15"/>
  <c r="G49" i="15"/>
  <c r="H49" i="15"/>
  <c r="J49" i="15"/>
  <c r="K49" i="15"/>
  <c r="L49" i="15"/>
  <c r="N49" i="15"/>
  <c r="O49" i="15"/>
  <c r="A50" i="15"/>
  <c r="B50" i="15"/>
  <c r="E50" i="15"/>
  <c r="F50" i="15"/>
  <c r="G50" i="15"/>
  <c r="H50" i="15"/>
  <c r="J50" i="15"/>
  <c r="K50" i="15"/>
  <c r="L50" i="15"/>
  <c r="N50" i="15"/>
  <c r="O50" i="15"/>
  <c r="A4" i="18"/>
  <c r="A5" i="18"/>
  <c r="A6" i="18"/>
  <c r="A7" i="18"/>
  <c r="A8" i="18"/>
  <c r="A9" i="18"/>
  <c r="C9" i="18"/>
  <c r="D9" i="18"/>
  <c r="E9" i="18"/>
  <c r="G9" i="18"/>
  <c r="I9" i="18"/>
  <c r="K9" i="18"/>
  <c r="A10" i="18"/>
  <c r="C10" i="18"/>
  <c r="D10" i="18"/>
  <c r="E10" i="18"/>
  <c r="G10" i="18"/>
  <c r="I10" i="18"/>
  <c r="K10" i="18"/>
  <c r="X10" i="18"/>
  <c r="Y10" i="18"/>
  <c r="Z10" i="18"/>
  <c r="A11" i="18"/>
  <c r="C11" i="18"/>
  <c r="D11" i="18"/>
  <c r="E11" i="18"/>
  <c r="G11" i="18"/>
  <c r="I11" i="18"/>
  <c r="K11" i="18"/>
  <c r="O11" i="18"/>
  <c r="S11" i="18"/>
  <c r="X11" i="18"/>
  <c r="Y11" i="18"/>
  <c r="Z11" i="18"/>
  <c r="A12" i="18"/>
  <c r="C12" i="18"/>
  <c r="D12" i="18"/>
  <c r="E12" i="18"/>
  <c r="G12" i="18"/>
  <c r="K12" i="18"/>
  <c r="O12" i="18"/>
  <c r="S12" i="18"/>
  <c r="X12" i="18"/>
  <c r="Y12" i="18"/>
  <c r="Z12" i="18"/>
  <c r="A13" i="18"/>
  <c r="C13" i="18"/>
  <c r="D13" i="18"/>
  <c r="E13" i="18"/>
  <c r="G13" i="18"/>
  <c r="I13" i="18"/>
  <c r="K13" i="18"/>
  <c r="O13" i="18"/>
  <c r="S13" i="18"/>
  <c r="X13" i="18"/>
  <c r="Y13" i="18"/>
  <c r="Z13" i="18"/>
  <c r="A14" i="18"/>
  <c r="C14" i="18"/>
  <c r="D14" i="18"/>
  <c r="E14" i="18"/>
  <c r="G14" i="18"/>
  <c r="I14" i="18"/>
  <c r="K14" i="18"/>
  <c r="O14" i="18"/>
  <c r="S14" i="18"/>
  <c r="X14" i="18"/>
  <c r="Y14" i="18"/>
  <c r="Z14" i="18"/>
  <c r="A15" i="18"/>
  <c r="C15" i="18"/>
  <c r="D15" i="18"/>
  <c r="E15" i="18"/>
  <c r="G15" i="18"/>
  <c r="I15" i="18"/>
  <c r="K15" i="18"/>
  <c r="O15" i="18"/>
  <c r="S15" i="18"/>
  <c r="X15" i="18"/>
  <c r="Y15" i="18"/>
  <c r="Z15" i="18"/>
  <c r="A16" i="18"/>
  <c r="C16" i="18"/>
  <c r="D16" i="18"/>
  <c r="E16" i="18"/>
  <c r="G16" i="18"/>
  <c r="I16" i="18"/>
  <c r="K16" i="18"/>
  <c r="O16" i="18"/>
  <c r="S16" i="18"/>
  <c r="X16" i="18"/>
  <c r="Y16" i="18"/>
  <c r="Z16" i="18"/>
  <c r="A17" i="18"/>
  <c r="C17" i="18"/>
  <c r="D17" i="18"/>
  <c r="E17" i="18"/>
  <c r="G17" i="18"/>
  <c r="I17" i="18"/>
  <c r="K17" i="18"/>
  <c r="O17" i="18"/>
  <c r="S17" i="18"/>
  <c r="X17" i="18"/>
  <c r="Y17" i="18"/>
  <c r="Z17" i="18"/>
  <c r="A18" i="18"/>
  <c r="C18" i="18"/>
  <c r="D18" i="18"/>
  <c r="E18" i="18"/>
  <c r="G18" i="18"/>
  <c r="I18" i="18"/>
  <c r="K18" i="18"/>
  <c r="O18" i="18"/>
  <c r="S18" i="18"/>
  <c r="X18" i="18"/>
  <c r="Y18" i="18"/>
  <c r="Z18" i="18"/>
  <c r="A19" i="18"/>
  <c r="C19" i="18"/>
  <c r="D19" i="18"/>
  <c r="E19" i="18"/>
  <c r="G19" i="18"/>
  <c r="I19" i="18"/>
  <c r="K19" i="18"/>
  <c r="O19" i="18"/>
  <c r="S19" i="18"/>
  <c r="X19" i="18"/>
  <c r="Y19" i="18"/>
  <c r="Z19" i="18"/>
  <c r="A20" i="18"/>
  <c r="C20" i="18"/>
  <c r="D20" i="18"/>
  <c r="E20" i="18"/>
  <c r="G20" i="18"/>
  <c r="I20" i="18"/>
  <c r="K20" i="18"/>
  <c r="O20" i="18"/>
  <c r="S20" i="18"/>
  <c r="X20" i="18"/>
  <c r="Y20" i="18"/>
  <c r="Z20" i="18"/>
  <c r="A21" i="18"/>
  <c r="C21" i="18"/>
  <c r="D21" i="18"/>
  <c r="E21" i="18"/>
  <c r="G21" i="18"/>
  <c r="I21" i="18"/>
  <c r="K21" i="18"/>
  <c r="O21" i="18"/>
  <c r="S21" i="18"/>
  <c r="X21" i="18"/>
  <c r="Y21" i="18"/>
  <c r="Z21" i="18"/>
  <c r="A22" i="18"/>
  <c r="C22" i="18"/>
  <c r="D22" i="18"/>
  <c r="E22" i="18"/>
  <c r="G22" i="18"/>
  <c r="I22" i="18"/>
  <c r="K22" i="18"/>
  <c r="O22" i="18"/>
  <c r="S22" i="18"/>
  <c r="A23" i="18"/>
  <c r="C23" i="18"/>
  <c r="D23" i="18"/>
  <c r="E23" i="18"/>
  <c r="G23" i="18"/>
  <c r="I23" i="18"/>
  <c r="K23" i="18"/>
  <c r="O23" i="18"/>
  <c r="S23" i="18"/>
  <c r="A24" i="18"/>
  <c r="C24" i="18"/>
  <c r="D24" i="18"/>
  <c r="E24" i="18"/>
  <c r="G24" i="18"/>
  <c r="I24" i="18"/>
  <c r="K24" i="18"/>
  <c r="O24" i="18"/>
  <c r="S24" i="18"/>
  <c r="A25" i="18"/>
  <c r="C25" i="18"/>
  <c r="D25" i="18"/>
  <c r="E25" i="18"/>
  <c r="G25" i="18"/>
  <c r="I25" i="18"/>
  <c r="K25" i="18"/>
  <c r="O25" i="18"/>
  <c r="S25" i="18"/>
  <c r="A26" i="18"/>
  <c r="C26" i="18"/>
  <c r="D26" i="18"/>
  <c r="E26" i="18"/>
  <c r="G26" i="18"/>
  <c r="I26" i="18"/>
  <c r="K26" i="18"/>
  <c r="O26" i="18"/>
  <c r="S26" i="18"/>
  <c r="A27" i="18"/>
  <c r="C27" i="18"/>
  <c r="D27" i="18"/>
  <c r="E27" i="18"/>
  <c r="G27" i="18"/>
  <c r="I27" i="18"/>
  <c r="K27" i="18"/>
  <c r="O27" i="18"/>
  <c r="S27" i="18"/>
  <c r="A28" i="18"/>
  <c r="C28" i="18"/>
  <c r="D28" i="18"/>
  <c r="E28" i="18"/>
  <c r="G28" i="18"/>
  <c r="I28" i="18"/>
  <c r="K28" i="18"/>
  <c r="O28" i="18"/>
  <c r="S28" i="18"/>
  <c r="A29" i="18"/>
  <c r="C29" i="18"/>
  <c r="D29" i="18"/>
  <c r="E29" i="18"/>
  <c r="G29" i="18"/>
  <c r="I29" i="18"/>
  <c r="K29" i="18"/>
  <c r="O29" i="18"/>
  <c r="S29" i="18"/>
  <c r="A30" i="18"/>
  <c r="C30" i="18"/>
  <c r="D30" i="18"/>
  <c r="E30" i="18"/>
  <c r="G30" i="18"/>
  <c r="I30" i="18"/>
  <c r="K30" i="18"/>
  <c r="A31" i="18"/>
  <c r="C31" i="18"/>
  <c r="D31" i="18"/>
  <c r="E31" i="18"/>
  <c r="G31" i="18"/>
  <c r="I31" i="18"/>
  <c r="K31" i="18"/>
  <c r="A32" i="18"/>
  <c r="C32" i="18"/>
  <c r="D32" i="18"/>
  <c r="E32" i="18"/>
  <c r="G32" i="18"/>
  <c r="I32" i="18"/>
  <c r="K32" i="18"/>
  <c r="A33" i="18"/>
  <c r="C33" i="18"/>
  <c r="D33" i="18"/>
  <c r="E33" i="18"/>
  <c r="G33" i="18"/>
  <c r="I33" i="18"/>
  <c r="K33" i="18"/>
  <c r="A34" i="18"/>
  <c r="C34" i="18"/>
  <c r="D34" i="18"/>
  <c r="E34" i="18"/>
  <c r="G34" i="18"/>
  <c r="I34" i="18"/>
  <c r="K34" i="18"/>
  <c r="A35" i="18"/>
  <c r="C35" i="18"/>
  <c r="D35" i="18"/>
  <c r="E35" i="18"/>
  <c r="G35" i="18"/>
  <c r="I35" i="18"/>
  <c r="K35" i="18"/>
  <c r="A36" i="18"/>
  <c r="C36" i="18"/>
  <c r="D36" i="18"/>
  <c r="E36" i="18"/>
  <c r="G36" i="18"/>
  <c r="I36" i="18"/>
  <c r="K36" i="18"/>
  <c r="A37" i="18"/>
  <c r="C37" i="18"/>
  <c r="D37" i="18"/>
  <c r="E37" i="18"/>
  <c r="G37" i="18"/>
  <c r="I37" i="18"/>
  <c r="K37" i="18"/>
  <c r="A38" i="18"/>
  <c r="C38" i="18"/>
  <c r="D38" i="18"/>
  <c r="E38" i="18"/>
  <c r="G38" i="18"/>
  <c r="I38" i="18"/>
  <c r="K38" i="18"/>
  <c r="A39" i="18"/>
  <c r="C39" i="18"/>
  <c r="D39" i="18"/>
  <c r="E39" i="18"/>
  <c r="G39" i="18"/>
  <c r="I39" i="18"/>
  <c r="K39" i="18"/>
  <c r="A40" i="18"/>
  <c r="E40" i="18"/>
  <c r="G40" i="18"/>
  <c r="I40" i="18"/>
  <c r="K40" i="18"/>
  <c r="A41" i="18"/>
  <c r="E41" i="18"/>
  <c r="G41" i="18"/>
  <c r="I41" i="18"/>
  <c r="K41" i="18"/>
  <c r="A42" i="18"/>
  <c r="E42" i="18"/>
  <c r="G42" i="18"/>
  <c r="I42" i="18"/>
  <c r="K42" i="18"/>
  <c r="A43" i="18"/>
  <c r="E43" i="18"/>
  <c r="G43" i="18"/>
  <c r="I43" i="18"/>
  <c r="K43" i="18"/>
  <c r="A44" i="18"/>
  <c r="E44" i="18"/>
  <c r="G44" i="18"/>
  <c r="I44" i="18"/>
  <c r="K44" i="18"/>
  <c r="A45" i="18"/>
  <c r="E45" i="18"/>
  <c r="G45" i="18"/>
  <c r="I45" i="18"/>
  <c r="K45" i="18"/>
  <c r="A46" i="18"/>
  <c r="E46" i="18"/>
  <c r="G46" i="18"/>
  <c r="I46" i="18"/>
  <c r="K46" i="18"/>
  <c r="A1" i="22"/>
  <c r="B1" i="22"/>
  <c r="C1" i="22"/>
  <c r="D1" i="22"/>
  <c r="E1" i="22"/>
  <c r="F1" i="22"/>
  <c r="G1" i="22"/>
  <c r="H1" i="22"/>
  <c r="I1" i="22"/>
  <c r="J1" i="22"/>
  <c r="K1" i="22"/>
  <c r="L1" i="22"/>
  <c r="M1" i="22"/>
  <c r="N1" i="22"/>
  <c r="O1" i="22"/>
  <c r="P1" i="22"/>
  <c r="A2" i="22"/>
  <c r="B2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A3" i="22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A4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A5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A6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A7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A8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A9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A10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A11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A12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A13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A14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A15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A16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A17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A18" i="22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A19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A20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A21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A22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A23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B2" i="1"/>
  <c r="C6" i="1"/>
  <c r="Q10" i="1"/>
  <c r="R10" i="1"/>
  <c r="S10" i="1"/>
  <c r="W10" i="1"/>
  <c r="X10" i="1"/>
  <c r="AB10" i="1"/>
  <c r="AD10" i="1"/>
  <c r="AE10" i="1"/>
  <c r="AF10" i="1"/>
  <c r="Q11" i="1"/>
  <c r="R11" i="1"/>
  <c r="S11" i="1"/>
  <c r="W11" i="1"/>
  <c r="X11" i="1"/>
  <c r="AB11" i="1"/>
  <c r="AD11" i="1"/>
  <c r="AE11" i="1"/>
  <c r="AF11" i="1"/>
  <c r="Q12" i="1"/>
  <c r="R12" i="1"/>
  <c r="S12" i="1"/>
  <c r="W12" i="1"/>
  <c r="X12" i="1"/>
  <c r="AB12" i="1"/>
  <c r="AD12" i="1"/>
  <c r="AE12" i="1"/>
  <c r="AF12" i="1"/>
  <c r="Q13" i="1"/>
  <c r="R13" i="1"/>
  <c r="S13" i="1"/>
  <c r="W13" i="1"/>
  <c r="X13" i="1"/>
  <c r="AB13" i="1"/>
  <c r="AD13" i="1"/>
  <c r="AE13" i="1"/>
  <c r="AF13" i="1"/>
  <c r="Q14" i="1"/>
  <c r="R14" i="1"/>
  <c r="S14" i="1"/>
  <c r="W14" i="1"/>
  <c r="X14" i="1"/>
  <c r="Z14" i="1"/>
  <c r="AB14" i="1"/>
  <c r="AD14" i="1"/>
  <c r="AE14" i="1"/>
  <c r="AF14" i="1"/>
  <c r="F15" i="1"/>
  <c r="G15" i="1"/>
  <c r="H15" i="1"/>
  <c r="I15" i="1"/>
  <c r="O15" i="1"/>
  <c r="Q15" i="1"/>
  <c r="R15" i="1"/>
  <c r="S15" i="1"/>
  <c r="V15" i="1"/>
  <c r="W15" i="1"/>
  <c r="X15" i="1"/>
  <c r="Y15" i="1"/>
  <c r="Z15" i="1"/>
  <c r="AA15" i="1"/>
  <c r="AB15" i="1"/>
  <c r="AD15" i="1"/>
  <c r="AE15" i="1"/>
  <c r="AF15" i="1"/>
  <c r="AH15" i="1"/>
  <c r="AI15" i="1"/>
  <c r="AJ15" i="1"/>
  <c r="AL15" i="1"/>
  <c r="AM15" i="1"/>
  <c r="AO15" i="1"/>
  <c r="AP15" i="1"/>
  <c r="AQ15" i="1"/>
  <c r="AR15" i="1"/>
  <c r="A16" i="1"/>
  <c r="F16" i="1"/>
  <c r="G16" i="1"/>
  <c r="H16" i="1"/>
  <c r="I16" i="1"/>
  <c r="O16" i="1"/>
  <c r="Q16" i="1"/>
  <c r="R16" i="1"/>
  <c r="S16" i="1"/>
  <c r="T16" i="1"/>
  <c r="V16" i="1"/>
  <c r="W16" i="1"/>
  <c r="X16" i="1"/>
  <c r="AA16" i="1"/>
  <c r="AB16" i="1"/>
  <c r="AD16" i="1"/>
  <c r="AE16" i="1"/>
  <c r="AF16" i="1"/>
  <c r="AH16" i="1"/>
  <c r="AI16" i="1"/>
  <c r="AJ16" i="1"/>
  <c r="AL16" i="1"/>
  <c r="AM16" i="1"/>
  <c r="AO16" i="1"/>
  <c r="AP16" i="1"/>
  <c r="AQ16" i="1"/>
  <c r="AR16" i="1"/>
  <c r="AT16" i="1"/>
  <c r="AU16" i="1"/>
  <c r="AV16" i="1"/>
  <c r="AW16" i="1"/>
  <c r="AY16" i="1"/>
  <c r="F17" i="1"/>
  <c r="G17" i="1"/>
  <c r="H17" i="1"/>
  <c r="I17" i="1"/>
  <c r="Q17" i="1"/>
  <c r="R17" i="1"/>
  <c r="S17" i="1"/>
  <c r="T17" i="1"/>
  <c r="V17" i="1"/>
  <c r="W17" i="1"/>
  <c r="X17" i="1"/>
  <c r="AA17" i="1"/>
  <c r="AB17" i="1"/>
  <c r="AD17" i="1"/>
  <c r="AE17" i="1"/>
  <c r="AF17" i="1"/>
  <c r="AH17" i="1"/>
  <c r="AI17" i="1"/>
  <c r="AJ17" i="1"/>
  <c r="AK17" i="1"/>
  <c r="AL17" i="1"/>
  <c r="AM17" i="1"/>
  <c r="AO17" i="1"/>
  <c r="AP17" i="1"/>
  <c r="AQ17" i="1"/>
  <c r="AR17" i="1"/>
  <c r="AT17" i="1"/>
  <c r="AU17" i="1"/>
  <c r="AV17" i="1"/>
  <c r="AW17" i="1"/>
  <c r="AY17" i="1"/>
  <c r="BA17" i="1"/>
  <c r="BB17" i="1"/>
  <c r="F18" i="1"/>
  <c r="G18" i="1"/>
  <c r="H18" i="1"/>
  <c r="I18" i="1"/>
  <c r="O18" i="1"/>
  <c r="Q18" i="1"/>
  <c r="R18" i="1"/>
  <c r="S18" i="1"/>
  <c r="T18" i="1"/>
  <c r="V18" i="1"/>
  <c r="W18" i="1"/>
  <c r="X18" i="1"/>
  <c r="AA18" i="1"/>
  <c r="AB18" i="1"/>
  <c r="AD18" i="1"/>
  <c r="AE18" i="1"/>
  <c r="AF18" i="1"/>
  <c r="AH18" i="1"/>
  <c r="AI18" i="1"/>
  <c r="AJ18" i="1"/>
  <c r="AK18" i="1"/>
  <c r="AL18" i="1"/>
  <c r="AM18" i="1"/>
  <c r="AO18" i="1"/>
  <c r="AP18" i="1"/>
  <c r="AQ18" i="1"/>
  <c r="AR18" i="1"/>
  <c r="AT18" i="1"/>
  <c r="AU18" i="1"/>
  <c r="AV18" i="1"/>
  <c r="AW18" i="1"/>
  <c r="AY18" i="1"/>
  <c r="BA18" i="1"/>
  <c r="BB18" i="1"/>
  <c r="F19" i="1"/>
  <c r="G19" i="1"/>
  <c r="H19" i="1"/>
  <c r="I19" i="1"/>
  <c r="O19" i="1"/>
  <c r="Q19" i="1"/>
  <c r="R19" i="1"/>
  <c r="S19" i="1"/>
  <c r="T19" i="1"/>
  <c r="V19" i="1"/>
  <c r="W19" i="1"/>
  <c r="X19" i="1"/>
  <c r="AA19" i="1"/>
  <c r="AB19" i="1"/>
  <c r="AD19" i="1"/>
  <c r="AE19" i="1"/>
  <c r="AF19" i="1"/>
  <c r="AH19" i="1"/>
  <c r="AI19" i="1"/>
  <c r="AJ19" i="1"/>
  <c r="AK19" i="1"/>
  <c r="AL19" i="1"/>
  <c r="AM19" i="1"/>
  <c r="AO19" i="1"/>
  <c r="AP19" i="1"/>
  <c r="AQ19" i="1"/>
  <c r="AR19" i="1"/>
  <c r="AT19" i="1"/>
  <c r="AU19" i="1"/>
  <c r="AV19" i="1"/>
  <c r="AW19" i="1"/>
  <c r="AY19" i="1"/>
  <c r="BA19" i="1"/>
  <c r="BB19" i="1"/>
  <c r="F20" i="1"/>
  <c r="G20" i="1"/>
  <c r="H20" i="1"/>
  <c r="I20" i="1"/>
  <c r="O20" i="1"/>
  <c r="Q20" i="1"/>
  <c r="R20" i="1"/>
  <c r="S20" i="1"/>
  <c r="T20" i="1"/>
  <c r="V20" i="1"/>
  <c r="W20" i="1"/>
  <c r="X20" i="1"/>
  <c r="AA20" i="1"/>
  <c r="AB20" i="1"/>
  <c r="AD20" i="1"/>
  <c r="AE20" i="1"/>
  <c r="AF20" i="1"/>
  <c r="AH20" i="1"/>
  <c r="AI20" i="1"/>
  <c r="AJ20" i="1"/>
  <c r="AK20" i="1"/>
  <c r="AL20" i="1"/>
  <c r="AM20" i="1"/>
  <c r="AO20" i="1"/>
  <c r="AP20" i="1"/>
  <c r="AQ20" i="1"/>
  <c r="AR20" i="1"/>
  <c r="AT20" i="1"/>
  <c r="AU20" i="1"/>
  <c r="AV20" i="1"/>
  <c r="AW20" i="1"/>
  <c r="AY20" i="1"/>
  <c r="BA20" i="1"/>
  <c r="BB20" i="1"/>
  <c r="F21" i="1"/>
  <c r="G21" i="1"/>
  <c r="H21" i="1"/>
  <c r="I21" i="1"/>
  <c r="O21" i="1"/>
  <c r="Q21" i="1"/>
  <c r="R21" i="1"/>
  <c r="S21" i="1"/>
  <c r="T21" i="1"/>
  <c r="V21" i="1"/>
  <c r="W21" i="1"/>
  <c r="X21" i="1"/>
  <c r="AA21" i="1"/>
  <c r="AB21" i="1"/>
  <c r="AD21" i="1"/>
  <c r="AE21" i="1"/>
  <c r="AF21" i="1"/>
  <c r="AH21" i="1"/>
  <c r="AI21" i="1"/>
  <c r="AJ21" i="1"/>
  <c r="AK21" i="1"/>
  <c r="AL21" i="1"/>
  <c r="AM21" i="1"/>
  <c r="AO21" i="1"/>
  <c r="AP21" i="1"/>
  <c r="AQ21" i="1"/>
  <c r="AR21" i="1"/>
  <c r="AT21" i="1"/>
  <c r="AU21" i="1"/>
  <c r="AV21" i="1"/>
  <c r="AW21" i="1"/>
  <c r="AY21" i="1"/>
  <c r="BA21" i="1"/>
  <c r="BB21" i="1"/>
  <c r="F22" i="1"/>
  <c r="G22" i="1"/>
  <c r="H22" i="1"/>
  <c r="I22" i="1"/>
  <c r="O22" i="1"/>
  <c r="Q22" i="1"/>
  <c r="R22" i="1"/>
  <c r="S22" i="1"/>
  <c r="T22" i="1"/>
  <c r="V22" i="1"/>
  <c r="W22" i="1"/>
  <c r="X22" i="1"/>
  <c r="AA22" i="1"/>
  <c r="AB22" i="1"/>
  <c r="AD22" i="1"/>
  <c r="AE22" i="1"/>
  <c r="AF22" i="1"/>
  <c r="AH22" i="1"/>
  <c r="AI22" i="1"/>
  <c r="AJ22" i="1"/>
  <c r="AK22" i="1"/>
  <c r="AL22" i="1"/>
  <c r="AM22" i="1"/>
  <c r="AO22" i="1"/>
  <c r="AP22" i="1"/>
  <c r="AQ22" i="1"/>
  <c r="AR22" i="1"/>
  <c r="AT22" i="1"/>
  <c r="AU22" i="1"/>
  <c r="AV22" i="1"/>
  <c r="AW22" i="1"/>
  <c r="AY22" i="1"/>
  <c r="BA22" i="1"/>
  <c r="BB22" i="1"/>
  <c r="F23" i="1"/>
  <c r="G23" i="1"/>
  <c r="H23" i="1"/>
  <c r="I23" i="1"/>
  <c r="O23" i="1"/>
  <c r="Q23" i="1"/>
  <c r="R23" i="1"/>
  <c r="S23" i="1"/>
  <c r="T23" i="1"/>
  <c r="V23" i="1"/>
  <c r="W23" i="1"/>
  <c r="X23" i="1"/>
  <c r="AA23" i="1"/>
  <c r="AB23" i="1"/>
  <c r="AD23" i="1"/>
  <c r="AE23" i="1"/>
  <c r="AF23" i="1"/>
  <c r="AH23" i="1"/>
  <c r="AI23" i="1"/>
  <c r="AJ23" i="1"/>
  <c r="AK23" i="1"/>
  <c r="AL23" i="1"/>
  <c r="AM23" i="1"/>
  <c r="AO23" i="1"/>
  <c r="AP23" i="1"/>
  <c r="AQ23" i="1"/>
  <c r="AR23" i="1"/>
  <c r="AT23" i="1"/>
  <c r="AU23" i="1"/>
  <c r="AV23" i="1"/>
  <c r="AW23" i="1"/>
  <c r="AY23" i="1"/>
  <c r="BA23" i="1"/>
  <c r="BB23" i="1"/>
  <c r="F24" i="1"/>
  <c r="G24" i="1"/>
  <c r="H24" i="1"/>
  <c r="I24" i="1"/>
  <c r="O24" i="1"/>
  <c r="Q24" i="1"/>
  <c r="R24" i="1"/>
  <c r="S24" i="1"/>
  <c r="T24" i="1"/>
  <c r="V24" i="1"/>
  <c r="W24" i="1"/>
  <c r="X24" i="1"/>
  <c r="AA24" i="1"/>
  <c r="AB24" i="1"/>
  <c r="AD24" i="1"/>
  <c r="AE24" i="1"/>
  <c r="AF24" i="1"/>
  <c r="AH24" i="1"/>
  <c r="AI24" i="1"/>
  <c r="AJ24" i="1"/>
  <c r="AK24" i="1"/>
  <c r="AL24" i="1"/>
  <c r="AM24" i="1"/>
  <c r="AO24" i="1"/>
  <c r="AP24" i="1"/>
  <c r="AQ24" i="1"/>
  <c r="AR24" i="1"/>
  <c r="AT24" i="1"/>
  <c r="AU24" i="1"/>
  <c r="AV24" i="1"/>
  <c r="AW24" i="1"/>
  <c r="AY24" i="1"/>
  <c r="BA24" i="1"/>
  <c r="BB24" i="1"/>
  <c r="F25" i="1"/>
  <c r="G25" i="1"/>
  <c r="H25" i="1"/>
  <c r="I25" i="1"/>
  <c r="O25" i="1"/>
  <c r="Q25" i="1"/>
  <c r="R25" i="1"/>
  <c r="S25" i="1"/>
  <c r="T25" i="1"/>
  <c r="V25" i="1"/>
  <c r="W25" i="1"/>
  <c r="X25" i="1"/>
  <c r="AA25" i="1"/>
  <c r="AB25" i="1"/>
  <c r="AD25" i="1"/>
  <c r="AE25" i="1"/>
  <c r="AF25" i="1"/>
  <c r="AH25" i="1"/>
  <c r="AI25" i="1"/>
  <c r="AJ25" i="1"/>
  <c r="AK25" i="1"/>
  <c r="AL25" i="1"/>
  <c r="AM25" i="1"/>
  <c r="AO25" i="1"/>
  <c r="AP25" i="1"/>
  <c r="AQ25" i="1"/>
  <c r="AR25" i="1"/>
  <c r="AT25" i="1"/>
  <c r="AU25" i="1"/>
  <c r="AV25" i="1"/>
  <c r="AW25" i="1"/>
  <c r="AY25" i="1"/>
  <c r="BA25" i="1"/>
  <c r="BB25" i="1"/>
  <c r="F26" i="1"/>
  <c r="G26" i="1"/>
  <c r="H26" i="1"/>
  <c r="I26" i="1"/>
  <c r="O26" i="1"/>
  <c r="Q26" i="1"/>
  <c r="R26" i="1"/>
  <c r="S26" i="1"/>
  <c r="T26" i="1"/>
  <c r="V26" i="1"/>
  <c r="W26" i="1"/>
  <c r="X26" i="1"/>
  <c r="AA26" i="1"/>
  <c r="AB26" i="1"/>
  <c r="AD26" i="1"/>
  <c r="AE26" i="1"/>
  <c r="AF26" i="1"/>
  <c r="AH26" i="1"/>
  <c r="AI26" i="1"/>
  <c r="AJ26" i="1"/>
  <c r="AK26" i="1"/>
  <c r="AL26" i="1"/>
  <c r="AM26" i="1"/>
  <c r="AO26" i="1"/>
  <c r="AP26" i="1"/>
  <c r="AQ26" i="1"/>
  <c r="AR26" i="1"/>
  <c r="AT26" i="1"/>
  <c r="AU26" i="1"/>
  <c r="AV26" i="1"/>
  <c r="AW26" i="1"/>
  <c r="AY26" i="1"/>
  <c r="BA26" i="1"/>
  <c r="BB26" i="1"/>
  <c r="F27" i="1"/>
  <c r="G27" i="1"/>
  <c r="H27" i="1"/>
  <c r="I27" i="1"/>
  <c r="O27" i="1"/>
  <c r="Q27" i="1"/>
  <c r="R27" i="1"/>
  <c r="S27" i="1"/>
  <c r="T27" i="1"/>
  <c r="V27" i="1"/>
  <c r="W27" i="1"/>
  <c r="X27" i="1"/>
  <c r="AA27" i="1"/>
  <c r="AB27" i="1"/>
  <c r="AD27" i="1"/>
  <c r="AE27" i="1"/>
  <c r="AF27" i="1"/>
  <c r="AH27" i="1"/>
  <c r="AI27" i="1"/>
  <c r="AJ27" i="1"/>
  <c r="AK27" i="1"/>
  <c r="AL27" i="1"/>
  <c r="AM27" i="1"/>
  <c r="AO27" i="1"/>
  <c r="AP27" i="1"/>
  <c r="AQ27" i="1"/>
  <c r="AR27" i="1"/>
  <c r="AT27" i="1"/>
  <c r="AU27" i="1"/>
  <c r="AV27" i="1"/>
  <c r="AW27" i="1"/>
  <c r="AY27" i="1"/>
  <c r="BA27" i="1"/>
  <c r="BB27" i="1"/>
  <c r="F28" i="1"/>
  <c r="G28" i="1"/>
  <c r="H28" i="1"/>
  <c r="I28" i="1"/>
  <c r="O28" i="1"/>
  <c r="Q28" i="1"/>
  <c r="R28" i="1"/>
  <c r="S28" i="1"/>
  <c r="T28" i="1"/>
  <c r="V28" i="1"/>
  <c r="W28" i="1"/>
  <c r="X28" i="1"/>
  <c r="AA28" i="1"/>
  <c r="AB28" i="1"/>
  <c r="AD28" i="1"/>
  <c r="AE28" i="1"/>
  <c r="AF28" i="1"/>
  <c r="AH28" i="1"/>
  <c r="AI28" i="1"/>
  <c r="AJ28" i="1"/>
  <c r="AK28" i="1"/>
  <c r="AL28" i="1"/>
  <c r="AM28" i="1"/>
  <c r="AO28" i="1"/>
  <c r="AP28" i="1"/>
  <c r="AQ28" i="1"/>
  <c r="AR28" i="1"/>
  <c r="AT28" i="1"/>
  <c r="AU28" i="1"/>
  <c r="AV28" i="1"/>
  <c r="AW28" i="1"/>
  <c r="AY28" i="1"/>
  <c r="BA28" i="1"/>
  <c r="BB28" i="1"/>
  <c r="F29" i="1"/>
  <c r="G29" i="1"/>
  <c r="H29" i="1"/>
  <c r="I29" i="1"/>
  <c r="O29" i="1"/>
  <c r="Q29" i="1"/>
  <c r="R29" i="1"/>
  <c r="S29" i="1"/>
  <c r="T29" i="1"/>
  <c r="V29" i="1"/>
  <c r="W29" i="1"/>
  <c r="X29" i="1"/>
  <c r="AA29" i="1"/>
  <c r="AB29" i="1"/>
  <c r="AD29" i="1"/>
  <c r="AE29" i="1"/>
  <c r="AF29" i="1"/>
  <c r="AH29" i="1"/>
  <c r="AI29" i="1"/>
  <c r="AJ29" i="1"/>
  <c r="AK29" i="1"/>
  <c r="AL29" i="1"/>
  <c r="AM29" i="1"/>
  <c r="AO29" i="1"/>
  <c r="AP29" i="1"/>
  <c r="AQ29" i="1"/>
  <c r="AR29" i="1"/>
  <c r="AV29" i="1"/>
  <c r="AW29" i="1"/>
  <c r="BA29" i="1"/>
  <c r="BB29" i="1"/>
  <c r="F30" i="1"/>
  <c r="G30" i="1"/>
  <c r="H30" i="1"/>
  <c r="I30" i="1"/>
  <c r="O30" i="1"/>
  <c r="Q30" i="1"/>
  <c r="R30" i="1"/>
  <c r="S30" i="1"/>
  <c r="T30" i="1"/>
  <c r="V30" i="1"/>
  <c r="W30" i="1"/>
  <c r="X30" i="1"/>
  <c r="AA30" i="1"/>
  <c r="AB30" i="1"/>
  <c r="AD30" i="1"/>
  <c r="AE30" i="1"/>
  <c r="AF30" i="1"/>
  <c r="AH30" i="1"/>
  <c r="AI30" i="1"/>
  <c r="AJ30" i="1"/>
  <c r="AK30" i="1"/>
  <c r="AL30" i="1"/>
  <c r="AM30" i="1"/>
  <c r="AO30" i="1"/>
  <c r="AP30" i="1"/>
  <c r="AQ30" i="1"/>
  <c r="AR30" i="1"/>
  <c r="BA30" i="1"/>
  <c r="BB30" i="1"/>
  <c r="F31" i="1"/>
  <c r="G31" i="1"/>
  <c r="H31" i="1"/>
  <c r="I31" i="1"/>
  <c r="O31" i="1"/>
  <c r="Q31" i="1"/>
  <c r="R31" i="1"/>
  <c r="S31" i="1"/>
  <c r="T31" i="1"/>
  <c r="V31" i="1"/>
  <c r="W31" i="1"/>
  <c r="X31" i="1"/>
  <c r="AA31" i="1"/>
  <c r="AB31" i="1"/>
  <c r="AD31" i="1"/>
  <c r="AE31" i="1"/>
  <c r="AF31" i="1"/>
  <c r="AH31" i="1"/>
  <c r="AI31" i="1"/>
  <c r="AJ31" i="1"/>
  <c r="AK31" i="1"/>
  <c r="AL31" i="1"/>
  <c r="AM31" i="1"/>
  <c r="AO31" i="1"/>
  <c r="AP31" i="1"/>
  <c r="AQ31" i="1"/>
  <c r="AR31" i="1"/>
  <c r="BA31" i="1"/>
  <c r="BB31" i="1"/>
  <c r="F32" i="1"/>
  <c r="G32" i="1"/>
  <c r="H32" i="1"/>
  <c r="I32" i="1"/>
  <c r="O32" i="1"/>
  <c r="Q32" i="1"/>
  <c r="R32" i="1"/>
  <c r="S32" i="1"/>
  <c r="T32" i="1"/>
  <c r="V32" i="1"/>
  <c r="W32" i="1"/>
  <c r="X32" i="1"/>
  <c r="AA32" i="1"/>
  <c r="AB32" i="1"/>
  <c r="AD32" i="1"/>
  <c r="AE32" i="1"/>
  <c r="AF32" i="1"/>
  <c r="AH32" i="1"/>
  <c r="AI32" i="1"/>
  <c r="AJ32" i="1"/>
  <c r="AK32" i="1"/>
  <c r="AL32" i="1"/>
  <c r="AM32" i="1"/>
  <c r="AO32" i="1"/>
  <c r="AP32" i="1"/>
  <c r="AQ32" i="1"/>
  <c r="AR32" i="1"/>
  <c r="BA32" i="1"/>
  <c r="BB32" i="1"/>
  <c r="F33" i="1"/>
  <c r="G33" i="1"/>
  <c r="H33" i="1"/>
  <c r="I33" i="1"/>
  <c r="O33" i="1"/>
  <c r="Q33" i="1"/>
  <c r="R33" i="1"/>
  <c r="S33" i="1"/>
  <c r="T33" i="1"/>
  <c r="V33" i="1"/>
  <c r="W33" i="1"/>
  <c r="X33" i="1"/>
  <c r="AA33" i="1"/>
  <c r="AB33" i="1"/>
  <c r="AD33" i="1"/>
  <c r="AE33" i="1"/>
  <c r="AF33" i="1"/>
  <c r="AH33" i="1"/>
  <c r="AI33" i="1"/>
  <c r="AJ33" i="1"/>
  <c r="AK33" i="1"/>
  <c r="AL33" i="1"/>
  <c r="AM33" i="1"/>
  <c r="AO33" i="1"/>
  <c r="AP33" i="1"/>
  <c r="AQ33" i="1"/>
  <c r="AR33" i="1"/>
  <c r="BA33" i="1"/>
  <c r="BB33" i="1"/>
  <c r="F34" i="1"/>
  <c r="G34" i="1"/>
  <c r="H34" i="1"/>
  <c r="I34" i="1"/>
  <c r="O34" i="1"/>
  <c r="Q34" i="1"/>
  <c r="R34" i="1"/>
  <c r="S34" i="1"/>
  <c r="T34" i="1"/>
  <c r="V34" i="1"/>
  <c r="W34" i="1"/>
  <c r="X34" i="1"/>
  <c r="AA34" i="1"/>
  <c r="AB34" i="1"/>
  <c r="AD34" i="1"/>
  <c r="AE34" i="1"/>
  <c r="AF34" i="1"/>
  <c r="AH34" i="1"/>
  <c r="AI34" i="1"/>
  <c r="AJ34" i="1"/>
  <c r="AK34" i="1"/>
  <c r="AL34" i="1"/>
  <c r="AM34" i="1"/>
  <c r="AO34" i="1"/>
  <c r="AP34" i="1"/>
  <c r="AQ34" i="1"/>
  <c r="AR34" i="1"/>
  <c r="BA34" i="1"/>
  <c r="BB34" i="1"/>
  <c r="F35" i="1"/>
  <c r="G35" i="1"/>
  <c r="H35" i="1"/>
  <c r="I35" i="1"/>
  <c r="O35" i="1"/>
  <c r="Q35" i="1"/>
  <c r="R35" i="1"/>
  <c r="S35" i="1"/>
  <c r="T35" i="1"/>
  <c r="V35" i="1"/>
  <c r="W35" i="1"/>
  <c r="X35" i="1"/>
  <c r="AA35" i="1"/>
  <c r="AB35" i="1"/>
  <c r="AD35" i="1"/>
  <c r="AE35" i="1"/>
  <c r="AF35" i="1"/>
  <c r="AH35" i="1"/>
  <c r="AI35" i="1"/>
  <c r="AJ35" i="1"/>
  <c r="AK35" i="1"/>
  <c r="AL35" i="1"/>
  <c r="AM35" i="1"/>
  <c r="AO35" i="1"/>
  <c r="AP35" i="1"/>
  <c r="AQ35" i="1"/>
  <c r="AR35" i="1"/>
  <c r="BA35" i="1"/>
  <c r="BB35" i="1"/>
  <c r="F36" i="1"/>
  <c r="G36" i="1"/>
  <c r="H36" i="1"/>
  <c r="I36" i="1"/>
  <c r="O36" i="1"/>
  <c r="Q36" i="1"/>
  <c r="R36" i="1"/>
  <c r="S36" i="1"/>
  <c r="T36" i="1"/>
  <c r="V36" i="1"/>
  <c r="W36" i="1"/>
  <c r="X36" i="1"/>
  <c r="AA36" i="1"/>
  <c r="AB36" i="1"/>
  <c r="AD36" i="1"/>
  <c r="AE36" i="1"/>
  <c r="AF36" i="1"/>
  <c r="AH36" i="1"/>
  <c r="AI36" i="1"/>
  <c r="AJ36" i="1"/>
  <c r="AK36" i="1"/>
  <c r="AL36" i="1"/>
  <c r="AM36" i="1"/>
  <c r="AO36" i="1"/>
  <c r="AP36" i="1"/>
  <c r="AQ36" i="1"/>
  <c r="AR36" i="1"/>
  <c r="BA36" i="1"/>
  <c r="BB36" i="1"/>
  <c r="F37" i="1"/>
  <c r="G37" i="1"/>
  <c r="H37" i="1"/>
  <c r="I37" i="1"/>
  <c r="O37" i="1"/>
  <c r="Q37" i="1"/>
  <c r="R37" i="1"/>
  <c r="S37" i="1"/>
  <c r="T37" i="1"/>
  <c r="V37" i="1"/>
  <c r="W37" i="1"/>
  <c r="X37" i="1"/>
  <c r="AA37" i="1"/>
  <c r="AB37" i="1"/>
  <c r="AD37" i="1"/>
  <c r="AE37" i="1"/>
  <c r="AF37" i="1"/>
  <c r="AH37" i="1"/>
  <c r="AI37" i="1"/>
  <c r="AJ37" i="1"/>
  <c r="AK37" i="1"/>
  <c r="AL37" i="1"/>
  <c r="AM37" i="1"/>
  <c r="AO37" i="1"/>
  <c r="AP37" i="1"/>
  <c r="AQ37" i="1"/>
  <c r="AR37" i="1"/>
  <c r="BA37" i="1"/>
  <c r="BB37" i="1"/>
  <c r="F38" i="1"/>
  <c r="G38" i="1"/>
  <c r="H38" i="1"/>
  <c r="I38" i="1"/>
  <c r="O38" i="1"/>
  <c r="Q38" i="1"/>
  <c r="R38" i="1"/>
  <c r="S38" i="1"/>
  <c r="T38" i="1"/>
  <c r="V38" i="1"/>
  <c r="W38" i="1"/>
  <c r="X38" i="1"/>
  <c r="AA38" i="1"/>
  <c r="AB38" i="1"/>
  <c r="AD38" i="1"/>
  <c r="AE38" i="1"/>
  <c r="AF38" i="1"/>
  <c r="AH38" i="1"/>
  <c r="AI38" i="1"/>
  <c r="AJ38" i="1"/>
  <c r="AK38" i="1"/>
  <c r="AL38" i="1"/>
  <c r="AM38" i="1"/>
  <c r="AO38" i="1"/>
  <c r="AP38" i="1"/>
  <c r="AQ38" i="1"/>
  <c r="AR38" i="1"/>
  <c r="BA38" i="1"/>
  <c r="BB38" i="1"/>
  <c r="F39" i="1"/>
  <c r="G39" i="1"/>
  <c r="H39" i="1"/>
  <c r="I39" i="1"/>
  <c r="O39" i="1"/>
  <c r="Q39" i="1"/>
  <c r="R39" i="1"/>
  <c r="S39" i="1"/>
  <c r="T39" i="1"/>
  <c r="V39" i="1"/>
  <c r="W39" i="1"/>
  <c r="X39" i="1"/>
  <c r="AA39" i="1"/>
  <c r="AB39" i="1"/>
  <c r="AD39" i="1"/>
  <c r="AE39" i="1"/>
  <c r="AF39" i="1"/>
  <c r="AH39" i="1"/>
  <c r="AI39" i="1"/>
  <c r="AJ39" i="1"/>
  <c r="AK39" i="1"/>
  <c r="AL39" i="1"/>
  <c r="AM39" i="1"/>
  <c r="AO39" i="1"/>
  <c r="AP39" i="1"/>
  <c r="AQ39" i="1"/>
  <c r="AR39" i="1"/>
  <c r="BA39" i="1"/>
  <c r="BB39" i="1"/>
  <c r="F40" i="1"/>
  <c r="G40" i="1"/>
  <c r="H40" i="1"/>
  <c r="I40" i="1"/>
  <c r="O40" i="1"/>
  <c r="Q40" i="1"/>
  <c r="R40" i="1"/>
  <c r="S40" i="1"/>
  <c r="T40" i="1"/>
  <c r="V40" i="1"/>
  <c r="W40" i="1"/>
  <c r="X40" i="1"/>
  <c r="AA40" i="1"/>
  <c r="AB40" i="1"/>
  <c r="AD40" i="1"/>
  <c r="AE40" i="1"/>
  <c r="AF40" i="1"/>
  <c r="AH40" i="1"/>
  <c r="AI40" i="1"/>
  <c r="AJ40" i="1"/>
  <c r="AK40" i="1"/>
  <c r="AL40" i="1"/>
  <c r="AM40" i="1"/>
  <c r="AO40" i="1"/>
  <c r="AP40" i="1"/>
  <c r="AQ40" i="1"/>
  <c r="AR40" i="1"/>
  <c r="BA40" i="1"/>
  <c r="BB40" i="1"/>
  <c r="F41" i="1"/>
  <c r="G41" i="1"/>
  <c r="H41" i="1"/>
  <c r="I41" i="1"/>
  <c r="O41" i="1"/>
  <c r="Q41" i="1"/>
  <c r="R41" i="1"/>
  <c r="S41" i="1"/>
  <c r="T41" i="1"/>
  <c r="V41" i="1"/>
  <c r="W41" i="1"/>
  <c r="X41" i="1"/>
  <c r="AA41" i="1"/>
  <c r="AB41" i="1"/>
  <c r="AD41" i="1"/>
  <c r="AE41" i="1"/>
  <c r="AF41" i="1"/>
  <c r="AH41" i="1"/>
  <c r="AI41" i="1"/>
  <c r="AJ41" i="1"/>
  <c r="AK41" i="1"/>
  <c r="AL41" i="1"/>
  <c r="AM41" i="1"/>
  <c r="AO41" i="1"/>
  <c r="AP41" i="1"/>
  <c r="AQ41" i="1"/>
  <c r="AR41" i="1"/>
  <c r="BA41" i="1"/>
  <c r="BB41" i="1"/>
  <c r="F42" i="1"/>
  <c r="G42" i="1"/>
  <c r="H42" i="1"/>
  <c r="I42" i="1"/>
  <c r="O42" i="1"/>
  <c r="Q42" i="1"/>
  <c r="R42" i="1"/>
  <c r="S42" i="1"/>
  <c r="T42" i="1"/>
  <c r="V42" i="1"/>
  <c r="W42" i="1"/>
  <c r="X42" i="1"/>
  <c r="AA42" i="1"/>
  <c r="AB42" i="1"/>
  <c r="AD42" i="1"/>
  <c r="AE42" i="1"/>
  <c r="AF42" i="1"/>
  <c r="AH42" i="1"/>
  <c r="AI42" i="1"/>
  <c r="AJ42" i="1"/>
  <c r="AK42" i="1"/>
  <c r="AL42" i="1"/>
  <c r="AM42" i="1"/>
  <c r="AO42" i="1"/>
  <c r="AP42" i="1"/>
  <c r="AQ42" i="1"/>
  <c r="AR42" i="1"/>
  <c r="BA42" i="1"/>
  <c r="BB42" i="1"/>
  <c r="F43" i="1"/>
  <c r="G43" i="1"/>
  <c r="H43" i="1"/>
  <c r="I43" i="1"/>
  <c r="O43" i="1"/>
  <c r="Q43" i="1"/>
  <c r="R43" i="1"/>
  <c r="S43" i="1"/>
  <c r="T43" i="1"/>
  <c r="V43" i="1"/>
  <c r="W43" i="1"/>
  <c r="X43" i="1"/>
  <c r="AA43" i="1"/>
  <c r="AB43" i="1"/>
  <c r="AD43" i="1"/>
  <c r="AE43" i="1"/>
  <c r="AF43" i="1"/>
  <c r="AH43" i="1"/>
  <c r="AI43" i="1"/>
  <c r="AJ43" i="1"/>
  <c r="AK43" i="1"/>
  <c r="AL43" i="1"/>
  <c r="AM43" i="1"/>
  <c r="AO43" i="1"/>
  <c r="AP43" i="1"/>
  <c r="AQ43" i="1"/>
  <c r="AR43" i="1"/>
  <c r="BA43" i="1"/>
  <c r="BB43" i="1"/>
  <c r="F44" i="1"/>
  <c r="G44" i="1"/>
  <c r="H44" i="1"/>
  <c r="I44" i="1"/>
  <c r="O44" i="1"/>
  <c r="Q44" i="1"/>
  <c r="R44" i="1"/>
  <c r="S44" i="1"/>
  <c r="T44" i="1"/>
  <c r="V44" i="1"/>
  <c r="W44" i="1"/>
  <c r="X44" i="1"/>
  <c r="AA44" i="1"/>
  <c r="AB44" i="1"/>
  <c r="AD44" i="1"/>
  <c r="AE44" i="1"/>
  <c r="AF44" i="1"/>
  <c r="AH44" i="1"/>
  <c r="AI44" i="1"/>
  <c r="AJ44" i="1"/>
  <c r="AK44" i="1"/>
  <c r="AL44" i="1"/>
  <c r="AM44" i="1"/>
  <c r="AO44" i="1"/>
  <c r="AP44" i="1"/>
  <c r="AQ44" i="1"/>
  <c r="AR44" i="1"/>
  <c r="BA44" i="1"/>
  <c r="BB44" i="1"/>
  <c r="F45" i="1"/>
  <c r="G45" i="1"/>
  <c r="H45" i="1"/>
  <c r="I45" i="1"/>
  <c r="O45" i="1"/>
  <c r="Q45" i="1"/>
  <c r="R45" i="1"/>
  <c r="S45" i="1"/>
  <c r="T45" i="1"/>
  <c r="V45" i="1"/>
  <c r="W45" i="1"/>
  <c r="X45" i="1"/>
  <c r="AA45" i="1"/>
  <c r="AB45" i="1"/>
  <c r="AD45" i="1"/>
  <c r="AE45" i="1"/>
  <c r="AF45" i="1"/>
  <c r="AH45" i="1"/>
  <c r="AI45" i="1"/>
  <c r="AJ45" i="1"/>
  <c r="AK45" i="1"/>
  <c r="AL45" i="1"/>
  <c r="AM45" i="1"/>
  <c r="AO45" i="1"/>
  <c r="AP45" i="1"/>
  <c r="AQ45" i="1"/>
  <c r="AR45" i="1"/>
  <c r="BA45" i="1"/>
  <c r="BB45" i="1"/>
  <c r="F46" i="1"/>
  <c r="G46" i="1"/>
  <c r="H46" i="1"/>
  <c r="I46" i="1"/>
  <c r="O46" i="1"/>
  <c r="Q46" i="1"/>
  <c r="R46" i="1"/>
  <c r="S46" i="1"/>
  <c r="T46" i="1"/>
  <c r="V46" i="1"/>
  <c r="W46" i="1"/>
  <c r="X46" i="1"/>
  <c r="AA46" i="1"/>
  <c r="AB46" i="1"/>
  <c r="AD46" i="1"/>
  <c r="AE46" i="1"/>
  <c r="AF46" i="1"/>
  <c r="AH46" i="1"/>
  <c r="AI46" i="1"/>
  <c r="AJ46" i="1"/>
  <c r="AK46" i="1"/>
  <c r="AL46" i="1"/>
  <c r="AM46" i="1"/>
  <c r="AO46" i="1"/>
  <c r="AP46" i="1"/>
  <c r="AQ46" i="1"/>
  <c r="AR46" i="1"/>
  <c r="BA46" i="1"/>
  <c r="BB46" i="1"/>
  <c r="F47" i="1"/>
  <c r="G47" i="1"/>
  <c r="H47" i="1"/>
  <c r="I47" i="1"/>
  <c r="O47" i="1"/>
  <c r="Q47" i="1"/>
  <c r="R47" i="1"/>
  <c r="S47" i="1"/>
  <c r="T47" i="1"/>
  <c r="V47" i="1"/>
  <c r="W47" i="1"/>
  <c r="X47" i="1"/>
  <c r="AA47" i="1"/>
  <c r="AB47" i="1"/>
  <c r="AD47" i="1"/>
  <c r="AE47" i="1"/>
  <c r="AF47" i="1"/>
  <c r="AH47" i="1"/>
  <c r="AI47" i="1"/>
  <c r="AJ47" i="1"/>
  <c r="AK47" i="1"/>
  <c r="AL47" i="1"/>
  <c r="AM47" i="1"/>
  <c r="AO47" i="1"/>
  <c r="AP47" i="1"/>
  <c r="AQ47" i="1"/>
  <c r="AR47" i="1"/>
  <c r="BA47" i="1"/>
  <c r="BB47" i="1"/>
  <c r="F48" i="1"/>
  <c r="G48" i="1"/>
  <c r="H48" i="1"/>
  <c r="I48" i="1"/>
  <c r="O48" i="1"/>
  <c r="Q48" i="1"/>
  <c r="R48" i="1"/>
  <c r="S48" i="1"/>
  <c r="T48" i="1"/>
  <c r="V48" i="1"/>
  <c r="W48" i="1"/>
  <c r="X48" i="1"/>
  <c r="AA48" i="1"/>
  <c r="AB48" i="1"/>
  <c r="AD48" i="1"/>
  <c r="AE48" i="1"/>
  <c r="AF48" i="1"/>
  <c r="AH48" i="1"/>
  <c r="AI48" i="1"/>
  <c r="AJ48" i="1"/>
  <c r="AK48" i="1"/>
  <c r="AL48" i="1"/>
  <c r="AM48" i="1"/>
  <c r="AO48" i="1"/>
  <c r="AP48" i="1"/>
  <c r="AQ48" i="1"/>
  <c r="AR48" i="1"/>
  <c r="BA48" i="1"/>
  <c r="BB48" i="1"/>
  <c r="F49" i="1"/>
  <c r="G49" i="1"/>
  <c r="H49" i="1"/>
  <c r="I49" i="1"/>
  <c r="O49" i="1"/>
  <c r="Q49" i="1"/>
  <c r="R49" i="1"/>
  <c r="S49" i="1"/>
  <c r="T49" i="1"/>
  <c r="V49" i="1"/>
  <c r="W49" i="1"/>
  <c r="X49" i="1"/>
  <c r="AA49" i="1"/>
  <c r="AB49" i="1"/>
  <c r="AD49" i="1"/>
  <c r="AE49" i="1"/>
  <c r="AF49" i="1"/>
  <c r="AH49" i="1"/>
  <c r="AI49" i="1"/>
  <c r="AJ49" i="1"/>
  <c r="AK49" i="1"/>
  <c r="AL49" i="1"/>
  <c r="AM49" i="1"/>
  <c r="AO49" i="1"/>
  <c r="AP49" i="1"/>
  <c r="AQ49" i="1"/>
  <c r="AR49" i="1"/>
  <c r="BA49" i="1"/>
  <c r="BB49" i="1"/>
  <c r="F50" i="1"/>
  <c r="G50" i="1"/>
  <c r="H50" i="1"/>
  <c r="I50" i="1"/>
  <c r="O50" i="1"/>
  <c r="Q50" i="1"/>
  <c r="R50" i="1"/>
  <c r="S50" i="1"/>
  <c r="T50" i="1"/>
  <c r="V50" i="1"/>
  <c r="W50" i="1"/>
  <c r="X50" i="1"/>
  <c r="AA50" i="1"/>
  <c r="AB50" i="1"/>
  <c r="AD50" i="1"/>
  <c r="AE50" i="1"/>
  <c r="AF50" i="1"/>
  <c r="AH50" i="1"/>
  <c r="AI50" i="1"/>
  <c r="AJ50" i="1"/>
  <c r="AK50" i="1"/>
  <c r="AL50" i="1"/>
  <c r="AM50" i="1"/>
  <c r="AO50" i="1"/>
  <c r="AP50" i="1"/>
  <c r="AQ50" i="1"/>
  <c r="AR50" i="1"/>
  <c r="BA50" i="1"/>
  <c r="BB50" i="1"/>
  <c r="F51" i="1"/>
  <c r="G51" i="1"/>
  <c r="H51" i="1"/>
  <c r="I51" i="1"/>
  <c r="O51" i="1"/>
  <c r="Q51" i="1"/>
  <c r="R51" i="1"/>
  <c r="S51" i="1"/>
  <c r="T51" i="1"/>
  <c r="V51" i="1"/>
  <c r="W51" i="1"/>
  <c r="X51" i="1"/>
  <c r="AA51" i="1"/>
  <c r="AB51" i="1"/>
  <c r="AD51" i="1"/>
  <c r="AE51" i="1"/>
  <c r="AF51" i="1"/>
  <c r="AH51" i="1"/>
  <c r="AI51" i="1"/>
  <c r="AJ51" i="1"/>
  <c r="AK51" i="1"/>
  <c r="AL51" i="1"/>
  <c r="AM51" i="1"/>
  <c r="AO51" i="1"/>
  <c r="AP51" i="1"/>
  <c r="AQ51" i="1"/>
  <c r="AR51" i="1"/>
  <c r="BA51" i="1"/>
  <c r="BB51" i="1"/>
  <c r="F52" i="1"/>
  <c r="G52" i="1"/>
  <c r="H52" i="1"/>
  <c r="I52" i="1"/>
  <c r="O52" i="1"/>
  <c r="Q52" i="1"/>
  <c r="R52" i="1"/>
  <c r="S52" i="1"/>
  <c r="T52" i="1"/>
  <c r="V52" i="1"/>
  <c r="W52" i="1"/>
  <c r="X52" i="1"/>
  <c r="AA52" i="1"/>
  <c r="AB52" i="1"/>
  <c r="AD52" i="1"/>
  <c r="AE52" i="1"/>
  <c r="AF52" i="1"/>
  <c r="AH52" i="1"/>
  <c r="AI52" i="1"/>
  <c r="AJ52" i="1"/>
  <c r="AK52" i="1"/>
  <c r="AL52" i="1"/>
  <c r="AM52" i="1"/>
  <c r="AO52" i="1"/>
  <c r="AP52" i="1"/>
  <c r="AQ52" i="1"/>
  <c r="AR52" i="1"/>
  <c r="BA52" i="1"/>
  <c r="BB52" i="1"/>
  <c r="F53" i="1"/>
  <c r="G53" i="1"/>
  <c r="H53" i="1"/>
  <c r="I53" i="1"/>
  <c r="O53" i="1"/>
  <c r="Q53" i="1"/>
  <c r="R53" i="1"/>
  <c r="S53" i="1"/>
  <c r="T53" i="1"/>
  <c r="V53" i="1"/>
  <c r="W53" i="1"/>
  <c r="X53" i="1"/>
  <c r="AA53" i="1"/>
  <c r="AB53" i="1"/>
  <c r="AD53" i="1"/>
  <c r="AE53" i="1"/>
  <c r="AF53" i="1"/>
  <c r="AH53" i="1"/>
  <c r="AI53" i="1"/>
  <c r="AJ53" i="1"/>
  <c r="AK53" i="1"/>
  <c r="AL53" i="1"/>
  <c r="AM53" i="1"/>
  <c r="AO53" i="1"/>
  <c r="AP53" i="1"/>
  <c r="AQ53" i="1"/>
  <c r="AR53" i="1"/>
  <c r="BA53" i="1"/>
  <c r="BB53" i="1"/>
  <c r="F54" i="1"/>
  <c r="G54" i="1"/>
  <c r="H54" i="1"/>
  <c r="I54" i="1"/>
  <c r="O54" i="1"/>
  <c r="Q54" i="1"/>
  <c r="R54" i="1"/>
  <c r="S54" i="1"/>
  <c r="T54" i="1"/>
  <c r="V54" i="1"/>
  <c r="W54" i="1"/>
  <c r="X54" i="1"/>
  <c r="AA54" i="1"/>
  <c r="AB54" i="1"/>
  <c r="AD54" i="1"/>
  <c r="AE54" i="1"/>
  <c r="AF54" i="1"/>
  <c r="AH54" i="1"/>
  <c r="AI54" i="1"/>
  <c r="AJ54" i="1"/>
  <c r="AK54" i="1"/>
  <c r="AL54" i="1"/>
  <c r="AM54" i="1"/>
  <c r="AO54" i="1"/>
  <c r="AP54" i="1"/>
  <c r="AQ54" i="1"/>
  <c r="AR54" i="1"/>
  <c r="BA54" i="1"/>
  <c r="BB54" i="1"/>
  <c r="F55" i="1"/>
  <c r="G55" i="1"/>
  <c r="H55" i="1"/>
  <c r="I55" i="1"/>
  <c r="O55" i="1"/>
  <c r="Q55" i="1"/>
  <c r="R55" i="1"/>
  <c r="S55" i="1"/>
  <c r="T55" i="1"/>
  <c r="V55" i="1"/>
  <c r="W55" i="1"/>
  <c r="X55" i="1"/>
  <c r="AA55" i="1"/>
  <c r="AB55" i="1"/>
  <c r="AD55" i="1"/>
  <c r="AE55" i="1"/>
  <c r="AF55" i="1"/>
  <c r="AH55" i="1"/>
  <c r="AI55" i="1"/>
  <c r="AJ55" i="1"/>
  <c r="AK55" i="1"/>
  <c r="AL55" i="1"/>
  <c r="AM55" i="1"/>
  <c r="AO55" i="1"/>
  <c r="AP55" i="1"/>
  <c r="AQ55" i="1"/>
  <c r="AR55" i="1"/>
  <c r="BA55" i="1"/>
  <c r="BB55" i="1"/>
  <c r="F56" i="1"/>
  <c r="G56" i="1"/>
  <c r="H56" i="1"/>
  <c r="I56" i="1"/>
  <c r="O56" i="1"/>
  <c r="Q56" i="1"/>
  <c r="R56" i="1"/>
  <c r="S56" i="1"/>
  <c r="T56" i="1"/>
  <c r="V56" i="1"/>
  <c r="W56" i="1"/>
  <c r="X56" i="1"/>
  <c r="AA56" i="1"/>
  <c r="AB56" i="1"/>
  <c r="AD56" i="1"/>
  <c r="AE56" i="1"/>
  <c r="AF56" i="1"/>
  <c r="AH56" i="1"/>
  <c r="AI56" i="1"/>
  <c r="AJ56" i="1"/>
  <c r="AK56" i="1"/>
  <c r="AL56" i="1"/>
  <c r="AM56" i="1"/>
  <c r="AO56" i="1"/>
  <c r="AP56" i="1"/>
  <c r="AQ56" i="1"/>
  <c r="AR56" i="1"/>
  <c r="BA56" i="1"/>
  <c r="BB56" i="1"/>
  <c r="F57" i="1"/>
  <c r="G57" i="1"/>
  <c r="H57" i="1"/>
  <c r="I57" i="1"/>
  <c r="O57" i="1"/>
  <c r="Q57" i="1"/>
  <c r="R57" i="1"/>
  <c r="S57" i="1"/>
  <c r="T57" i="1"/>
  <c r="V57" i="1"/>
  <c r="W57" i="1"/>
  <c r="X57" i="1"/>
  <c r="AA57" i="1"/>
  <c r="AB57" i="1"/>
  <c r="AD57" i="1"/>
  <c r="AE57" i="1"/>
  <c r="AF57" i="1"/>
  <c r="AH57" i="1"/>
  <c r="AI57" i="1"/>
  <c r="AJ57" i="1"/>
  <c r="AK57" i="1"/>
  <c r="AL57" i="1"/>
  <c r="AM57" i="1"/>
  <c r="AO57" i="1"/>
  <c r="AP57" i="1"/>
  <c r="AQ57" i="1"/>
  <c r="AR57" i="1"/>
  <c r="BA57" i="1"/>
  <c r="BB57" i="1"/>
  <c r="F58" i="1"/>
  <c r="G58" i="1"/>
  <c r="H58" i="1"/>
  <c r="I58" i="1"/>
  <c r="O58" i="1"/>
  <c r="Q58" i="1"/>
  <c r="R58" i="1"/>
  <c r="S58" i="1"/>
  <c r="T58" i="1"/>
  <c r="V58" i="1"/>
  <c r="W58" i="1"/>
  <c r="X58" i="1"/>
  <c r="AA58" i="1"/>
  <c r="AB58" i="1"/>
  <c r="AD58" i="1"/>
  <c r="AE58" i="1"/>
  <c r="AF58" i="1"/>
  <c r="AH58" i="1"/>
  <c r="AI58" i="1"/>
  <c r="AJ58" i="1"/>
  <c r="AK58" i="1"/>
  <c r="AL58" i="1"/>
  <c r="AM58" i="1"/>
  <c r="AO58" i="1"/>
  <c r="AP58" i="1"/>
  <c r="AQ58" i="1"/>
  <c r="AR58" i="1"/>
  <c r="BA58" i="1"/>
  <c r="BB58" i="1"/>
  <c r="F59" i="1"/>
  <c r="G59" i="1"/>
  <c r="H59" i="1"/>
  <c r="I59" i="1"/>
  <c r="O59" i="1"/>
  <c r="Q59" i="1"/>
  <c r="R59" i="1"/>
  <c r="S59" i="1"/>
  <c r="T59" i="1"/>
  <c r="V59" i="1"/>
  <c r="W59" i="1"/>
  <c r="X59" i="1"/>
  <c r="AA59" i="1"/>
  <c r="AB59" i="1"/>
  <c r="AD59" i="1"/>
  <c r="AE59" i="1"/>
  <c r="AF59" i="1"/>
  <c r="AH59" i="1"/>
  <c r="AI59" i="1"/>
  <c r="AJ59" i="1"/>
  <c r="AK59" i="1"/>
  <c r="AL59" i="1"/>
  <c r="AM59" i="1"/>
  <c r="AO59" i="1"/>
  <c r="AP59" i="1"/>
  <c r="AQ59" i="1"/>
  <c r="AR59" i="1"/>
  <c r="BA59" i="1"/>
  <c r="BB59" i="1"/>
  <c r="F60" i="1"/>
  <c r="G60" i="1"/>
  <c r="H60" i="1"/>
  <c r="I60" i="1"/>
  <c r="O60" i="1"/>
  <c r="Q60" i="1"/>
  <c r="R60" i="1"/>
  <c r="S60" i="1"/>
  <c r="T60" i="1"/>
  <c r="V60" i="1"/>
  <c r="W60" i="1"/>
  <c r="X60" i="1"/>
  <c r="AA60" i="1"/>
  <c r="AB60" i="1"/>
  <c r="AD60" i="1"/>
  <c r="AE60" i="1"/>
  <c r="AF60" i="1"/>
  <c r="AH60" i="1"/>
  <c r="AI60" i="1"/>
  <c r="AJ60" i="1"/>
  <c r="AK60" i="1"/>
  <c r="AL60" i="1"/>
  <c r="AM60" i="1"/>
  <c r="AO60" i="1"/>
  <c r="AP60" i="1"/>
  <c r="AQ60" i="1"/>
  <c r="AR60" i="1"/>
  <c r="BA60" i="1"/>
  <c r="BB60" i="1"/>
  <c r="F61" i="1"/>
  <c r="G61" i="1"/>
  <c r="H61" i="1"/>
  <c r="I61" i="1"/>
  <c r="O61" i="1"/>
  <c r="Q61" i="1"/>
  <c r="R61" i="1"/>
  <c r="S61" i="1"/>
  <c r="T61" i="1"/>
  <c r="V61" i="1"/>
  <c r="W61" i="1"/>
  <c r="X61" i="1"/>
  <c r="AA61" i="1"/>
  <c r="AB61" i="1"/>
  <c r="AD61" i="1"/>
  <c r="AE61" i="1"/>
  <c r="AF61" i="1"/>
  <c r="AH61" i="1"/>
  <c r="AI61" i="1"/>
  <c r="AJ61" i="1"/>
  <c r="AK61" i="1"/>
  <c r="AL61" i="1"/>
  <c r="AM61" i="1"/>
  <c r="AO61" i="1"/>
  <c r="AP61" i="1"/>
  <c r="AQ61" i="1"/>
  <c r="AR61" i="1"/>
  <c r="BA61" i="1"/>
  <c r="BB61" i="1"/>
  <c r="F62" i="1"/>
  <c r="G62" i="1"/>
  <c r="H62" i="1"/>
  <c r="I62" i="1"/>
  <c r="O62" i="1"/>
  <c r="Q62" i="1"/>
  <c r="R62" i="1"/>
  <c r="S62" i="1"/>
  <c r="T62" i="1"/>
  <c r="V62" i="1"/>
  <c r="W62" i="1"/>
  <c r="X62" i="1"/>
  <c r="AA62" i="1"/>
  <c r="AB62" i="1"/>
  <c r="AD62" i="1"/>
  <c r="AE62" i="1"/>
  <c r="AF62" i="1"/>
  <c r="AH62" i="1"/>
  <c r="AI62" i="1"/>
  <c r="AJ62" i="1"/>
  <c r="AK62" i="1"/>
  <c r="AL62" i="1"/>
  <c r="AM62" i="1"/>
  <c r="AO62" i="1"/>
  <c r="AP62" i="1"/>
  <c r="AQ62" i="1"/>
  <c r="AR62" i="1"/>
  <c r="BA62" i="1"/>
  <c r="BB62" i="1"/>
  <c r="F63" i="1"/>
  <c r="G63" i="1"/>
  <c r="H63" i="1"/>
  <c r="I63" i="1"/>
  <c r="O63" i="1"/>
  <c r="Q63" i="1"/>
  <c r="R63" i="1"/>
  <c r="S63" i="1"/>
  <c r="T63" i="1"/>
  <c r="V63" i="1"/>
  <c r="W63" i="1"/>
  <c r="X63" i="1"/>
  <c r="AA63" i="1"/>
  <c r="AB63" i="1"/>
  <c r="AD63" i="1"/>
  <c r="AE63" i="1"/>
  <c r="AF63" i="1"/>
  <c r="AH63" i="1"/>
  <c r="AI63" i="1"/>
  <c r="AJ63" i="1"/>
  <c r="AK63" i="1"/>
  <c r="AL63" i="1"/>
  <c r="AM63" i="1"/>
  <c r="AO63" i="1"/>
  <c r="AP63" i="1"/>
  <c r="AQ63" i="1"/>
  <c r="AR63" i="1"/>
  <c r="BA63" i="1"/>
  <c r="BB63" i="1"/>
  <c r="F64" i="1"/>
  <c r="G64" i="1"/>
  <c r="H64" i="1"/>
  <c r="I64" i="1"/>
  <c r="O64" i="1"/>
  <c r="Q64" i="1"/>
  <c r="R64" i="1"/>
  <c r="S64" i="1"/>
  <c r="T64" i="1"/>
  <c r="V64" i="1"/>
  <c r="W64" i="1"/>
  <c r="X64" i="1"/>
  <c r="AA64" i="1"/>
  <c r="AB64" i="1"/>
  <c r="AD64" i="1"/>
  <c r="AE64" i="1"/>
  <c r="AF64" i="1"/>
  <c r="AH64" i="1"/>
  <c r="AI64" i="1"/>
  <c r="AJ64" i="1"/>
  <c r="AK64" i="1"/>
  <c r="AL64" i="1"/>
  <c r="AM64" i="1"/>
  <c r="AO64" i="1"/>
  <c r="AP64" i="1"/>
  <c r="AQ64" i="1"/>
  <c r="AR64" i="1"/>
  <c r="BA64" i="1"/>
  <c r="BB64" i="1"/>
  <c r="F65" i="1"/>
  <c r="G65" i="1"/>
  <c r="H65" i="1"/>
  <c r="I65" i="1"/>
  <c r="O65" i="1"/>
  <c r="Q65" i="1"/>
  <c r="R65" i="1"/>
  <c r="S65" i="1"/>
  <c r="T65" i="1"/>
  <c r="V65" i="1"/>
  <c r="W65" i="1"/>
  <c r="X65" i="1"/>
  <c r="AA65" i="1"/>
  <c r="AB65" i="1"/>
  <c r="AD65" i="1"/>
  <c r="AE65" i="1"/>
  <c r="AF65" i="1"/>
  <c r="AH65" i="1"/>
  <c r="AI65" i="1"/>
  <c r="AJ65" i="1"/>
  <c r="AK65" i="1"/>
  <c r="AL65" i="1"/>
  <c r="AM65" i="1"/>
  <c r="AO65" i="1"/>
  <c r="AP65" i="1"/>
  <c r="AQ65" i="1"/>
  <c r="AR65" i="1"/>
  <c r="BA65" i="1"/>
  <c r="BB65" i="1"/>
  <c r="F66" i="1"/>
  <c r="G66" i="1"/>
  <c r="H66" i="1"/>
  <c r="I66" i="1"/>
  <c r="O66" i="1"/>
  <c r="Q66" i="1"/>
  <c r="R66" i="1"/>
  <c r="S66" i="1"/>
  <c r="T66" i="1"/>
  <c r="V66" i="1"/>
  <c r="W66" i="1"/>
  <c r="X66" i="1"/>
  <c r="AA66" i="1"/>
  <c r="AB66" i="1"/>
  <c r="AD66" i="1"/>
  <c r="AE66" i="1"/>
  <c r="AF66" i="1"/>
  <c r="AH66" i="1"/>
  <c r="AI66" i="1"/>
  <c r="AJ66" i="1"/>
  <c r="AK66" i="1"/>
  <c r="AL66" i="1"/>
  <c r="AM66" i="1"/>
  <c r="AO66" i="1"/>
  <c r="AP66" i="1"/>
  <c r="AQ66" i="1"/>
  <c r="AR66" i="1"/>
  <c r="BA66" i="1"/>
  <c r="BB66" i="1"/>
  <c r="F67" i="1"/>
  <c r="G67" i="1"/>
  <c r="H67" i="1"/>
  <c r="I67" i="1"/>
  <c r="O67" i="1"/>
  <c r="Q67" i="1"/>
  <c r="R67" i="1"/>
  <c r="S67" i="1"/>
  <c r="T67" i="1"/>
  <c r="V67" i="1"/>
  <c r="W67" i="1"/>
  <c r="X67" i="1"/>
  <c r="AA67" i="1"/>
  <c r="AB67" i="1"/>
  <c r="AD67" i="1"/>
  <c r="AE67" i="1"/>
  <c r="AF67" i="1"/>
  <c r="AH67" i="1"/>
  <c r="AI67" i="1"/>
  <c r="AJ67" i="1"/>
  <c r="AK67" i="1"/>
  <c r="AL67" i="1"/>
  <c r="AM67" i="1"/>
  <c r="AO67" i="1"/>
  <c r="AP67" i="1"/>
  <c r="AQ67" i="1"/>
  <c r="AR67" i="1"/>
  <c r="BA67" i="1"/>
  <c r="BB67" i="1"/>
  <c r="F68" i="1"/>
  <c r="G68" i="1"/>
  <c r="H68" i="1"/>
  <c r="I68" i="1"/>
  <c r="O68" i="1"/>
  <c r="Q68" i="1"/>
  <c r="R68" i="1"/>
  <c r="S68" i="1"/>
  <c r="T68" i="1"/>
  <c r="V68" i="1"/>
  <c r="W68" i="1"/>
  <c r="X68" i="1"/>
  <c r="AA68" i="1"/>
  <c r="AB68" i="1"/>
  <c r="AD68" i="1"/>
  <c r="AE68" i="1"/>
  <c r="AF68" i="1"/>
  <c r="AH68" i="1"/>
  <c r="AI68" i="1"/>
  <c r="AJ68" i="1"/>
  <c r="AK68" i="1"/>
  <c r="AL68" i="1"/>
  <c r="AM68" i="1"/>
  <c r="AO68" i="1"/>
  <c r="AP68" i="1"/>
  <c r="AQ68" i="1"/>
  <c r="AR68" i="1"/>
  <c r="BA68" i="1"/>
  <c r="BB68" i="1"/>
  <c r="F69" i="1"/>
  <c r="G69" i="1"/>
  <c r="H69" i="1"/>
  <c r="I69" i="1"/>
  <c r="O69" i="1"/>
  <c r="Q69" i="1"/>
  <c r="R69" i="1"/>
  <c r="S69" i="1"/>
  <c r="T69" i="1"/>
  <c r="V69" i="1"/>
  <c r="W69" i="1"/>
  <c r="X69" i="1"/>
  <c r="AA69" i="1"/>
  <c r="AB69" i="1"/>
  <c r="AD69" i="1"/>
  <c r="AE69" i="1"/>
  <c r="AF69" i="1"/>
  <c r="AH69" i="1"/>
  <c r="AI69" i="1"/>
  <c r="AJ69" i="1"/>
  <c r="AK69" i="1"/>
  <c r="AL69" i="1"/>
  <c r="AM69" i="1"/>
  <c r="AO69" i="1"/>
  <c r="AP69" i="1"/>
  <c r="AQ69" i="1"/>
  <c r="AR69" i="1"/>
  <c r="BA69" i="1"/>
  <c r="BB69" i="1"/>
  <c r="F70" i="1"/>
  <c r="G70" i="1"/>
  <c r="H70" i="1"/>
  <c r="I70" i="1"/>
  <c r="O70" i="1"/>
  <c r="Q70" i="1"/>
  <c r="R70" i="1"/>
  <c r="S70" i="1"/>
  <c r="T70" i="1"/>
  <c r="V70" i="1"/>
  <c r="W70" i="1"/>
  <c r="X70" i="1"/>
  <c r="AA70" i="1"/>
  <c r="AB70" i="1"/>
  <c r="AD70" i="1"/>
  <c r="AE70" i="1"/>
  <c r="AF70" i="1"/>
  <c r="AH70" i="1"/>
  <c r="AI70" i="1"/>
  <c r="AJ70" i="1"/>
  <c r="AK70" i="1"/>
  <c r="AL70" i="1"/>
  <c r="AM70" i="1"/>
  <c r="AO70" i="1"/>
  <c r="AP70" i="1"/>
  <c r="AQ70" i="1"/>
  <c r="AR70" i="1"/>
  <c r="BA70" i="1"/>
  <c r="BB70" i="1"/>
  <c r="F71" i="1"/>
  <c r="G71" i="1"/>
  <c r="H71" i="1"/>
  <c r="I71" i="1"/>
  <c r="O71" i="1"/>
  <c r="Q71" i="1"/>
  <c r="R71" i="1"/>
  <c r="S71" i="1"/>
  <c r="T71" i="1"/>
  <c r="V71" i="1"/>
  <c r="W71" i="1"/>
  <c r="X71" i="1"/>
  <c r="AA71" i="1"/>
  <c r="AB71" i="1"/>
  <c r="AD71" i="1"/>
  <c r="AE71" i="1"/>
  <c r="AF71" i="1"/>
  <c r="AH71" i="1"/>
  <c r="AI71" i="1"/>
  <c r="AJ71" i="1"/>
  <c r="AK71" i="1"/>
  <c r="AL71" i="1"/>
  <c r="AM71" i="1"/>
  <c r="AO71" i="1"/>
  <c r="AP71" i="1"/>
  <c r="AQ71" i="1"/>
  <c r="AR71" i="1"/>
  <c r="BA71" i="1"/>
  <c r="BB71" i="1"/>
  <c r="F72" i="1"/>
  <c r="G72" i="1"/>
  <c r="H72" i="1"/>
  <c r="I72" i="1"/>
  <c r="O72" i="1"/>
  <c r="Q72" i="1"/>
  <c r="R72" i="1"/>
  <c r="S72" i="1"/>
  <c r="T72" i="1"/>
  <c r="V72" i="1"/>
  <c r="W72" i="1"/>
  <c r="X72" i="1"/>
  <c r="AA72" i="1"/>
  <c r="AB72" i="1"/>
  <c r="AD72" i="1"/>
  <c r="AE72" i="1"/>
  <c r="AF72" i="1"/>
  <c r="AH72" i="1"/>
  <c r="AI72" i="1"/>
  <c r="AJ72" i="1"/>
  <c r="AK72" i="1"/>
  <c r="AL72" i="1"/>
  <c r="AM72" i="1"/>
  <c r="AO72" i="1"/>
  <c r="AP72" i="1"/>
  <c r="AQ72" i="1"/>
  <c r="AR72" i="1"/>
  <c r="BA72" i="1"/>
  <c r="BB72" i="1"/>
  <c r="F73" i="1"/>
  <c r="G73" i="1"/>
  <c r="H73" i="1"/>
  <c r="I73" i="1"/>
  <c r="O73" i="1"/>
  <c r="Q73" i="1"/>
  <c r="R73" i="1"/>
  <c r="S73" i="1"/>
  <c r="T73" i="1"/>
  <c r="V73" i="1"/>
  <c r="W73" i="1"/>
  <c r="X73" i="1"/>
  <c r="AA73" i="1"/>
  <c r="AB73" i="1"/>
  <c r="AD73" i="1"/>
  <c r="AE73" i="1"/>
  <c r="AF73" i="1"/>
  <c r="AH73" i="1"/>
  <c r="AI73" i="1"/>
  <c r="AJ73" i="1"/>
  <c r="AK73" i="1"/>
  <c r="AL73" i="1"/>
  <c r="AM73" i="1"/>
  <c r="AO73" i="1"/>
  <c r="AP73" i="1"/>
  <c r="AQ73" i="1"/>
  <c r="AR73" i="1"/>
  <c r="BA73" i="1"/>
  <c r="BB73" i="1"/>
  <c r="F74" i="1"/>
  <c r="G74" i="1"/>
  <c r="H74" i="1"/>
  <c r="I74" i="1"/>
  <c r="O74" i="1"/>
  <c r="Q74" i="1"/>
  <c r="R74" i="1"/>
  <c r="S74" i="1"/>
  <c r="T74" i="1"/>
  <c r="V74" i="1"/>
  <c r="W74" i="1"/>
  <c r="X74" i="1"/>
  <c r="AA74" i="1"/>
  <c r="AB74" i="1"/>
  <c r="AD74" i="1"/>
  <c r="AE74" i="1"/>
  <c r="AF74" i="1"/>
  <c r="AH74" i="1"/>
  <c r="AI74" i="1"/>
  <c r="AJ74" i="1"/>
  <c r="AK74" i="1"/>
  <c r="AL74" i="1"/>
  <c r="AM74" i="1"/>
  <c r="AO74" i="1"/>
  <c r="AP74" i="1"/>
  <c r="AQ74" i="1"/>
  <c r="AR74" i="1"/>
  <c r="BA74" i="1"/>
  <c r="BB74" i="1"/>
  <c r="F75" i="1"/>
  <c r="G75" i="1"/>
  <c r="H75" i="1"/>
  <c r="I75" i="1"/>
  <c r="O75" i="1"/>
  <c r="Q75" i="1"/>
  <c r="R75" i="1"/>
  <c r="S75" i="1"/>
  <c r="T75" i="1"/>
  <c r="V75" i="1"/>
  <c r="W75" i="1"/>
  <c r="X75" i="1"/>
  <c r="AA75" i="1"/>
  <c r="AB75" i="1"/>
  <c r="AD75" i="1"/>
  <c r="AE75" i="1"/>
  <c r="AF75" i="1"/>
  <c r="AH75" i="1"/>
  <c r="AI75" i="1"/>
  <c r="AJ75" i="1"/>
  <c r="AK75" i="1"/>
  <c r="AL75" i="1"/>
  <c r="AM75" i="1"/>
  <c r="AO75" i="1"/>
  <c r="AP75" i="1"/>
  <c r="AQ75" i="1"/>
  <c r="AR75" i="1"/>
  <c r="BA75" i="1"/>
  <c r="BB75" i="1"/>
  <c r="F76" i="1"/>
  <c r="G76" i="1"/>
  <c r="H76" i="1"/>
  <c r="I76" i="1"/>
  <c r="O76" i="1"/>
  <c r="Q76" i="1"/>
  <c r="R76" i="1"/>
  <c r="S76" i="1"/>
  <c r="T76" i="1"/>
  <c r="V76" i="1"/>
  <c r="W76" i="1"/>
  <c r="X76" i="1"/>
  <c r="AA76" i="1"/>
  <c r="AB76" i="1"/>
  <c r="AD76" i="1"/>
  <c r="AE76" i="1"/>
  <c r="AF76" i="1"/>
  <c r="AH76" i="1"/>
  <c r="AI76" i="1"/>
  <c r="AJ76" i="1"/>
  <c r="AK76" i="1"/>
  <c r="AL76" i="1"/>
  <c r="AM76" i="1"/>
  <c r="AO76" i="1"/>
  <c r="AP76" i="1"/>
  <c r="AQ76" i="1"/>
  <c r="AR76" i="1"/>
  <c r="BA76" i="1"/>
  <c r="BB76" i="1"/>
  <c r="F77" i="1"/>
  <c r="G77" i="1"/>
  <c r="H77" i="1"/>
  <c r="I77" i="1"/>
  <c r="O77" i="1"/>
  <c r="Q77" i="1"/>
  <c r="R77" i="1"/>
  <c r="S77" i="1"/>
  <c r="T77" i="1"/>
  <c r="V77" i="1"/>
  <c r="W77" i="1"/>
  <c r="X77" i="1"/>
  <c r="AA77" i="1"/>
  <c r="AB77" i="1"/>
  <c r="AD77" i="1"/>
  <c r="AE77" i="1"/>
  <c r="AF77" i="1"/>
  <c r="AH77" i="1"/>
  <c r="AI77" i="1"/>
  <c r="AJ77" i="1"/>
  <c r="AK77" i="1"/>
  <c r="AL77" i="1"/>
  <c r="AM77" i="1"/>
  <c r="AO77" i="1"/>
  <c r="AP77" i="1"/>
  <c r="AQ77" i="1"/>
  <c r="AR77" i="1"/>
  <c r="BA77" i="1"/>
  <c r="BB77" i="1"/>
  <c r="F78" i="1"/>
  <c r="G78" i="1"/>
  <c r="H78" i="1"/>
  <c r="I78" i="1"/>
  <c r="O78" i="1"/>
  <c r="Q78" i="1"/>
  <c r="R78" i="1"/>
  <c r="S78" i="1"/>
  <c r="T78" i="1"/>
  <c r="V78" i="1"/>
  <c r="W78" i="1"/>
  <c r="X78" i="1"/>
  <c r="AA78" i="1"/>
  <c r="AB78" i="1"/>
  <c r="AD78" i="1"/>
  <c r="AE78" i="1"/>
  <c r="AF78" i="1"/>
  <c r="AH78" i="1"/>
  <c r="AI78" i="1"/>
  <c r="AJ78" i="1"/>
  <c r="AK78" i="1"/>
  <c r="AL78" i="1"/>
  <c r="AM78" i="1"/>
  <c r="AO78" i="1"/>
  <c r="AP78" i="1"/>
  <c r="AQ78" i="1"/>
  <c r="AR78" i="1"/>
  <c r="BA78" i="1"/>
  <c r="BB78" i="1"/>
  <c r="F79" i="1"/>
  <c r="G79" i="1"/>
  <c r="H79" i="1"/>
  <c r="I79" i="1"/>
  <c r="O79" i="1"/>
  <c r="Q79" i="1"/>
  <c r="R79" i="1"/>
  <c r="S79" i="1"/>
  <c r="T79" i="1"/>
  <c r="V79" i="1"/>
  <c r="W79" i="1"/>
  <c r="X79" i="1"/>
  <c r="AA79" i="1"/>
  <c r="AB79" i="1"/>
  <c r="AD79" i="1"/>
  <c r="AE79" i="1"/>
  <c r="AF79" i="1"/>
  <c r="AH79" i="1"/>
  <c r="AI79" i="1"/>
  <c r="AJ79" i="1"/>
  <c r="AK79" i="1"/>
  <c r="AL79" i="1"/>
  <c r="AM79" i="1"/>
  <c r="AO79" i="1"/>
  <c r="AP79" i="1"/>
  <c r="AQ79" i="1"/>
  <c r="AR79" i="1"/>
  <c r="BA79" i="1"/>
  <c r="BB79" i="1"/>
  <c r="F80" i="1"/>
  <c r="G80" i="1"/>
  <c r="H80" i="1"/>
  <c r="I80" i="1"/>
  <c r="O80" i="1"/>
  <c r="Q80" i="1"/>
  <c r="R80" i="1"/>
  <c r="S80" i="1"/>
  <c r="T80" i="1"/>
  <c r="V80" i="1"/>
  <c r="W80" i="1"/>
  <c r="X80" i="1"/>
  <c r="AA80" i="1"/>
  <c r="AB80" i="1"/>
  <c r="AD80" i="1"/>
  <c r="AE80" i="1"/>
  <c r="AF80" i="1"/>
  <c r="AH80" i="1"/>
  <c r="AI80" i="1"/>
  <c r="AJ80" i="1"/>
  <c r="AK80" i="1"/>
  <c r="AL80" i="1"/>
  <c r="AM80" i="1"/>
  <c r="AO80" i="1"/>
  <c r="AP80" i="1"/>
  <c r="AQ80" i="1"/>
  <c r="AR80" i="1"/>
  <c r="BA80" i="1"/>
  <c r="BB80" i="1"/>
  <c r="F81" i="1"/>
  <c r="G81" i="1"/>
  <c r="H81" i="1"/>
  <c r="I81" i="1"/>
  <c r="O81" i="1"/>
  <c r="Q81" i="1"/>
  <c r="R81" i="1"/>
  <c r="S81" i="1"/>
  <c r="T81" i="1"/>
  <c r="V81" i="1"/>
  <c r="W81" i="1"/>
  <c r="X81" i="1"/>
  <c r="AA81" i="1"/>
  <c r="AB81" i="1"/>
  <c r="AD81" i="1"/>
  <c r="AE81" i="1"/>
  <c r="AF81" i="1"/>
  <c r="AH81" i="1"/>
  <c r="AI81" i="1"/>
  <c r="AJ81" i="1"/>
  <c r="AK81" i="1"/>
  <c r="AL81" i="1"/>
  <c r="AM81" i="1"/>
  <c r="AO81" i="1"/>
  <c r="AP81" i="1"/>
  <c r="AQ81" i="1"/>
  <c r="AR81" i="1"/>
  <c r="BA81" i="1"/>
  <c r="BB81" i="1"/>
  <c r="F82" i="1"/>
  <c r="G82" i="1"/>
  <c r="H82" i="1"/>
  <c r="I82" i="1"/>
  <c r="O82" i="1"/>
  <c r="Q82" i="1"/>
  <c r="R82" i="1"/>
  <c r="S82" i="1"/>
  <c r="T82" i="1"/>
  <c r="V82" i="1"/>
  <c r="W82" i="1"/>
  <c r="X82" i="1"/>
  <c r="AA82" i="1"/>
  <c r="AB82" i="1"/>
  <c r="AD82" i="1"/>
  <c r="AE82" i="1"/>
  <c r="AF82" i="1"/>
  <c r="AH82" i="1"/>
  <c r="AI82" i="1"/>
  <c r="AJ82" i="1"/>
  <c r="AK82" i="1"/>
  <c r="AL82" i="1"/>
  <c r="AM82" i="1"/>
  <c r="AO82" i="1"/>
  <c r="AP82" i="1"/>
  <c r="AQ82" i="1"/>
  <c r="AR82" i="1"/>
  <c r="BA82" i="1"/>
  <c r="BB82" i="1"/>
  <c r="F83" i="1"/>
  <c r="G83" i="1"/>
  <c r="H83" i="1"/>
  <c r="I83" i="1"/>
  <c r="O83" i="1"/>
  <c r="Q83" i="1"/>
  <c r="R83" i="1"/>
  <c r="S83" i="1"/>
  <c r="T83" i="1"/>
  <c r="V83" i="1"/>
  <c r="W83" i="1"/>
  <c r="X83" i="1"/>
  <c r="AA83" i="1"/>
  <c r="AB83" i="1"/>
  <c r="AD83" i="1"/>
  <c r="AE83" i="1"/>
  <c r="AF83" i="1"/>
  <c r="AH83" i="1"/>
  <c r="AI83" i="1"/>
  <c r="AJ83" i="1"/>
  <c r="AK83" i="1"/>
  <c r="AL83" i="1"/>
  <c r="AM83" i="1"/>
  <c r="AO83" i="1"/>
  <c r="AP83" i="1"/>
  <c r="AQ83" i="1"/>
  <c r="AR83" i="1"/>
  <c r="BA83" i="1"/>
  <c r="BB83" i="1"/>
  <c r="F84" i="1"/>
  <c r="G84" i="1"/>
  <c r="H84" i="1"/>
  <c r="I84" i="1"/>
  <c r="O84" i="1"/>
  <c r="Q84" i="1"/>
  <c r="R84" i="1"/>
  <c r="S84" i="1"/>
  <c r="T84" i="1"/>
  <c r="V84" i="1"/>
  <c r="W84" i="1"/>
  <c r="X84" i="1"/>
  <c r="AA84" i="1"/>
  <c r="AB84" i="1"/>
  <c r="AD84" i="1"/>
  <c r="AE84" i="1"/>
  <c r="AF84" i="1"/>
  <c r="AH84" i="1"/>
  <c r="AI84" i="1"/>
  <c r="AJ84" i="1"/>
  <c r="AK84" i="1"/>
  <c r="AL84" i="1"/>
  <c r="AM84" i="1"/>
  <c r="AO84" i="1"/>
  <c r="AP84" i="1"/>
  <c r="AQ84" i="1"/>
  <c r="AR84" i="1"/>
  <c r="BA84" i="1"/>
  <c r="BB84" i="1"/>
  <c r="F85" i="1"/>
  <c r="G85" i="1"/>
  <c r="H85" i="1"/>
  <c r="I85" i="1"/>
  <c r="O85" i="1"/>
  <c r="Q85" i="1"/>
  <c r="R85" i="1"/>
  <c r="S85" i="1"/>
  <c r="T85" i="1"/>
  <c r="V85" i="1"/>
  <c r="W85" i="1"/>
  <c r="X85" i="1"/>
  <c r="AA85" i="1"/>
  <c r="AB85" i="1"/>
  <c r="AD85" i="1"/>
  <c r="AE85" i="1"/>
  <c r="AF85" i="1"/>
  <c r="AH85" i="1"/>
  <c r="AI85" i="1"/>
  <c r="AJ85" i="1"/>
  <c r="AK85" i="1"/>
  <c r="AL85" i="1"/>
  <c r="AM85" i="1"/>
  <c r="AO85" i="1"/>
  <c r="AP85" i="1"/>
  <c r="AQ85" i="1"/>
  <c r="AR85" i="1"/>
  <c r="BA85" i="1"/>
  <c r="BB85" i="1"/>
  <c r="F86" i="1"/>
  <c r="G86" i="1"/>
  <c r="H86" i="1"/>
  <c r="I86" i="1"/>
  <c r="O86" i="1"/>
  <c r="Q86" i="1"/>
  <c r="R86" i="1"/>
  <c r="S86" i="1"/>
  <c r="T86" i="1"/>
  <c r="V86" i="1"/>
  <c r="W86" i="1"/>
  <c r="X86" i="1"/>
  <c r="AA86" i="1"/>
  <c r="AB86" i="1"/>
  <c r="AD86" i="1"/>
  <c r="AE86" i="1"/>
  <c r="AF86" i="1"/>
  <c r="AH86" i="1"/>
  <c r="AI86" i="1"/>
  <c r="AJ86" i="1"/>
  <c r="AK86" i="1"/>
  <c r="AL86" i="1"/>
  <c r="AM86" i="1"/>
  <c r="AO86" i="1"/>
  <c r="AP86" i="1"/>
  <c r="AQ86" i="1"/>
  <c r="AR86" i="1"/>
  <c r="BA86" i="1"/>
  <c r="BB86" i="1"/>
  <c r="F87" i="1"/>
  <c r="G87" i="1"/>
  <c r="H87" i="1"/>
  <c r="I87" i="1"/>
  <c r="O87" i="1"/>
  <c r="Q87" i="1"/>
  <c r="R87" i="1"/>
  <c r="S87" i="1"/>
  <c r="T87" i="1"/>
  <c r="V87" i="1"/>
  <c r="W87" i="1"/>
  <c r="X87" i="1"/>
  <c r="AA87" i="1"/>
  <c r="AB87" i="1"/>
  <c r="AD87" i="1"/>
  <c r="AE87" i="1"/>
  <c r="AF87" i="1"/>
  <c r="AH87" i="1"/>
  <c r="AI87" i="1"/>
  <c r="AJ87" i="1"/>
  <c r="AK87" i="1"/>
  <c r="AL87" i="1"/>
  <c r="AM87" i="1"/>
  <c r="AO87" i="1"/>
  <c r="AP87" i="1"/>
  <c r="AQ87" i="1"/>
  <c r="AR87" i="1"/>
  <c r="BA87" i="1"/>
  <c r="BB87" i="1"/>
  <c r="F88" i="1"/>
  <c r="G88" i="1"/>
  <c r="H88" i="1"/>
  <c r="I88" i="1"/>
  <c r="O88" i="1"/>
  <c r="Q88" i="1"/>
  <c r="R88" i="1"/>
  <c r="S88" i="1"/>
  <c r="T88" i="1"/>
  <c r="V88" i="1"/>
  <c r="W88" i="1"/>
  <c r="X88" i="1"/>
  <c r="AA88" i="1"/>
  <c r="AB88" i="1"/>
  <c r="AD88" i="1"/>
  <c r="AE88" i="1"/>
  <c r="AF88" i="1"/>
  <c r="AH88" i="1"/>
  <c r="AI88" i="1"/>
  <c r="AJ88" i="1"/>
  <c r="AK88" i="1"/>
  <c r="AL88" i="1"/>
  <c r="AM88" i="1"/>
  <c r="AO88" i="1"/>
  <c r="AP88" i="1"/>
  <c r="AQ88" i="1"/>
  <c r="AR88" i="1"/>
  <c r="BA88" i="1"/>
  <c r="BB88" i="1"/>
  <c r="F89" i="1"/>
  <c r="G89" i="1"/>
  <c r="H89" i="1"/>
  <c r="I89" i="1"/>
  <c r="O89" i="1"/>
  <c r="Q89" i="1"/>
  <c r="R89" i="1"/>
  <c r="S89" i="1"/>
  <c r="T89" i="1"/>
  <c r="V89" i="1"/>
  <c r="W89" i="1"/>
  <c r="X89" i="1"/>
  <c r="AA89" i="1"/>
  <c r="AB89" i="1"/>
  <c r="AD89" i="1"/>
  <c r="AE89" i="1"/>
  <c r="AF89" i="1"/>
  <c r="AH89" i="1"/>
  <c r="AI89" i="1"/>
  <c r="AJ89" i="1"/>
  <c r="AK89" i="1"/>
  <c r="AL89" i="1"/>
  <c r="AM89" i="1"/>
  <c r="AO89" i="1"/>
  <c r="AP89" i="1"/>
  <c r="AQ89" i="1"/>
  <c r="AR89" i="1"/>
  <c r="BA89" i="1"/>
  <c r="BB89" i="1"/>
  <c r="F90" i="1"/>
  <c r="G90" i="1"/>
  <c r="H90" i="1"/>
  <c r="I90" i="1"/>
  <c r="O90" i="1"/>
  <c r="Q90" i="1"/>
  <c r="R90" i="1"/>
  <c r="S90" i="1"/>
  <c r="T90" i="1"/>
  <c r="V90" i="1"/>
  <c r="W90" i="1"/>
  <c r="X90" i="1"/>
  <c r="AA90" i="1"/>
  <c r="AB90" i="1"/>
  <c r="AD90" i="1"/>
  <c r="AE90" i="1"/>
  <c r="AF90" i="1"/>
  <c r="AH90" i="1"/>
  <c r="AI90" i="1"/>
  <c r="AJ90" i="1"/>
  <c r="AK90" i="1"/>
  <c r="AL90" i="1"/>
  <c r="AM90" i="1"/>
  <c r="AO90" i="1"/>
  <c r="AP90" i="1"/>
  <c r="AQ90" i="1"/>
  <c r="AR90" i="1"/>
  <c r="BA90" i="1"/>
  <c r="BB90" i="1"/>
  <c r="F91" i="1"/>
  <c r="G91" i="1"/>
  <c r="H91" i="1"/>
  <c r="I91" i="1"/>
  <c r="O91" i="1"/>
  <c r="Q91" i="1"/>
  <c r="R91" i="1"/>
  <c r="S91" i="1"/>
  <c r="T91" i="1"/>
  <c r="V91" i="1"/>
  <c r="W91" i="1"/>
  <c r="X91" i="1"/>
  <c r="AA91" i="1"/>
  <c r="AB91" i="1"/>
  <c r="AD91" i="1"/>
  <c r="AE91" i="1"/>
  <c r="AF91" i="1"/>
  <c r="AH91" i="1"/>
  <c r="AI91" i="1"/>
  <c r="AJ91" i="1"/>
  <c r="AK91" i="1"/>
  <c r="AL91" i="1"/>
  <c r="AM91" i="1"/>
  <c r="AO91" i="1"/>
  <c r="AP91" i="1"/>
  <c r="AQ91" i="1"/>
  <c r="AR91" i="1"/>
  <c r="BA91" i="1"/>
  <c r="BB91" i="1"/>
  <c r="F92" i="1"/>
  <c r="G92" i="1"/>
  <c r="H92" i="1"/>
  <c r="I92" i="1"/>
  <c r="O92" i="1"/>
  <c r="Q92" i="1"/>
  <c r="R92" i="1"/>
  <c r="S92" i="1"/>
  <c r="T92" i="1"/>
  <c r="V92" i="1"/>
  <c r="W92" i="1"/>
  <c r="X92" i="1"/>
  <c r="AA92" i="1"/>
  <c r="AB92" i="1"/>
  <c r="AD92" i="1"/>
  <c r="AE92" i="1"/>
  <c r="AF92" i="1"/>
  <c r="AH92" i="1"/>
  <c r="AI92" i="1"/>
  <c r="AJ92" i="1"/>
  <c r="AK92" i="1"/>
  <c r="AL92" i="1"/>
  <c r="AM92" i="1"/>
  <c r="AO92" i="1"/>
  <c r="AP92" i="1"/>
  <c r="AQ92" i="1"/>
  <c r="AR92" i="1"/>
  <c r="BA92" i="1"/>
  <c r="BB92" i="1"/>
  <c r="F93" i="1"/>
  <c r="G93" i="1"/>
  <c r="H93" i="1"/>
  <c r="I93" i="1"/>
  <c r="O93" i="1"/>
  <c r="Q93" i="1"/>
  <c r="R93" i="1"/>
  <c r="S93" i="1"/>
  <c r="T93" i="1"/>
  <c r="V93" i="1"/>
  <c r="W93" i="1"/>
  <c r="X93" i="1"/>
  <c r="AA93" i="1"/>
  <c r="AB93" i="1"/>
  <c r="AD93" i="1"/>
  <c r="AE93" i="1"/>
  <c r="AF93" i="1"/>
  <c r="AH93" i="1"/>
  <c r="AI93" i="1"/>
  <c r="AJ93" i="1"/>
  <c r="AK93" i="1"/>
  <c r="AL93" i="1"/>
  <c r="AM93" i="1"/>
  <c r="AO93" i="1"/>
  <c r="AP93" i="1"/>
  <c r="AQ93" i="1"/>
  <c r="AR93" i="1"/>
  <c r="BA93" i="1"/>
  <c r="BB93" i="1"/>
  <c r="F94" i="1"/>
  <c r="G94" i="1"/>
  <c r="H94" i="1"/>
  <c r="I94" i="1"/>
  <c r="O94" i="1"/>
  <c r="Q94" i="1"/>
  <c r="R94" i="1"/>
  <c r="S94" i="1"/>
  <c r="T94" i="1"/>
  <c r="V94" i="1"/>
  <c r="W94" i="1"/>
  <c r="X94" i="1"/>
  <c r="AA94" i="1"/>
  <c r="AB94" i="1"/>
  <c r="AD94" i="1"/>
  <c r="AE94" i="1"/>
  <c r="AF94" i="1"/>
  <c r="AH94" i="1"/>
  <c r="AI94" i="1"/>
  <c r="AJ94" i="1"/>
  <c r="AK94" i="1"/>
  <c r="AL94" i="1"/>
  <c r="AM94" i="1"/>
  <c r="AO94" i="1"/>
  <c r="AP94" i="1"/>
  <c r="AQ94" i="1"/>
  <c r="AR94" i="1"/>
  <c r="BA94" i="1"/>
  <c r="BB94" i="1"/>
  <c r="F95" i="1"/>
  <c r="G95" i="1"/>
  <c r="H95" i="1"/>
  <c r="I95" i="1"/>
  <c r="O95" i="1"/>
  <c r="Q95" i="1"/>
  <c r="R95" i="1"/>
  <c r="S95" i="1"/>
  <c r="T95" i="1"/>
  <c r="V95" i="1"/>
  <c r="W95" i="1"/>
  <c r="X95" i="1"/>
  <c r="AA95" i="1"/>
  <c r="AB95" i="1"/>
  <c r="AD95" i="1"/>
  <c r="AE95" i="1"/>
  <c r="AF95" i="1"/>
  <c r="AH95" i="1"/>
  <c r="AI95" i="1"/>
  <c r="AJ95" i="1"/>
  <c r="AK95" i="1"/>
  <c r="AL95" i="1"/>
  <c r="AM95" i="1"/>
  <c r="AO95" i="1"/>
  <c r="AP95" i="1"/>
  <c r="AQ95" i="1"/>
  <c r="AR95" i="1"/>
  <c r="BA95" i="1"/>
  <c r="BB95" i="1"/>
  <c r="F96" i="1"/>
  <c r="G96" i="1"/>
  <c r="H96" i="1"/>
  <c r="I96" i="1"/>
  <c r="O96" i="1"/>
  <c r="Q96" i="1"/>
  <c r="R96" i="1"/>
  <c r="S96" i="1"/>
  <c r="T96" i="1"/>
  <c r="V96" i="1"/>
  <c r="W96" i="1"/>
  <c r="X96" i="1"/>
  <c r="AA96" i="1"/>
  <c r="AB96" i="1"/>
  <c r="AD96" i="1"/>
  <c r="AE96" i="1"/>
  <c r="AF96" i="1"/>
  <c r="AH96" i="1"/>
  <c r="AI96" i="1"/>
  <c r="AJ96" i="1"/>
  <c r="AK96" i="1"/>
  <c r="AL96" i="1"/>
  <c r="AM96" i="1"/>
  <c r="AO96" i="1"/>
  <c r="AP96" i="1"/>
  <c r="AQ96" i="1"/>
  <c r="AR96" i="1"/>
  <c r="BA96" i="1"/>
  <c r="BB96" i="1"/>
  <c r="F97" i="1"/>
  <c r="G97" i="1"/>
  <c r="H97" i="1"/>
  <c r="I97" i="1"/>
  <c r="O97" i="1"/>
  <c r="Q97" i="1"/>
  <c r="R97" i="1"/>
  <c r="S97" i="1"/>
  <c r="T97" i="1"/>
  <c r="V97" i="1"/>
  <c r="W97" i="1"/>
  <c r="X97" i="1"/>
  <c r="AA97" i="1"/>
  <c r="AB97" i="1"/>
  <c r="AD97" i="1"/>
  <c r="AE97" i="1"/>
  <c r="AF97" i="1"/>
  <c r="AH97" i="1"/>
  <c r="AI97" i="1"/>
  <c r="AJ97" i="1"/>
  <c r="AK97" i="1"/>
  <c r="AL97" i="1"/>
  <c r="AM97" i="1"/>
  <c r="AO97" i="1"/>
  <c r="AP97" i="1"/>
  <c r="AQ97" i="1"/>
  <c r="AR97" i="1"/>
  <c r="BA97" i="1"/>
  <c r="BB97" i="1"/>
  <c r="F98" i="1"/>
  <c r="G98" i="1"/>
  <c r="H98" i="1"/>
  <c r="I98" i="1"/>
  <c r="O98" i="1"/>
  <c r="Q98" i="1"/>
  <c r="R98" i="1"/>
  <c r="S98" i="1"/>
  <c r="T98" i="1"/>
  <c r="V98" i="1"/>
  <c r="W98" i="1"/>
  <c r="X98" i="1"/>
  <c r="AA98" i="1"/>
  <c r="AB98" i="1"/>
  <c r="AD98" i="1"/>
  <c r="AE98" i="1"/>
  <c r="AF98" i="1"/>
  <c r="AH98" i="1"/>
  <c r="AI98" i="1"/>
  <c r="AJ98" i="1"/>
  <c r="AK98" i="1"/>
  <c r="AL98" i="1"/>
  <c r="AM98" i="1"/>
  <c r="AO98" i="1"/>
  <c r="AP98" i="1"/>
  <c r="AQ98" i="1"/>
  <c r="AR98" i="1"/>
  <c r="BA98" i="1"/>
  <c r="BB98" i="1"/>
  <c r="F99" i="1"/>
  <c r="G99" i="1"/>
  <c r="H99" i="1"/>
  <c r="I99" i="1"/>
  <c r="O99" i="1"/>
  <c r="Q99" i="1"/>
  <c r="R99" i="1"/>
  <c r="S99" i="1"/>
  <c r="T99" i="1"/>
  <c r="V99" i="1"/>
  <c r="W99" i="1"/>
  <c r="X99" i="1"/>
  <c r="AA99" i="1"/>
  <c r="AB99" i="1"/>
  <c r="AD99" i="1"/>
  <c r="AE99" i="1"/>
  <c r="AF99" i="1"/>
  <c r="AH99" i="1"/>
  <c r="AI99" i="1"/>
  <c r="AJ99" i="1"/>
  <c r="AK99" i="1"/>
  <c r="AL99" i="1"/>
  <c r="AM99" i="1"/>
  <c r="AO99" i="1"/>
  <c r="AP99" i="1"/>
  <c r="AQ99" i="1"/>
  <c r="AR99" i="1"/>
  <c r="BA99" i="1"/>
  <c r="BB99" i="1"/>
  <c r="F100" i="1"/>
  <c r="G100" i="1"/>
  <c r="H100" i="1"/>
  <c r="I100" i="1"/>
  <c r="O100" i="1"/>
  <c r="Q100" i="1"/>
  <c r="R100" i="1"/>
  <c r="S100" i="1"/>
  <c r="T100" i="1"/>
  <c r="V100" i="1"/>
  <c r="W100" i="1"/>
  <c r="X100" i="1"/>
  <c r="AA100" i="1"/>
  <c r="AB100" i="1"/>
  <c r="AD100" i="1"/>
  <c r="AE100" i="1"/>
  <c r="AF100" i="1"/>
  <c r="AH100" i="1"/>
  <c r="AI100" i="1"/>
  <c r="AJ100" i="1"/>
  <c r="AK100" i="1"/>
  <c r="AL100" i="1"/>
  <c r="AM100" i="1"/>
  <c r="AO100" i="1"/>
  <c r="AP100" i="1"/>
  <c r="AQ100" i="1"/>
  <c r="AR100" i="1"/>
  <c r="BA100" i="1"/>
  <c r="BB100" i="1"/>
  <c r="F101" i="1"/>
  <c r="G101" i="1"/>
  <c r="H101" i="1"/>
  <c r="I101" i="1"/>
  <c r="O101" i="1"/>
  <c r="Q101" i="1"/>
  <c r="R101" i="1"/>
  <c r="S101" i="1"/>
  <c r="T101" i="1"/>
  <c r="V101" i="1"/>
  <c r="W101" i="1"/>
  <c r="X101" i="1"/>
  <c r="AA101" i="1"/>
  <c r="AB101" i="1"/>
  <c r="AD101" i="1"/>
  <c r="AE101" i="1"/>
  <c r="AF101" i="1"/>
  <c r="AH101" i="1"/>
  <c r="AI101" i="1"/>
  <c r="AJ101" i="1"/>
  <c r="AK101" i="1"/>
  <c r="AL101" i="1"/>
  <c r="AM101" i="1"/>
  <c r="AO101" i="1"/>
  <c r="AP101" i="1"/>
  <c r="AQ101" i="1"/>
  <c r="AR101" i="1"/>
  <c r="F102" i="1"/>
  <c r="G102" i="1"/>
  <c r="H102" i="1"/>
  <c r="I102" i="1"/>
  <c r="O102" i="1"/>
  <c r="Q102" i="1"/>
  <c r="R102" i="1"/>
  <c r="S102" i="1"/>
  <c r="T102" i="1"/>
  <c r="V102" i="1"/>
  <c r="W102" i="1"/>
  <c r="X102" i="1"/>
  <c r="AA102" i="1"/>
  <c r="AB102" i="1"/>
  <c r="AD102" i="1"/>
  <c r="AE102" i="1"/>
  <c r="AF102" i="1"/>
  <c r="AH102" i="1"/>
  <c r="AI102" i="1"/>
  <c r="AJ102" i="1"/>
  <c r="AK102" i="1"/>
  <c r="AL102" i="1"/>
  <c r="AM102" i="1"/>
  <c r="AO102" i="1"/>
  <c r="AP102" i="1"/>
  <c r="AQ102" i="1"/>
  <c r="AR102" i="1"/>
  <c r="F103" i="1"/>
  <c r="G103" i="1"/>
  <c r="H103" i="1"/>
  <c r="I103" i="1"/>
  <c r="O103" i="1"/>
  <c r="Q103" i="1"/>
  <c r="R103" i="1"/>
  <c r="S103" i="1"/>
  <c r="T103" i="1"/>
  <c r="V103" i="1"/>
  <c r="W103" i="1"/>
  <c r="X103" i="1"/>
  <c r="AA103" i="1"/>
  <c r="AB103" i="1"/>
  <c r="AD103" i="1"/>
  <c r="AE103" i="1"/>
  <c r="AF103" i="1"/>
  <c r="AH103" i="1"/>
  <c r="AI103" i="1"/>
  <c r="AJ103" i="1"/>
  <c r="AK103" i="1"/>
  <c r="AL103" i="1"/>
  <c r="AM103" i="1"/>
  <c r="AO103" i="1"/>
  <c r="AP103" i="1"/>
  <c r="AQ103" i="1"/>
  <c r="AR103" i="1"/>
  <c r="F104" i="1"/>
  <c r="G104" i="1"/>
  <c r="H104" i="1"/>
  <c r="I104" i="1"/>
  <c r="O104" i="1"/>
  <c r="Q104" i="1"/>
  <c r="R104" i="1"/>
  <c r="S104" i="1"/>
  <c r="T104" i="1"/>
  <c r="V104" i="1"/>
  <c r="W104" i="1"/>
  <c r="X104" i="1"/>
  <c r="AA104" i="1"/>
  <c r="AB104" i="1"/>
  <c r="AD104" i="1"/>
  <c r="AE104" i="1"/>
  <c r="AF104" i="1"/>
  <c r="AH104" i="1"/>
  <c r="AI104" i="1"/>
  <c r="AJ104" i="1"/>
  <c r="AK104" i="1"/>
  <c r="AL104" i="1"/>
  <c r="AM104" i="1"/>
  <c r="AO104" i="1"/>
  <c r="AP104" i="1"/>
  <c r="AQ104" i="1"/>
  <c r="AR104" i="1"/>
  <c r="F105" i="1"/>
  <c r="G105" i="1"/>
  <c r="H105" i="1"/>
  <c r="I105" i="1"/>
  <c r="O105" i="1"/>
  <c r="Q105" i="1"/>
  <c r="R105" i="1"/>
  <c r="S105" i="1"/>
  <c r="T105" i="1"/>
  <c r="V105" i="1"/>
  <c r="W105" i="1"/>
  <c r="X105" i="1"/>
  <c r="AA105" i="1"/>
  <c r="AB105" i="1"/>
  <c r="AD105" i="1"/>
  <c r="AE105" i="1"/>
  <c r="AF105" i="1"/>
  <c r="AH105" i="1"/>
  <c r="AI105" i="1"/>
  <c r="AJ105" i="1"/>
  <c r="AK105" i="1"/>
  <c r="AL105" i="1"/>
  <c r="AM105" i="1"/>
  <c r="AO105" i="1"/>
  <c r="AP105" i="1"/>
  <c r="AQ105" i="1"/>
  <c r="AR105" i="1"/>
  <c r="F106" i="1"/>
  <c r="G106" i="1"/>
  <c r="H106" i="1"/>
  <c r="I106" i="1"/>
  <c r="O106" i="1"/>
  <c r="Q106" i="1"/>
  <c r="R106" i="1"/>
  <c r="S106" i="1"/>
  <c r="T106" i="1"/>
  <c r="V106" i="1"/>
  <c r="W106" i="1"/>
  <c r="X106" i="1"/>
  <c r="AA106" i="1"/>
  <c r="AB106" i="1"/>
  <c r="AD106" i="1"/>
  <c r="AE106" i="1"/>
  <c r="AF106" i="1"/>
  <c r="AH106" i="1"/>
  <c r="AI106" i="1"/>
  <c r="AJ106" i="1"/>
  <c r="AK106" i="1"/>
  <c r="AL106" i="1"/>
  <c r="AM106" i="1"/>
  <c r="AO106" i="1"/>
  <c r="AP106" i="1"/>
  <c r="AQ106" i="1"/>
  <c r="AR106" i="1"/>
  <c r="F107" i="1"/>
  <c r="G107" i="1"/>
  <c r="H107" i="1"/>
  <c r="I107" i="1"/>
  <c r="O107" i="1"/>
  <c r="Q107" i="1"/>
  <c r="R107" i="1"/>
  <c r="S107" i="1"/>
  <c r="T107" i="1"/>
  <c r="V107" i="1"/>
  <c r="W107" i="1"/>
  <c r="X107" i="1"/>
  <c r="AA107" i="1"/>
  <c r="AB107" i="1"/>
  <c r="AD107" i="1"/>
  <c r="AE107" i="1"/>
  <c r="AF107" i="1"/>
  <c r="AH107" i="1"/>
  <c r="AI107" i="1"/>
  <c r="AJ107" i="1"/>
  <c r="AK107" i="1"/>
  <c r="AL107" i="1"/>
  <c r="AM107" i="1"/>
  <c r="AO107" i="1"/>
  <c r="AP107" i="1"/>
  <c r="AQ107" i="1"/>
  <c r="AR107" i="1"/>
  <c r="F108" i="1"/>
  <c r="G108" i="1"/>
  <c r="H108" i="1"/>
  <c r="I108" i="1"/>
  <c r="O108" i="1"/>
  <c r="Q108" i="1"/>
  <c r="R108" i="1"/>
  <c r="S108" i="1"/>
  <c r="T108" i="1"/>
  <c r="V108" i="1"/>
  <c r="W108" i="1"/>
  <c r="X108" i="1"/>
  <c r="AA108" i="1"/>
  <c r="AB108" i="1"/>
  <c r="AD108" i="1"/>
  <c r="AE108" i="1"/>
  <c r="AF108" i="1"/>
  <c r="AH108" i="1"/>
  <c r="AI108" i="1"/>
  <c r="AJ108" i="1"/>
  <c r="AK108" i="1"/>
  <c r="AL108" i="1"/>
  <c r="AM108" i="1"/>
  <c r="AO108" i="1"/>
  <c r="AP108" i="1"/>
  <c r="AQ108" i="1"/>
  <c r="AR108" i="1"/>
  <c r="F109" i="1"/>
  <c r="G109" i="1"/>
  <c r="H109" i="1"/>
  <c r="I109" i="1"/>
  <c r="O109" i="1"/>
  <c r="Q109" i="1"/>
  <c r="R109" i="1"/>
  <c r="S109" i="1"/>
  <c r="T109" i="1"/>
  <c r="V109" i="1"/>
  <c r="W109" i="1"/>
  <c r="X109" i="1"/>
  <c r="AA109" i="1"/>
  <c r="AB109" i="1"/>
  <c r="AD109" i="1"/>
  <c r="AE109" i="1"/>
  <c r="AF109" i="1"/>
  <c r="AH109" i="1"/>
  <c r="AI109" i="1"/>
  <c r="AJ109" i="1"/>
  <c r="AK109" i="1"/>
  <c r="AL109" i="1"/>
  <c r="AM109" i="1"/>
  <c r="AO109" i="1"/>
  <c r="AP109" i="1"/>
  <c r="AQ109" i="1"/>
  <c r="AR109" i="1"/>
  <c r="F110" i="1"/>
  <c r="G110" i="1"/>
  <c r="H110" i="1"/>
  <c r="I110" i="1"/>
  <c r="O110" i="1"/>
  <c r="Q110" i="1"/>
  <c r="R110" i="1"/>
  <c r="S110" i="1"/>
  <c r="T110" i="1"/>
  <c r="V110" i="1"/>
  <c r="W110" i="1"/>
  <c r="X110" i="1"/>
  <c r="AA110" i="1"/>
  <c r="AB110" i="1"/>
  <c r="AD110" i="1"/>
  <c r="AE110" i="1"/>
  <c r="AF110" i="1"/>
  <c r="AH110" i="1"/>
  <c r="AI110" i="1"/>
  <c r="AJ110" i="1"/>
  <c r="AK110" i="1"/>
  <c r="AL110" i="1"/>
  <c r="AM110" i="1"/>
  <c r="AO110" i="1"/>
  <c r="AP110" i="1"/>
  <c r="AQ110" i="1"/>
  <c r="AR110" i="1"/>
  <c r="F111" i="1"/>
  <c r="G111" i="1"/>
  <c r="H111" i="1"/>
  <c r="I111" i="1"/>
  <c r="O111" i="1"/>
  <c r="Q111" i="1"/>
  <c r="R111" i="1"/>
  <c r="S111" i="1"/>
  <c r="T111" i="1"/>
  <c r="V111" i="1"/>
  <c r="W111" i="1"/>
  <c r="X111" i="1"/>
  <c r="AA111" i="1"/>
  <c r="AB111" i="1"/>
  <c r="AD111" i="1"/>
  <c r="AE111" i="1"/>
  <c r="AF111" i="1"/>
  <c r="AH111" i="1"/>
  <c r="AI111" i="1"/>
  <c r="AJ111" i="1"/>
  <c r="AK111" i="1"/>
  <c r="AL111" i="1"/>
  <c r="AM111" i="1"/>
  <c r="AO111" i="1"/>
  <c r="AP111" i="1"/>
  <c r="AQ111" i="1"/>
  <c r="AR111" i="1"/>
  <c r="F112" i="1"/>
  <c r="G112" i="1"/>
  <c r="H112" i="1"/>
  <c r="I112" i="1"/>
  <c r="O112" i="1"/>
  <c r="Q112" i="1"/>
  <c r="R112" i="1"/>
  <c r="S112" i="1"/>
  <c r="T112" i="1"/>
  <c r="V112" i="1"/>
  <c r="W112" i="1"/>
  <c r="X112" i="1"/>
  <c r="AA112" i="1"/>
  <c r="AB112" i="1"/>
  <c r="AD112" i="1"/>
  <c r="AE112" i="1"/>
  <c r="AF112" i="1"/>
  <c r="AH112" i="1"/>
  <c r="AI112" i="1"/>
  <c r="AJ112" i="1"/>
  <c r="AK112" i="1"/>
  <c r="AL112" i="1"/>
  <c r="AM112" i="1"/>
  <c r="AO112" i="1"/>
  <c r="AP112" i="1"/>
  <c r="AQ112" i="1"/>
  <c r="AR112" i="1"/>
  <c r="F113" i="1"/>
  <c r="G113" i="1"/>
  <c r="H113" i="1"/>
  <c r="I113" i="1"/>
  <c r="O113" i="1"/>
  <c r="Q113" i="1"/>
  <c r="R113" i="1"/>
  <c r="S113" i="1"/>
  <c r="T113" i="1"/>
  <c r="V113" i="1"/>
  <c r="W113" i="1"/>
  <c r="X113" i="1"/>
  <c r="AA113" i="1"/>
  <c r="AB113" i="1"/>
  <c r="AD113" i="1"/>
  <c r="AE113" i="1"/>
  <c r="AF113" i="1"/>
  <c r="AH113" i="1"/>
  <c r="AI113" i="1"/>
  <c r="AJ113" i="1"/>
  <c r="AK113" i="1"/>
  <c r="AL113" i="1"/>
  <c r="AM113" i="1"/>
  <c r="AO113" i="1"/>
  <c r="AP113" i="1"/>
  <c r="AQ113" i="1"/>
  <c r="AR113" i="1"/>
  <c r="F114" i="1"/>
  <c r="G114" i="1"/>
  <c r="H114" i="1"/>
  <c r="I114" i="1"/>
  <c r="O114" i="1"/>
  <c r="Q114" i="1"/>
  <c r="R114" i="1"/>
  <c r="S114" i="1"/>
  <c r="T114" i="1"/>
  <c r="V114" i="1"/>
  <c r="W114" i="1"/>
  <c r="X114" i="1"/>
  <c r="AA114" i="1"/>
  <c r="AB114" i="1"/>
  <c r="AD114" i="1"/>
  <c r="AE114" i="1"/>
  <c r="AF114" i="1"/>
  <c r="AH114" i="1"/>
  <c r="AI114" i="1"/>
  <c r="AJ114" i="1"/>
  <c r="AK114" i="1"/>
  <c r="AL114" i="1"/>
  <c r="AM114" i="1"/>
  <c r="AO114" i="1"/>
  <c r="AP114" i="1"/>
  <c r="AQ114" i="1"/>
  <c r="AR114" i="1"/>
  <c r="F115" i="1"/>
  <c r="G115" i="1"/>
  <c r="H115" i="1"/>
  <c r="I115" i="1"/>
  <c r="O115" i="1"/>
  <c r="Q115" i="1"/>
  <c r="R115" i="1"/>
  <c r="S115" i="1"/>
  <c r="T115" i="1"/>
  <c r="V115" i="1"/>
  <c r="W115" i="1"/>
  <c r="X115" i="1"/>
  <c r="AA115" i="1"/>
  <c r="AB115" i="1"/>
  <c r="AD115" i="1"/>
  <c r="AE115" i="1"/>
  <c r="AF115" i="1"/>
  <c r="AH115" i="1"/>
  <c r="AI115" i="1"/>
  <c r="AJ115" i="1"/>
  <c r="AK115" i="1"/>
  <c r="AL115" i="1"/>
  <c r="AM115" i="1"/>
  <c r="AO115" i="1"/>
  <c r="AP115" i="1"/>
  <c r="AQ115" i="1"/>
  <c r="AR115" i="1"/>
  <c r="F116" i="1"/>
  <c r="G116" i="1"/>
  <c r="H116" i="1"/>
  <c r="I116" i="1"/>
  <c r="O116" i="1"/>
  <c r="Q116" i="1"/>
  <c r="R116" i="1"/>
  <c r="S116" i="1"/>
  <c r="T116" i="1"/>
  <c r="V116" i="1"/>
  <c r="W116" i="1"/>
  <c r="X116" i="1"/>
  <c r="AA116" i="1"/>
  <c r="AB116" i="1"/>
  <c r="AD116" i="1"/>
  <c r="AE116" i="1"/>
  <c r="AF116" i="1"/>
  <c r="AH116" i="1"/>
  <c r="AI116" i="1"/>
  <c r="AJ116" i="1"/>
  <c r="AK116" i="1"/>
  <c r="AL116" i="1"/>
  <c r="AM116" i="1"/>
  <c r="AO116" i="1"/>
  <c r="AP116" i="1"/>
  <c r="AQ116" i="1"/>
  <c r="AR116" i="1"/>
  <c r="F117" i="1"/>
  <c r="G117" i="1"/>
  <c r="H117" i="1"/>
  <c r="I117" i="1"/>
  <c r="O117" i="1"/>
  <c r="Q117" i="1"/>
  <c r="R117" i="1"/>
  <c r="S117" i="1"/>
  <c r="T117" i="1"/>
  <c r="V117" i="1"/>
  <c r="W117" i="1"/>
  <c r="X117" i="1"/>
  <c r="AA117" i="1"/>
  <c r="AB117" i="1"/>
  <c r="AD117" i="1"/>
  <c r="AE117" i="1"/>
  <c r="AF117" i="1"/>
  <c r="AH117" i="1"/>
  <c r="AI117" i="1"/>
  <c r="AJ117" i="1"/>
  <c r="AK117" i="1"/>
  <c r="AL117" i="1"/>
  <c r="AM117" i="1"/>
  <c r="AO117" i="1"/>
  <c r="AP117" i="1"/>
  <c r="AQ117" i="1"/>
  <c r="AR117" i="1"/>
  <c r="F118" i="1"/>
  <c r="G118" i="1"/>
  <c r="H118" i="1"/>
  <c r="I118" i="1"/>
  <c r="O118" i="1"/>
  <c r="Q118" i="1"/>
  <c r="R118" i="1"/>
  <c r="S118" i="1"/>
  <c r="T118" i="1"/>
  <c r="V118" i="1"/>
  <c r="W118" i="1"/>
  <c r="X118" i="1"/>
  <c r="AA118" i="1"/>
  <c r="AB118" i="1"/>
  <c r="AD118" i="1"/>
  <c r="AE118" i="1"/>
  <c r="AF118" i="1"/>
  <c r="AH118" i="1"/>
  <c r="AI118" i="1"/>
  <c r="AJ118" i="1"/>
  <c r="AK118" i="1"/>
  <c r="AL118" i="1"/>
  <c r="AM118" i="1"/>
  <c r="AO118" i="1"/>
  <c r="AP118" i="1"/>
  <c r="AQ118" i="1"/>
  <c r="AR118" i="1"/>
  <c r="F119" i="1"/>
  <c r="G119" i="1"/>
  <c r="H119" i="1"/>
  <c r="I119" i="1"/>
  <c r="O119" i="1"/>
  <c r="Q119" i="1"/>
  <c r="R119" i="1"/>
  <c r="S119" i="1"/>
  <c r="T119" i="1"/>
  <c r="V119" i="1"/>
  <c r="W119" i="1"/>
  <c r="X119" i="1"/>
  <c r="AA119" i="1"/>
  <c r="AB119" i="1"/>
  <c r="AD119" i="1"/>
  <c r="AE119" i="1"/>
  <c r="AF119" i="1"/>
  <c r="AH119" i="1"/>
  <c r="AI119" i="1"/>
  <c r="AJ119" i="1"/>
  <c r="AK119" i="1"/>
  <c r="AL119" i="1"/>
  <c r="AM119" i="1"/>
  <c r="AO119" i="1"/>
  <c r="AP119" i="1"/>
  <c r="AQ119" i="1"/>
  <c r="AR119" i="1"/>
  <c r="F120" i="1"/>
  <c r="G120" i="1"/>
  <c r="H120" i="1"/>
  <c r="I120" i="1"/>
  <c r="O120" i="1"/>
  <c r="Q120" i="1"/>
  <c r="R120" i="1"/>
  <c r="S120" i="1"/>
  <c r="T120" i="1"/>
  <c r="V120" i="1"/>
  <c r="W120" i="1"/>
  <c r="X120" i="1"/>
  <c r="AA120" i="1"/>
  <c r="AB120" i="1"/>
  <c r="AD120" i="1"/>
  <c r="AE120" i="1"/>
  <c r="AF120" i="1"/>
  <c r="AH120" i="1"/>
  <c r="AI120" i="1"/>
  <c r="AJ120" i="1"/>
  <c r="AK120" i="1"/>
  <c r="AL120" i="1"/>
  <c r="AM120" i="1"/>
  <c r="AO120" i="1"/>
  <c r="AP120" i="1"/>
  <c r="AQ120" i="1"/>
  <c r="AR120" i="1"/>
  <c r="F121" i="1"/>
  <c r="G121" i="1"/>
  <c r="H121" i="1"/>
  <c r="I121" i="1"/>
  <c r="O121" i="1"/>
  <c r="Q121" i="1"/>
  <c r="R121" i="1"/>
  <c r="S121" i="1"/>
  <c r="T121" i="1"/>
  <c r="V121" i="1"/>
  <c r="W121" i="1"/>
  <c r="X121" i="1"/>
  <c r="AA121" i="1"/>
  <c r="AB121" i="1"/>
  <c r="AD121" i="1"/>
  <c r="AE121" i="1"/>
  <c r="AF121" i="1"/>
  <c r="AH121" i="1"/>
  <c r="AI121" i="1"/>
  <c r="AJ121" i="1"/>
  <c r="AK121" i="1"/>
  <c r="AL121" i="1"/>
  <c r="AM121" i="1"/>
  <c r="AO121" i="1"/>
  <c r="AP121" i="1"/>
  <c r="AQ121" i="1"/>
  <c r="AR121" i="1"/>
  <c r="F122" i="1"/>
  <c r="G122" i="1"/>
  <c r="H122" i="1"/>
  <c r="I122" i="1"/>
  <c r="O122" i="1"/>
  <c r="Q122" i="1"/>
  <c r="R122" i="1"/>
  <c r="S122" i="1"/>
  <c r="T122" i="1"/>
  <c r="V122" i="1"/>
  <c r="W122" i="1"/>
  <c r="X122" i="1"/>
  <c r="AA122" i="1"/>
  <c r="AB122" i="1"/>
  <c r="AD122" i="1"/>
  <c r="AE122" i="1"/>
  <c r="AF122" i="1"/>
  <c r="AH122" i="1"/>
  <c r="AI122" i="1"/>
  <c r="AJ122" i="1"/>
  <c r="AK122" i="1"/>
  <c r="AL122" i="1"/>
  <c r="AM122" i="1"/>
  <c r="AO122" i="1"/>
  <c r="AP122" i="1"/>
  <c r="AQ122" i="1"/>
  <c r="AR122" i="1"/>
  <c r="F123" i="1"/>
  <c r="G123" i="1"/>
  <c r="H123" i="1"/>
  <c r="I123" i="1"/>
  <c r="O123" i="1"/>
  <c r="Q123" i="1"/>
  <c r="R123" i="1"/>
  <c r="S123" i="1"/>
  <c r="T123" i="1"/>
  <c r="V123" i="1"/>
  <c r="W123" i="1"/>
  <c r="X123" i="1"/>
  <c r="AA123" i="1"/>
  <c r="AB123" i="1"/>
  <c r="AD123" i="1"/>
  <c r="AE123" i="1"/>
  <c r="AF123" i="1"/>
  <c r="AH123" i="1"/>
  <c r="AI123" i="1"/>
  <c r="AJ123" i="1"/>
  <c r="AK123" i="1"/>
  <c r="AL123" i="1"/>
  <c r="AM123" i="1"/>
  <c r="AO123" i="1"/>
  <c r="AP123" i="1"/>
  <c r="AQ123" i="1"/>
  <c r="AR123" i="1"/>
  <c r="F124" i="1"/>
  <c r="G124" i="1"/>
  <c r="H124" i="1"/>
  <c r="I124" i="1"/>
  <c r="O124" i="1"/>
  <c r="Q124" i="1"/>
  <c r="R124" i="1"/>
  <c r="S124" i="1"/>
  <c r="T124" i="1"/>
  <c r="V124" i="1"/>
  <c r="W124" i="1"/>
  <c r="X124" i="1"/>
  <c r="AA124" i="1"/>
  <c r="AB124" i="1"/>
  <c r="AD124" i="1"/>
  <c r="AE124" i="1"/>
  <c r="AF124" i="1"/>
  <c r="AH124" i="1"/>
  <c r="AI124" i="1"/>
  <c r="AJ124" i="1"/>
  <c r="AK124" i="1"/>
  <c r="AL124" i="1"/>
  <c r="AM124" i="1"/>
  <c r="AO124" i="1"/>
  <c r="AP124" i="1"/>
  <c r="AQ124" i="1"/>
  <c r="AR124" i="1"/>
  <c r="F125" i="1"/>
  <c r="G125" i="1"/>
  <c r="H125" i="1"/>
  <c r="I125" i="1"/>
  <c r="O125" i="1"/>
  <c r="Q125" i="1"/>
  <c r="R125" i="1"/>
  <c r="S125" i="1"/>
  <c r="T125" i="1"/>
  <c r="V125" i="1"/>
  <c r="W125" i="1"/>
  <c r="X125" i="1"/>
  <c r="AA125" i="1"/>
  <c r="AB125" i="1"/>
  <c r="AD125" i="1"/>
  <c r="AE125" i="1"/>
  <c r="AF125" i="1"/>
  <c r="AH125" i="1"/>
  <c r="AI125" i="1"/>
  <c r="AJ125" i="1"/>
  <c r="AK125" i="1"/>
  <c r="AL125" i="1"/>
  <c r="AM125" i="1"/>
  <c r="AO125" i="1"/>
  <c r="AP125" i="1"/>
  <c r="AQ125" i="1"/>
  <c r="AR125" i="1"/>
  <c r="F126" i="1"/>
  <c r="G126" i="1"/>
  <c r="H126" i="1"/>
  <c r="I126" i="1"/>
  <c r="O126" i="1"/>
  <c r="Q126" i="1"/>
  <c r="R126" i="1"/>
  <c r="S126" i="1"/>
  <c r="T126" i="1"/>
  <c r="V126" i="1"/>
  <c r="W126" i="1"/>
  <c r="X126" i="1"/>
  <c r="AA126" i="1"/>
  <c r="AB126" i="1"/>
  <c r="AD126" i="1"/>
  <c r="AE126" i="1"/>
  <c r="AF126" i="1"/>
  <c r="AH126" i="1"/>
  <c r="AI126" i="1"/>
  <c r="AJ126" i="1"/>
  <c r="AK126" i="1"/>
  <c r="AL126" i="1"/>
  <c r="AM126" i="1"/>
  <c r="AO126" i="1"/>
  <c r="AP126" i="1"/>
  <c r="AQ126" i="1"/>
  <c r="AR126" i="1"/>
  <c r="F127" i="1"/>
  <c r="G127" i="1"/>
  <c r="H127" i="1"/>
  <c r="I127" i="1"/>
  <c r="O127" i="1"/>
  <c r="Q127" i="1"/>
  <c r="R127" i="1"/>
  <c r="S127" i="1"/>
  <c r="T127" i="1"/>
  <c r="V127" i="1"/>
  <c r="W127" i="1"/>
  <c r="X127" i="1"/>
  <c r="AA127" i="1"/>
  <c r="AB127" i="1"/>
  <c r="AD127" i="1"/>
  <c r="AE127" i="1"/>
  <c r="AF127" i="1"/>
  <c r="AH127" i="1"/>
  <c r="AI127" i="1"/>
  <c r="AJ127" i="1"/>
  <c r="AK127" i="1"/>
  <c r="AL127" i="1"/>
  <c r="AM127" i="1"/>
  <c r="AO127" i="1"/>
  <c r="AP127" i="1"/>
  <c r="AQ127" i="1"/>
  <c r="AR127" i="1"/>
  <c r="F128" i="1"/>
  <c r="G128" i="1"/>
  <c r="H128" i="1"/>
  <c r="I128" i="1"/>
  <c r="O128" i="1"/>
  <c r="Q128" i="1"/>
  <c r="R128" i="1"/>
  <c r="S128" i="1"/>
  <c r="T128" i="1"/>
  <c r="V128" i="1"/>
  <c r="W128" i="1"/>
  <c r="X128" i="1"/>
  <c r="AA128" i="1"/>
  <c r="AB128" i="1"/>
  <c r="AD128" i="1"/>
  <c r="AE128" i="1"/>
  <c r="AF128" i="1"/>
  <c r="AH128" i="1"/>
  <c r="AI128" i="1"/>
  <c r="AJ128" i="1"/>
  <c r="AK128" i="1"/>
  <c r="AL128" i="1"/>
  <c r="AM128" i="1"/>
  <c r="AO128" i="1"/>
  <c r="AP128" i="1"/>
  <c r="AQ128" i="1"/>
  <c r="AR128" i="1"/>
  <c r="F129" i="1"/>
  <c r="G129" i="1"/>
  <c r="H129" i="1"/>
  <c r="I129" i="1"/>
  <c r="O129" i="1"/>
  <c r="Q129" i="1"/>
  <c r="R129" i="1"/>
  <c r="S129" i="1"/>
  <c r="T129" i="1"/>
  <c r="V129" i="1"/>
  <c r="W129" i="1"/>
  <c r="X129" i="1"/>
  <c r="AA129" i="1"/>
  <c r="AB129" i="1"/>
  <c r="AD129" i="1"/>
  <c r="AE129" i="1"/>
  <c r="AF129" i="1"/>
  <c r="AH129" i="1"/>
  <c r="AI129" i="1"/>
  <c r="AJ129" i="1"/>
  <c r="AK129" i="1"/>
  <c r="AL129" i="1"/>
  <c r="AM129" i="1"/>
  <c r="AO129" i="1"/>
  <c r="AP129" i="1"/>
  <c r="AQ129" i="1"/>
  <c r="AR129" i="1"/>
  <c r="F130" i="1"/>
  <c r="G130" i="1"/>
  <c r="H130" i="1"/>
  <c r="I130" i="1"/>
  <c r="O130" i="1"/>
  <c r="Q130" i="1"/>
  <c r="R130" i="1"/>
  <c r="S130" i="1"/>
  <c r="T130" i="1"/>
  <c r="V130" i="1"/>
  <c r="W130" i="1"/>
  <c r="X130" i="1"/>
  <c r="AA130" i="1"/>
  <c r="AB130" i="1"/>
  <c r="AD130" i="1"/>
  <c r="AE130" i="1"/>
  <c r="AF130" i="1"/>
  <c r="AH130" i="1"/>
  <c r="AI130" i="1"/>
  <c r="AJ130" i="1"/>
  <c r="AK130" i="1"/>
  <c r="AL130" i="1"/>
  <c r="AM130" i="1"/>
  <c r="AO130" i="1"/>
  <c r="AP130" i="1"/>
  <c r="AQ130" i="1"/>
  <c r="AR130" i="1"/>
  <c r="F131" i="1"/>
  <c r="G131" i="1"/>
  <c r="H131" i="1"/>
  <c r="I131" i="1"/>
  <c r="O131" i="1"/>
  <c r="Q131" i="1"/>
  <c r="R131" i="1"/>
  <c r="S131" i="1"/>
  <c r="T131" i="1"/>
  <c r="V131" i="1"/>
  <c r="W131" i="1"/>
  <c r="X131" i="1"/>
  <c r="AA131" i="1"/>
  <c r="AB131" i="1"/>
  <c r="AD131" i="1"/>
  <c r="AE131" i="1"/>
  <c r="AF131" i="1"/>
  <c r="AH131" i="1"/>
  <c r="AI131" i="1"/>
  <c r="AJ131" i="1"/>
  <c r="AK131" i="1"/>
  <c r="AL131" i="1"/>
  <c r="AM131" i="1"/>
  <c r="AO131" i="1"/>
  <c r="AP131" i="1"/>
  <c r="AQ131" i="1"/>
  <c r="AR131" i="1"/>
  <c r="F132" i="1"/>
  <c r="G132" i="1"/>
  <c r="H132" i="1"/>
  <c r="I132" i="1"/>
  <c r="O132" i="1"/>
  <c r="Q132" i="1"/>
  <c r="R132" i="1"/>
  <c r="S132" i="1"/>
  <c r="T132" i="1"/>
  <c r="V132" i="1"/>
  <c r="W132" i="1"/>
  <c r="X132" i="1"/>
  <c r="AA132" i="1"/>
  <c r="AB132" i="1"/>
  <c r="AD132" i="1"/>
  <c r="AE132" i="1"/>
  <c r="AF132" i="1"/>
  <c r="AH132" i="1"/>
  <c r="AI132" i="1"/>
  <c r="AJ132" i="1"/>
  <c r="AK132" i="1"/>
  <c r="AL132" i="1"/>
  <c r="AM132" i="1"/>
  <c r="AO132" i="1"/>
  <c r="AP132" i="1"/>
  <c r="AQ132" i="1"/>
  <c r="AR132" i="1"/>
  <c r="F133" i="1"/>
  <c r="G133" i="1"/>
  <c r="H133" i="1"/>
  <c r="I133" i="1"/>
  <c r="O133" i="1"/>
  <c r="Q133" i="1"/>
  <c r="R133" i="1"/>
  <c r="S133" i="1"/>
  <c r="T133" i="1"/>
  <c r="V133" i="1"/>
  <c r="W133" i="1"/>
  <c r="X133" i="1"/>
  <c r="AA133" i="1"/>
  <c r="AB133" i="1"/>
  <c r="AD133" i="1"/>
  <c r="AE133" i="1"/>
  <c r="AF133" i="1"/>
  <c r="AH133" i="1"/>
  <c r="AI133" i="1"/>
  <c r="AJ133" i="1"/>
  <c r="AK133" i="1"/>
  <c r="AL133" i="1"/>
  <c r="AM133" i="1"/>
  <c r="AO133" i="1"/>
  <c r="AP133" i="1"/>
  <c r="AQ133" i="1"/>
  <c r="AR133" i="1"/>
  <c r="F134" i="1"/>
  <c r="G134" i="1"/>
  <c r="H134" i="1"/>
  <c r="I134" i="1"/>
  <c r="O134" i="1"/>
  <c r="Q134" i="1"/>
  <c r="R134" i="1"/>
  <c r="S134" i="1"/>
  <c r="T134" i="1"/>
  <c r="V134" i="1"/>
  <c r="W134" i="1"/>
  <c r="X134" i="1"/>
  <c r="AA134" i="1"/>
  <c r="AB134" i="1"/>
  <c r="AD134" i="1"/>
  <c r="AE134" i="1"/>
  <c r="AF134" i="1"/>
  <c r="AH134" i="1"/>
  <c r="AI134" i="1"/>
  <c r="AJ134" i="1"/>
  <c r="AK134" i="1"/>
  <c r="AL134" i="1"/>
  <c r="AM134" i="1"/>
  <c r="AO134" i="1"/>
  <c r="AP134" i="1"/>
  <c r="AQ134" i="1"/>
  <c r="AR134" i="1"/>
  <c r="F135" i="1"/>
  <c r="G135" i="1"/>
  <c r="H135" i="1"/>
  <c r="I135" i="1"/>
  <c r="O135" i="1"/>
  <c r="Q135" i="1"/>
  <c r="R135" i="1"/>
  <c r="S135" i="1"/>
  <c r="T135" i="1"/>
  <c r="V135" i="1"/>
  <c r="W135" i="1"/>
  <c r="X135" i="1"/>
  <c r="AA135" i="1"/>
  <c r="AB135" i="1"/>
  <c r="AD135" i="1"/>
  <c r="AE135" i="1"/>
  <c r="AF135" i="1"/>
  <c r="AH135" i="1"/>
  <c r="AI135" i="1"/>
  <c r="AJ135" i="1"/>
  <c r="AK135" i="1"/>
  <c r="AL135" i="1"/>
  <c r="AM135" i="1"/>
  <c r="AO135" i="1"/>
  <c r="AP135" i="1"/>
  <c r="AQ135" i="1"/>
  <c r="AR135" i="1"/>
  <c r="F136" i="1"/>
  <c r="G136" i="1"/>
  <c r="H136" i="1"/>
  <c r="I136" i="1"/>
  <c r="O136" i="1"/>
  <c r="Q136" i="1"/>
  <c r="R136" i="1"/>
  <c r="S136" i="1"/>
  <c r="T136" i="1"/>
  <c r="V136" i="1"/>
  <c r="W136" i="1"/>
  <c r="X136" i="1"/>
  <c r="AA136" i="1"/>
  <c r="AB136" i="1"/>
  <c r="AD136" i="1"/>
  <c r="AE136" i="1"/>
  <c r="AF136" i="1"/>
  <c r="AH136" i="1"/>
  <c r="AI136" i="1"/>
  <c r="AJ136" i="1"/>
  <c r="AK136" i="1"/>
  <c r="AL136" i="1"/>
  <c r="AM136" i="1"/>
  <c r="AO136" i="1"/>
  <c r="AP136" i="1"/>
  <c r="AQ136" i="1"/>
  <c r="AR136" i="1"/>
  <c r="F137" i="1"/>
  <c r="G137" i="1"/>
  <c r="H137" i="1"/>
  <c r="I137" i="1"/>
  <c r="O137" i="1"/>
  <c r="Q137" i="1"/>
  <c r="R137" i="1"/>
  <c r="S137" i="1"/>
  <c r="T137" i="1"/>
  <c r="V137" i="1"/>
  <c r="W137" i="1"/>
  <c r="X137" i="1"/>
  <c r="AA137" i="1"/>
  <c r="AB137" i="1"/>
  <c r="AD137" i="1"/>
  <c r="AE137" i="1"/>
  <c r="AF137" i="1"/>
  <c r="AH137" i="1"/>
  <c r="AI137" i="1"/>
  <c r="AJ137" i="1"/>
  <c r="AK137" i="1"/>
  <c r="AL137" i="1"/>
  <c r="AM137" i="1"/>
  <c r="AO137" i="1"/>
  <c r="AP137" i="1"/>
  <c r="AQ137" i="1"/>
  <c r="AR137" i="1"/>
  <c r="F138" i="1"/>
  <c r="G138" i="1"/>
  <c r="H138" i="1"/>
  <c r="I138" i="1"/>
  <c r="O138" i="1"/>
  <c r="Q138" i="1"/>
  <c r="R138" i="1"/>
  <c r="S138" i="1"/>
  <c r="T138" i="1"/>
  <c r="V138" i="1"/>
  <c r="W138" i="1"/>
  <c r="X138" i="1"/>
  <c r="AA138" i="1"/>
  <c r="AB138" i="1"/>
  <c r="AD138" i="1"/>
  <c r="AE138" i="1"/>
  <c r="AF138" i="1"/>
  <c r="AH138" i="1"/>
  <c r="AI138" i="1"/>
  <c r="AJ138" i="1"/>
  <c r="AK138" i="1"/>
  <c r="AL138" i="1"/>
  <c r="AM138" i="1"/>
  <c r="AO138" i="1"/>
  <c r="AP138" i="1"/>
  <c r="AQ138" i="1"/>
  <c r="AR138" i="1"/>
  <c r="F139" i="1"/>
  <c r="G139" i="1"/>
  <c r="H139" i="1"/>
  <c r="I139" i="1"/>
  <c r="O139" i="1"/>
  <c r="Q139" i="1"/>
  <c r="R139" i="1"/>
  <c r="S139" i="1"/>
  <c r="T139" i="1"/>
  <c r="V139" i="1"/>
  <c r="W139" i="1"/>
  <c r="X139" i="1"/>
  <c r="AA139" i="1"/>
  <c r="AB139" i="1"/>
  <c r="AD139" i="1"/>
  <c r="AE139" i="1"/>
  <c r="AF139" i="1"/>
  <c r="AH139" i="1"/>
  <c r="AI139" i="1"/>
  <c r="AJ139" i="1"/>
  <c r="AK139" i="1"/>
  <c r="AL139" i="1"/>
  <c r="AM139" i="1"/>
  <c r="AO139" i="1"/>
  <c r="AP139" i="1"/>
  <c r="AQ139" i="1"/>
  <c r="AR139" i="1"/>
  <c r="F140" i="1"/>
  <c r="G140" i="1"/>
  <c r="H140" i="1"/>
  <c r="I140" i="1"/>
  <c r="O140" i="1"/>
  <c r="Q140" i="1"/>
  <c r="R140" i="1"/>
  <c r="S140" i="1"/>
  <c r="T140" i="1"/>
  <c r="V140" i="1"/>
  <c r="W140" i="1"/>
  <c r="X140" i="1"/>
  <c r="AA140" i="1"/>
  <c r="AB140" i="1"/>
  <c r="AD140" i="1"/>
  <c r="AE140" i="1"/>
  <c r="AF140" i="1"/>
  <c r="AH140" i="1"/>
  <c r="AI140" i="1"/>
  <c r="AJ140" i="1"/>
  <c r="AK140" i="1"/>
  <c r="AL140" i="1"/>
  <c r="AM140" i="1"/>
  <c r="AO140" i="1"/>
  <c r="AP140" i="1"/>
  <c r="AQ140" i="1"/>
  <c r="AR140" i="1"/>
  <c r="F141" i="1"/>
  <c r="G141" i="1"/>
  <c r="H141" i="1"/>
  <c r="I141" i="1"/>
  <c r="O141" i="1"/>
  <c r="Q141" i="1"/>
  <c r="R141" i="1"/>
  <c r="S141" i="1"/>
  <c r="T141" i="1"/>
  <c r="V141" i="1"/>
  <c r="W141" i="1"/>
  <c r="X141" i="1"/>
  <c r="AA141" i="1"/>
  <c r="AB141" i="1"/>
  <c r="AD141" i="1"/>
  <c r="AE141" i="1"/>
  <c r="AF141" i="1"/>
  <c r="AH141" i="1"/>
  <c r="AI141" i="1"/>
  <c r="AJ141" i="1"/>
  <c r="AK141" i="1"/>
  <c r="AL141" i="1"/>
  <c r="AM141" i="1"/>
  <c r="AO141" i="1"/>
  <c r="AP141" i="1"/>
  <c r="AQ141" i="1"/>
  <c r="AR141" i="1"/>
  <c r="F142" i="1"/>
  <c r="G142" i="1"/>
  <c r="H142" i="1"/>
  <c r="I142" i="1"/>
  <c r="O142" i="1"/>
  <c r="Q142" i="1"/>
  <c r="R142" i="1"/>
  <c r="S142" i="1"/>
  <c r="T142" i="1"/>
  <c r="V142" i="1"/>
  <c r="W142" i="1"/>
  <c r="X142" i="1"/>
  <c r="AA142" i="1"/>
  <c r="AB142" i="1"/>
  <c r="AD142" i="1"/>
  <c r="AE142" i="1"/>
  <c r="AF142" i="1"/>
  <c r="AH142" i="1"/>
  <c r="AI142" i="1"/>
  <c r="AJ142" i="1"/>
  <c r="AK142" i="1"/>
  <c r="AL142" i="1"/>
  <c r="AM142" i="1"/>
  <c r="AO142" i="1"/>
  <c r="AP142" i="1"/>
  <c r="AQ142" i="1"/>
  <c r="AR142" i="1"/>
  <c r="F143" i="1"/>
  <c r="G143" i="1"/>
  <c r="H143" i="1"/>
  <c r="I143" i="1"/>
  <c r="O143" i="1"/>
  <c r="Q143" i="1"/>
  <c r="R143" i="1"/>
  <c r="S143" i="1"/>
  <c r="T143" i="1"/>
  <c r="V143" i="1"/>
  <c r="W143" i="1"/>
  <c r="X143" i="1"/>
  <c r="AA143" i="1"/>
  <c r="AB143" i="1"/>
  <c r="AD143" i="1"/>
  <c r="AE143" i="1"/>
  <c r="AF143" i="1"/>
  <c r="AH143" i="1"/>
  <c r="AI143" i="1"/>
  <c r="AJ143" i="1"/>
  <c r="AK143" i="1"/>
  <c r="AL143" i="1"/>
  <c r="AM143" i="1"/>
  <c r="AO143" i="1"/>
  <c r="AP143" i="1"/>
  <c r="AQ143" i="1"/>
  <c r="AR143" i="1"/>
  <c r="F144" i="1"/>
  <c r="G144" i="1"/>
  <c r="H144" i="1"/>
  <c r="I144" i="1"/>
  <c r="O144" i="1"/>
  <c r="Q144" i="1"/>
  <c r="R144" i="1"/>
  <c r="S144" i="1"/>
  <c r="T144" i="1"/>
  <c r="V144" i="1"/>
  <c r="W144" i="1"/>
  <c r="X144" i="1"/>
  <c r="AA144" i="1"/>
  <c r="AB144" i="1"/>
  <c r="AD144" i="1"/>
  <c r="AE144" i="1"/>
  <c r="AF144" i="1"/>
  <c r="AH144" i="1"/>
  <c r="AI144" i="1"/>
  <c r="AJ144" i="1"/>
  <c r="AK144" i="1"/>
  <c r="AL144" i="1"/>
  <c r="AM144" i="1"/>
  <c r="AO144" i="1"/>
  <c r="AP144" i="1"/>
  <c r="AQ144" i="1"/>
  <c r="AR144" i="1"/>
  <c r="F145" i="1"/>
  <c r="G145" i="1"/>
  <c r="H145" i="1"/>
  <c r="I145" i="1"/>
  <c r="O145" i="1"/>
  <c r="Q145" i="1"/>
  <c r="R145" i="1"/>
  <c r="S145" i="1"/>
  <c r="T145" i="1"/>
  <c r="V145" i="1"/>
  <c r="W145" i="1"/>
  <c r="X145" i="1"/>
  <c r="AA145" i="1"/>
  <c r="AB145" i="1"/>
  <c r="AD145" i="1"/>
  <c r="AE145" i="1"/>
  <c r="AF145" i="1"/>
  <c r="AH145" i="1"/>
  <c r="AI145" i="1"/>
  <c r="AJ145" i="1"/>
  <c r="AK145" i="1"/>
  <c r="AL145" i="1"/>
  <c r="AM145" i="1"/>
  <c r="AO145" i="1"/>
  <c r="AP145" i="1"/>
  <c r="AQ145" i="1"/>
  <c r="AR145" i="1"/>
  <c r="F146" i="1"/>
  <c r="G146" i="1"/>
  <c r="H146" i="1"/>
  <c r="I146" i="1"/>
  <c r="O146" i="1"/>
  <c r="Q146" i="1"/>
  <c r="R146" i="1"/>
  <c r="S146" i="1"/>
  <c r="T146" i="1"/>
  <c r="V146" i="1"/>
  <c r="W146" i="1"/>
  <c r="X146" i="1"/>
  <c r="AA146" i="1"/>
  <c r="AB146" i="1"/>
  <c r="AD146" i="1"/>
  <c r="AE146" i="1"/>
  <c r="AF146" i="1"/>
  <c r="AH146" i="1"/>
  <c r="AI146" i="1"/>
  <c r="AJ146" i="1"/>
  <c r="AK146" i="1"/>
  <c r="AL146" i="1"/>
  <c r="AM146" i="1"/>
  <c r="AO146" i="1"/>
  <c r="AP146" i="1"/>
  <c r="AQ146" i="1"/>
  <c r="AR146" i="1"/>
  <c r="F147" i="1"/>
  <c r="G147" i="1"/>
  <c r="H147" i="1"/>
  <c r="I147" i="1"/>
  <c r="O147" i="1"/>
  <c r="Q147" i="1"/>
  <c r="R147" i="1"/>
  <c r="S147" i="1"/>
  <c r="T147" i="1"/>
  <c r="V147" i="1"/>
  <c r="W147" i="1"/>
  <c r="X147" i="1"/>
  <c r="AA147" i="1"/>
  <c r="AB147" i="1"/>
  <c r="AD147" i="1"/>
  <c r="AE147" i="1"/>
  <c r="AF147" i="1"/>
  <c r="AH147" i="1"/>
  <c r="AI147" i="1"/>
  <c r="AJ147" i="1"/>
  <c r="AK147" i="1"/>
  <c r="AL147" i="1"/>
  <c r="AM147" i="1"/>
  <c r="AO147" i="1"/>
  <c r="AP147" i="1"/>
  <c r="AQ147" i="1"/>
  <c r="AR147" i="1"/>
  <c r="F148" i="1"/>
  <c r="G148" i="1"/>
  <c r="H148" i="1"/>
  <c r="I148" i="1"/>
  <c r="O148" i="1"/>
  <c r="Q148" i="1"/>
  <c r="R148" i="1"/>
  <c r="S148" i="1"/>
  <c r="T148" i="1"/>
  <c r="V148" i="1"/>
  <c r="W148" i="1"/>
  <c r="X148" i="1"/>
  <c r="AA148" i="1"/>
  <c r="AB148" i="1"/>
  <c r="AD148" i="1"/>
  <c r="AE148" i="1"/>
  <c r="AF148" i="1"/>
  <c r="AH148" i="1"/>
  <c r="AI148" i="1"/>
  <c r="AJ148" i="1"/>
  <c r="AK148" i="1"/>
  <c r="AL148" i="1"/>
  <c r="AM148" i="1"/>
  <c r="AO148" i="1"/>
  <c r="AP148" i="1"/>
  <c r="AQ148" i="1"/>
  <c r="AR148" i="1"/>
  <c r="F149" i="1"/>
  <c r="G149" i="1"/>
  <c r="H149" i="1"/>
  <c r="I149" i="1"/>
  <c r="O149" i="1"/>
  <c r="Q149" i="1"/>
  <c r="R149" i="1"/>
  <c r="S149" i="1"/>
  <c r="T149" i="1"/>
  <c r="V149" i="1"/>
  <c r="W149" i="1"/>
  <c r="X149" i="1"/>
  <c r="AA149" i="1"/>
  <c r="AB149" i="1"/>
  <c r="AD149" i="1"/>
  <c r="AE149" i="1"/>
  <c r="AF149" i="1"/>
  <c r="AH149" i="1"/>
  <c r="AI149" i="1"/>
  <c r="AJ149" i="1"/>
  <c r="AK149" i="1"/>
  <c r="AL149" i="1"/>
  <c r="AM149" i="1"/>
  <c r="AO149" i="1"/>
  <c r="AP149" i="1"/>
  <c r="AQ149" i="1"/>
  <c r="AR149" i="1"/>
  <c r="F150" i="1"/>
  <c r="G150" i="1"/>
  <c r="H150" i="1"/>
  <c r="I150" i="1"/>
  <c r="O150" i="1"/>
  <c r="Q150" i="1"/>
  <c r="R150" i="1"/>
  <c r="S150" i="1"/>
  <c r="T150" i="1"/>
  <c r="V150" i="1"/>
  <c r="W150" i="1"/>
  <c r="X150" i="1"/>
  <c r="AA150" i="1"/>
  <c r="AB150" i="1"/>
  <c r="AD150" i="1"/>
  <c r="AE150" i="1"/>
  <c r="AF150" i="1"/>
  <c r="AH150" i="1"/>
  <c r="AI150" i="1"/>
  <c r="AJ150" i="1"/>
  <c r="AK150" i="1"/>
  <c r="AL150" i="1"/>
  <c r="AM150" i="1"/>
  <c r="AO150" i="1"/>
  <c r="AP150" i="1"/>
  <c r="AQ150" i="1"/>
  <c r="AR150" i="1"/>
  <c r="F151" i="1"/>
  <c r="G151" i="1"/>
  <c r="H151" i="1"/>
  <c r="I151" i="1"/>
  <c r="O151" i="1"/>
  <c r="Q151" i="1"/>
  <c r="R151" i="1"/>
  <c r="S151" i="1"/>
  <c r="T151" i="1"/>
  <c r="V151" i="1"/>
  <c r="W151" i="1"/>
  <c r="X151" i="1"/>
  <c r="AA151" i="1"/>
  <c r="AB151" i="1"/>
  <c r="AD151" i="1"/>
  <c r="AE151" i="1"/>
  <c r="AF151" i="1"/>
  <c r="AH151" i="1"/>
  <c r="AI151" i="1"/>
  <c r="AJ151" i="1"/>
  <c r="AK151" i="1"/>
  <c r="AL151" i="1"/>
  <c r="AM151" i="1"/>
  <c r="AO151" i="1"/>
  <c r="AP151" i="1"/>
  <c r="AQ151" i="1"/>
  <c r="AR151" i="1"/>
  <c r="F152" i="1"/>
  <c r="G152" i="1"/>
  <c r="H152" i="1"/>
  <c r="I152" i="1"/>
  <c r="O152" i="1"/>
  <c r="Q152" i="1"/>
  <c r="R152" i="1"/>
  <c r="S152" i="1"/>
  <c r="T152" i="1"/>
  <c r="V152" i="1"/>
  <c r="W152" i="1"/>
  <c r="X152" i="1"/>
  <c r="AA152" i="1"/>
  <c r="AB152" i="1"/>
  <c r="AD152" i="1"/>
  <c r="AE152" i="1"/>
  <c r="AF152" i="1"/>
  <c r="AH152" i="1"/>
  <c r="AI152" i="1"/>
  <c r="AJ152" i="1"/>
  <c r="AK152" i="1"/>
  <c r="AL152" i="1"/>
  <c r="AM152" i="1"/>
  <c r="AO152" i="1"/>
  <c r="AP152" i="1"/>
  <c r="AQ152" i="1"/>
  <c r="AR152" i="1"/>
  <c r="F153" i="1"/>
  <c r="G153" i="1"/>
  <c r="H153" i="1"/>
  <c r="I153" i="1"/>
  <c r="O153" i="1"/>
  <c r="Q153" i="1"/>
  <c r="R153" i="1"/>
  <c r="S153" i="1"/>
  <c r="T153" i="1"/>
  <c r="V153" i="1"/>
  <c r="W153" i="1"/>
  <c r="X153" i="1"/>
  <c r="AA153" i="1"/>
  <c r="AB153" i="1"/>
  <c r="AD153" i="1"/>
  <c r="AE153" i="1"/>
  <c r="AF153" i="1"/>
  <c r="AH153" i="1"/>
  <c r="AI153" i="1"/>
  <c r="AJ153" i="1"/>
  <c r="AK153" i="1"/>
  <c r="AL153" i="1"/>
  <c r="AM153" i="1"/>
  <c r="AO153" i="1"/>
  <c r="AP153" i="1"/>
  <c r="AQ153" i="1"/>
  <c r="AR153" i="1"/>
  <c r="F154" i="1"/>
  <c r="G154" i="1"/>
  <c r="H154" i="1"/>
  <c r="I154" i="1"/>
  <c r="O154" i="1"/>
  <c r="Q154" i="1"/>
  <c r="R154" i="1"/>
  <c r="S154" i="1"/>
  <c r="T154" i="1"/>
  <c r="V154" i="1"/>
  <c r="W154" i="1"/>
  <c r="X154" i="1"/>
  <c r="AA154" i="1"/>
  <c r="AB154" i="1"/>
  <c r="AD154" i="1"/>
  <c r="AE154" i="1"/>
  <c r="AF154" i="1"/>
  <c r="AH154" i="1"/>
  <c r="AI154" i="1"/>
  <c r="AJ154" i="1"/>
  <c r="AK154" i="1"/>
  <c r="AL154" i="1"/>
  <c r="AM154" i="1"/>
  <c r="AO154" i="1"/>
  <c r="AP154" i="1"/>
  <c r="AQ154" i="1"/>
  <c r="AR154" i="1"/>
  <c r="F155" i="1"/>
  <c r="G155" i="1"/>
  <c r="H155" i="1"/>
  <c r="I155" i="1"/>
  <c r="O155" i="1"/>
  <c r="Q155" i="1"/>
  <c r="R155" i="1"/>
  <c r="S155" i="1"/>
  <c r="T155" i="1"/>
  <c r="V155" i="1"/>
  <c r="W155" i="1"/>
  <c r="X155" i="1"/>
  <c r="AA155" i="1"/>
  <c r="AB155" i="1"/>
  <c r="AD155" i="1"/>
  <c r="AE155" i="1"/>
  <c r="AF155" i="1"/>
  <c r="AH155" i="1"/>
  <c r="AI155" i="1"/>
  <c r="AJ155" i="1"/>
  <c r="AK155" i="1"/>
  <c r="AL155" i="1"/>
  <c r="AM155" i="1"/>
  <c r="AO155" i="1"/>
  <c r="AP155" i="1"/>
  <c r="AQ155" i="1"/>
  <c r="AR155" i="1"/>
  <c r="F156" i="1"/>
  <c r="G156" i="1"/>
  <c r="H156" i="1"/>
  <c r="I156" i="1"/>
  <c r="O156" i="1"/>
  <c r="Q156" i="1"/>
  <c r="R156" i="1"/>
  <c r="S156" i="1"/>
  <c r="T156" i="1"/>
  <c r="V156" i="1"/>
  <c r="W156" i="1"/>
  <c r="X156" i="1"/>
  <c r="AA156" i="1"/>
  <c r="AB156" i="1"/>
  <c r="AD156" i="1"/>
  <c r="AE156" i="1"/>
  <c r="AF156" i="1"/>
  <c r="AH156" i="1"/>
  <c r="AI156" i="1"/>
  <c r="AJ156" i="1"/>
  <c r="AK156" i="1"/>
  <c r="AL156" i="1"/>
  <c r="AM156" i="1"/>
  <c r="AO156" i="1"/>
  <c r="AP156" i="1"/>
  <c r="AQ156" i="1"/>
  <c r="AR156" i="1"/>
  <c r="F157" i="1"/>
  <c r="G157" i="1"/>
  <c r="H157" i="1"/>
  <c r="I157" i="1"/>
  <c r="O157" i="1"/>
  <c r="Q157" i="1"/>
  <c r="R157" i="1"/>
  <c r="S157" i="1"/>
  <c r="T157" i="1"/>
  <c r="V157" i="1"/>
  <c r="W157" i="1"/>
  <c r="X157" i="1"/>
  <c r="AA157" i="1"/>
  <c r="AB157" i="1"/>
  <c r="AD157" i="1"/>
  <c r="AE157" i="1"/>
  <c r="AF157" i="1"/>
  <c r="AH157" i="1"/>
  <c r="AI157" i="1"/>
  <c r="AJ157" i="1"/>
  <c r="AK157" i="1"/>
  <c r="AL157" i="1"/>
  <c r="AM157" i="1"/>
  <c r="AO157" i="1"/>
  <c r="AP157" i="1"/>
  <c r="AQ157" i="1"/>
  <c r="AR157" i="1"/>
  <c r="F158" i="1"/>
  <c r="G158" i="1"/>
  <c r="H158" i="1"/>
  <c r="I158" i="1"/>
  <c r="O158" i="1"/>
  <c r="Q158" i="1"/>
  <c r="R158" i="1"/>
  <c r="S158" i="1"/>
  <c r="T158" i="1"/>
  <c r="V158" i="1"/>
  <c r="W158" i="1"/>
  <c r="X158" i="1"/>
  <c r="AA158" i="1"/>
  <c r="AB158" i="1"/>
  <c r="AD158" i="1"/>
  <c r="AE158" i="1"/>
  <c r="AF158" i="1"/>
  <c r="AH158" i="1"/>
  <c r="AI158" i="1"/>
  <c r="AJ158" i="1"/>
  <c r="AK158" i="1"/>
  <c r="AL158" i="1"/>
  <c r="AM158" i="1"/>
  <c r="AO158" i="1"/>
  <c r="AP158" i="1"/>
  <c r="AQ158" i="1"/>
  <c r="AR158" i="1"/>
  <c r="F159" i="1"/>
  <c r="G159" i="1"/>
  <c r="H159" i="1"/>
  <c r="I159" i="1"/>
  <c r="O159" i="1"/>
  <c r="Q159" i="1"/>
  <c r="R159" i="1"/>
  <c r="S159" i="1"/>
  <c r="T159" i="1"/>
  <c r="V159" i="1"/>
  <c r="W159" i="1"/>
  <c r="X159" i="1"/>
  <c r="AA159" i="1"/>
  <c r="AB159" i="1"/>
  <c r="AD159" i="1"/>
  <c r="AE159" i="1"/>
  <c r="AF159" i="1"/>
  <c r="AH159" i="1"/>
  <c r="AI159" i="1"/>
  <c r="AJ159" i="1"/>
  <c r="AK159" i="1"/>
  <c r="AL159" i="1"/>
  <c r="AM159" i="1"/>
  <c r="AO159" i="1"/>
  <c r="AP159" i="1"/>
  <c r="AQ159" i="1"/>
  <c r="AR159" i="1"/>
  <c r="F160" i="1"/>
  <c r="G160" i="1"/>
  <c r="H160" i="1"/>
  <c r="I160" i="1"/>
  <c r="O160" i="1"/>
  <c r="Q160" i="1"/>
  <c r="R160" i="1"/>
  <c r="S160" i="1"/>
  <c r="T160" i="1"/>
  <c r="V160" i="1"/>
  <c r="W160" i="1"/>
  <c r="X160" i="1"/>
  <c r="AA160" i="1"/>
  <c r="AB160" i="1"/>
  <c r="AD160" i="1"/>
  <c r="AE160" i="1"/>
  <c r="AF160" i="1"/>
  <c r="AH160" i="1"/>
  <c r="AI160" i="1"/>
  <c r="AJ160" i="1"/>
  <c r="AK160" i="1"/>
  <c r="AL160" i="1"/>
  <c r="AM160" i="1"/>
  <c r="AO160" i="1"/>
  <c r="AP160" i="1"/>
  <c r="AQ160" i="1"/>
  <c r="AR160" i="1"/>
  <c r="F161" i="1"/>
  <c r="G161" i="1"/>
  <c r="H161" i="1"/>
  <c r="I161" i="1"/>
  <c r="O161" i="1"/>
  <c r="Q161" i="1"/>
  <c r="R161" i="1"/>
  <c r="S161" i="1"/>
  <c r="T161" i="1"/>
  <c r="V161" i="1"/>
  <c r="W161" i="1"/>
  <c r="X161" i="1"/>
  <c r="AA161" i="1"/>
  <c r="AB161" i="1"/>
  <c r="AD161" i="1"/>
  <c r="AE161" i="1"/>
  <c r="AF161" i="1"/>
  <c r="AH161" i="1"/>
  <c r="AI161" i="1"/>
  <c r="AJ161" i="1"/>
  <c r="AK161" i="1"/>
  <c r="AL161" i="1"/>
  <c r="AM161" i="1"/>
  <c r="AO161" i="1"/>
  <c r="AP161" i="1"/>
  <c r="AQ161" i="1"/>
  <c r="AR161" i="1"/>
  <c r="F162" i="1"/>
  <c r="G162" i="1"/>
  <c r="H162" i="1"/>
  <c r="I162" i="1"/>
  <c r="O162" i="1"/>
  <c r="Q162" i="1"/>
  <c r="R162" i="1"/>
  <c r="S162" i="1"/>
  <c r="T162" i="1"/>
  <c r="V162" i="1"/>
  <c r="W162" i="1"/>
  <c r="X162" i="1"/>
  <c r="AA162" i="1"/>
  <c r="AB162" i="1"/>
  <c r="AD162" i="1"/>
  <c r="AE162" i="1"/>
  <c r="AF162" i="1"/>
  <c r="AH162" i="1"/>
  <c r="AI162" i="1"/>
  <c r="AJ162" i="1"/>
  <c r="AK162" i="1"/>
  <c r="AL162" i="1"/>
  <c r="AM162" i="1"/>
  <c r="AO162" i="1"/>
  <c r="AP162" i="1"/>
  <c r="AQ162" i="1"/>
  <c r="AR162" i="1"/>
  <c r="F163" i="1"/>
  <c r="G163" i="1"/>
  <c r="H163" i="1"/>
  <c r="I163" i="1"/>
  <c r="O163" i="1"/>
  <c r="Q163" i="1"/>
  <c r="R163" i="1"/>
  <c r="S163" i="1"/>
  <c r="T163" i="1"/>
  <c r="V163" i="1"/>
  <c r="W163" i="1"/>
  <c r="X163" i="1"/>
  <c r="AA163" i="1"/>
  <c r="AB163" i="1"/>
  <c r="AD163" i="1"/>
  <c r="AE163" i="1"/>
  <c r="AF163" i="1"/>
  <c r="AH163" i="1"/>
  <c r="AI163" i="1"/>
  <c r="AJ163" i="1"/>
  <c r="AK163" i="1"/>
  <c r="AL163" i="1"/>
  <c r="AM163" i="1"/>
  <c r="AO163" i="1"/>
  <c r="AP163" i="1"/>
  <c r="AQ163" i="1"/>
  <c r="AR163" i="1"/>
  <c r="F164" i="1"/>
  <c r="G164" i="1"/>
  <c r="H164" i="1"/>
  <c r="I164" i="1"/>
  <c r="O164" i="1"/>
  <c r="Q164" i="1"/>
  <c r="R164" i="1"/>
  <c r="S164" i="1"/>
  <c r="T164" i="1"/>
  <c r="V164" i="1"/>
  <c r="W164" i="1"/>
  <c r="X164" i="1"/>
  <c r="AA164" i="1"/>
  <c r="AB164" i="1"/>
  <c r="AD164" i="1"/>
  <c r="AE164" i="1"/>
  <c r="AF164" i="1"/>
  <c r="AH164" i="1"/>
  <c r="AI164" i="1"/>
  <c r="AJ164" i="1"/>
  <c r="AK164" i="1"/>
  <c r="AL164" i="1"/>
  <c r="AM164" i="1"/>
  <c r="AO164" i="1"/>
  <c r="AP164" i="1"/>
  <c r="AQ164" i="1"/>
  <c r="AR164" i="1"/>
  <c r="F165" i="1"/>
  <c r="G165" i="1"/>
  <c r="H165" i="1"/>
  <c r="I165" i="1"/>
  <c r="O165" i="1"/>
  <c r="Q165" i="1"/>
  <c r="R165" i="1"/>
  <c r="S165" i="1"/>
  <c r="T165" i="1"/>
  <c r="V165" i="1"/>
  <c r="W165" i="1"/>
  <c r="X165" i="1"/>
  <c r="AA165" i="1"/>
  <c r="AB165" i="1"/>
  <c r="AD165" i="1"/>
  <c r="AE165" i="1"/>
  <c r="AF165" i="1"/>
  <c r="AH165" i="1"/>
  <c r="AI165" i="1"/>
  <c r="AJ165" i="1"/>
  <c r="AK165" i="1"/>
  <c r="AL165" i="1"/>
  <c r="AM165" i="1"/>
  <c r="AO165" i="1"/>
  <c r="AP165" i="1"/>
  <c r="AQ165" i="1"/>
  <c r="AR165" i="1"/>
  <c r="F166" i="1"/>
  <c r="G166" i="1"/>
  <c r="H166" i="1"/>
  <c r="I166" i="1"/>
  <c r="O166" i="1"/>
  <c r="Q166" i="1"/>
  <c r="R166" i="1"/>
  <c r="S166" i="1"/>
  <c r="T166" i="1"/>
  <c r="V166" i="1"/>
  <c r="W166" i="1"/>
  <c r="X166" i="1"/>
  <c r="AA166" i="1"/>
  <c r="AB166" i="1"/>
  <c r="AD166" i="1"/>
  <c r="AE166" i="1"/>
  <c r="AF166" i="1"/>
  <c r="AH166" i="1"/>
  <c r="AI166" i="1"/>
  <c r="AJ166" i="1"/>
  <c r="AK166" i="1"/>
  <c r="AL166" i="1"/>
  <c r="AM166" i="1"/>
  <c r="AO166" i="1"/>
  <c r="AP166" i="1"/>
  <c r="AQ166" i="1"/>
  <c r="AR166" i="1"/>
  <c r="F167" i="1"/>
  <c r="G167" i="1"/>
  <c r="H167" i="1"/>
  <c r="I167" i="1"/>
  <c r="O167" i="1"/>
  <c r="Q167" i="1"/>
  <c r="R167" i="1"/>
  <c r="S167" i="1"/>
  <c r="T167" i="1"/>
  <c r="V167" i="1"/>
  <c r="W167" i="1"/>
  <c r="X167" i="1"/>
  <c r="AA167" i="1"/>
  <c r="AB167" i="1"/>
  <c r="AD167" i="1"/>
  <c r="AE167" i="1"/>
  <c r="AF167" i="1"/>
  <c r="AH167" i="1"/>
  <c r="AI167" i="1"/>
  <c r="AJ167" i="1"/>
  <c r="AK167" i="1"/>
  <c r="AL167" i="1"/>
  <c r="AM167" i="1"/>
  <c r="AO167" i="1"/>
  <c r="AP167" i="1"/>
  <c r="AQ167" i="1"/>
  <c r="AR167" i="1"/>
  <c r="F168" i="1"/>
  <c r="G168" i="1"/>
  <c r="H168" i="1"/>
  <c r="I168" i="1"/>
  <c r="O168" i="1"/>
  <c r="Q168" i="1"/>
  <c r="R168" i="1"/>
  <c r="S168" i="1"/>
  <c r="T168" i="1"/>
  <c r="V168" i="1"/>
  <c r="W168" i="1"/>
  <c r="X168" i="1"/>
  <c r="AA168" i="1"/>
  <c r="AB168" i="1"/>
  <c r="AD168" i="1"/>
  <c r="AE168" i="1"/>
  <c r="AF168" i="1"/>
  <c r="AH168" i="1"/>
  <c r="AI168" i="1"/>
  <c r="AJ168" i="1"/>
  <c r="AK168" i="1"/>
  <c r="AL168" i="1"/>
  <c r="AM168" i="1"/>
  <c r="AO168" i="1"/>
  <c r="AP168" i="1"/>
  <c r="AQ168" i="1"/>
  <c r="AR168" i="1"/>
  <c r="F169" i="1"/>
  <c r="G169" i="1"/>
  <c r="H169" i="1"/>
  <c r="I169" i="1"/>
  <c r="O169" i="1"/>
  <c r="Q169" i="1"/>
  <c r="R169" i="1"/>
  <c r="S169" i="1"/>
  <c r="T169" i="1"/>
  <c r="V169" i="1"/>
  <c r="W169" i="1"/>
  <c r="X169" i="1"/>
  <c r="AA169" i="1"/>
  <c r="AB169" i="1"/>
  <c r="AD169" i="1"/>
  <c r="AE169" i="1"/>
  <c r="AF169" i="1"/>
  <c r="AH169" i="1"/>
  <c r="AI169" i="1"/>
  <c r="AJ169" i="1"/>
  <c r="AK169" i="1"/>
  <c r="AL169" i="1"/>
  <c r="AM169" i="1"/>
  <c r="AO169" i="1"/>
  <c r="AP169" i="1"/>
  <c r="AQ169" i="1"/>
  <c r="AR169" i="1"/>
  <c r="F170" i="1"/>
  <c r="G170" i="1"/>
  <c r="H170" i="1"/>
  <c r="I170" i="1"/>
  <c r="O170" i="1"/>
  <c r="Q170" i="1"/>
  <c r="R170" i="1"/>
  <c r="S170" i="1"/>
  <c r="T170" i="1"/>
  <c r="V170" i="1"/>
  <c r="W170" i="1"/>
  <c r="X170" i="1"/>
  <c r="AA170" i="1"/>
  <c r="AB170" i="1"/>
  <c r="AD170" i="1"/>
  <c r="AE170" i="1"/>
  <c r="AF170" i="1"/>
  <c r="AH170" i="1"/>
  <c r="AI170" i="1"/>
  <c r="AJ170" i="1"/>
  <c r="AK170" i="1"/>
  <c r="AL170" i="1"/>
  <c r="AM170" i="1"/>
  <c r="AO170" i="1"/>
  <c r="AP170" i="1"/>
  <c r="AQ170" i="1"/>
  <c r="AR170" i="1"/>
  <c r="F171" i="1"/>
  <c r="G171" i="1"/>
  <c r="H171" i="1"/>
  <c r="I171" i="1"/>
  <c r="O171" i="1"/>
  <c r="Q171" i="1"/>
  <c r="R171" i="1"/>
  <c r="S171" i="1"/>
  <c r="T171" i="1"/>
  <c r="V171" i="1"/>
  <c r="W171" i="1"/>
  <c r="X171" i="1"/>
  <c r="AA171" i="1"/>
  <c r="AB171" i="1"/>
  <c r="AD171" i="1"/>
  <c r="AE171" i="1"/>
  <c r="AF171" i="1"/>
  <c r="AH171" i="1"/>
  <c r="AI171" i="1"/>
  <c r="AJ171" i="1"/>
  <c r="AK171" i="1"/>
  <c r="AL171" i="1"/>
  <c r="AM171" i="1"/>
  <c r="AO171" i="1"/>
  <c r="AP171" i="1"/>
  <c r="AQ171" i="1"/>
  <c r="AR171" i="1"/>
  <c r="F172" i="1"/>
  <c r="G172" i="1"/>
  <c r="H172" i="1"/>
  <c r="I172" i="1"/>
  <c r="O172" i="1"/>
  <c r="Q172" i="1"/>
  <c r="R172" i="1"/>
  <c r="S172" i="1"/>
  <c r="T172" i="1"/>
  <c r="V172" i="1"/>
  <c r="W172" i="1"/>
  <c r="X172" i="1"/>
  <c r="AA172" i="1"/>
  <c r="AB172" i="1"/>
  <c r="AD172" i="1"/>
  <c r="AE172" i="1"/>
  <c r="AF172" i="1"/>
  <c r="AH172" i="1"/>
  <c r="AI172" i="1"/>
  <c r="AJ172" i="1"/>
  <c r="AK172" i="1"/>
  <c r="AL172" i="1"/>
  <c r="AM172" i="1"/>
  <c r="AO172" i="1"/>
  <c r="AP172" i="1"/>
  <c r="AQ172" i="1"/>
  <c r="AR172" i="1"/>
  <c r="F173" i="1"/>
  <c r="G173" i="1"/>
  <c r="H173" i="1"/>
  <c r="I173" i="1"/>
  <c r="O173" i="1"/>
  <c r="Q173" i="1"/>
  <c r="R173" i="1"/>
  <c r="S173" i="1"/>
  <c r="T173" i="1"/>
  <c r="V173" i="1"/>
  <c r="W173" i="1"/>
  <c r="X173" i="1"/>
  <c r="AA173" i="1"/>
  <c r="AB173" i="1"/>
  <c r="AD173" i="1"/>
  <c r="AE173" i="1"/>
  <c r="AF173" i="1"/>
  <c r="AH173" i="1"/>
  <c r="AI173" i="1"/>
  <c r="AJ173" i="1"/>
  <c r="AK173" i="1"/>
  <c r="AL173" i="1"/>
  <c r="AM173" i="1"/>
  <c r="AO173" i="1"/>
  <c r="AP173" i="1"/>
  <c r="AQ173" i="1"/>
  <c r="AR173" i="1"/>
  <c r="F174" i="1"/>
  <c r="G174" i="1"/>
  <c r="H174" i="1"/>
  <c r="I174" i="1"/>
  <c r="O174" i="1"/>
  <c r="Q174" i="1"/>
  <c r="R174" i="1"/>
  <c r="S174" i="1"/>
  <c r="T174" i="1"/>
  <c r="V174" i="1"/>
  <c r="W174" i="1"/>
  <c r="X174" i="1"/>
  <c r="AA174" i="1"/>
  <c r="AB174" i="1"/>
  <c r="AD174" i="1"/>
  <c r="AE174" i="1"/>
  <c r="AF174" i="1"/>
  <c r="AH174" i="1"/>
  <c r="AI174" i="1"/>
  <c r="AJ174" i="1"/>
  <c r="AK174" i="1"/>
  <c r="AL174" i="1"/>
  <c r="AM174" i="1"/>
  <c r="AO174" i="1"/>
  <c r="AP174" i="1"/>
  <c r="AQ174" i="1"/>
  <c r="AR174" i="1"/>
  <c r="F175" i="1"/>
  <c r="G175" i="1"/>
  <c r="H175" i="1"/>
  <c r="I175" i="1"/>
  <c r="O175" i="1"/>
  <c r="Q175" i="1"/>
  <c r="R175" i="1"/>
  <c r="S175" i="1"/>
  <c r="T175" i="1"/>
  <c r="V175" i="1"/>
  <c r="W175" i="1"/>
  <c r="X175" i="1"/>
  <c r="AA175" i="1"/>
  <c r="AB175" i="1"/>
  <c r="AD175" i="1"/>
  <c r="AE175" i="1"/>
  <c r="AF175" i="1"/>
  <c r="AH175" i="1"/>
  <c r="AI175" i="1"/>
  <c r="AJ175" i="1"/>
  <c r="AK175" i="1"/>
  <c r="AL175" i="1"/>
  <c r="AM175" i="1"/>
  <c r="AO175" i="1"/>
  <c r="AP175" i="1"/>
  <c r="AQ175" i="1"/>
  <c r="AR175" i="1"/>
  <c r="F176" i="1"/>
  <c r="G176" i="1"/>
  <c r="H176" i="1"/>
  <c r="I176" i="1"/>
  <c r="O176" i="1"/>
  <c r="Q176" i="1"/>
  <c r="R176" i="1"/>
  <c r="S176" i="1"/>
  <c r="T176" i="1"/>
  <c r="V176" i="1"/>
  <c r="W176" i="1"/>
  <c r="X176" i="1"/>
  <c r="AA176" i="1"/>
  <c r="AB176" i="1"/>
  <c r="AD176" i="1"/>
  <c r="AE176" i="1"/>
  <c r="AF176" i="1"/>
  <c r="AH176" i="1"/>
  <c r="AI176" i="1"/>
  <c r="AJ176" i="1"/>
  <c r="AK176" i="1"/>
  <c r="AL176" i="1"/>
  <c r="AM176" i="1"/>
  <c r="AO176" i="1"/>
  <c r="AP176" i="1"/>
  <c r="AQ176" i="1"/>
  <c r="AR176" i="1"/>
  <c r="F177" i="1"/>
  <c r="G177" i="1"/>
  <c r="H177" i="1"/>
  <c r="I177" i="1"/>
  <c r="O177" i="1"/>
  <c r="Q177" i="1"/>
  <c r="R177" i="1"/>
  <c r="S177" i="1"/>
  <c r="T177" i="1"/>
  <c r="V177" i="1"/>
  <c r="W177" i="1"/>
  <c r="X177" i="1"/>
  <c r="AA177" i="1"/>
  <c r="AB177" i="1"/>
  <c r="AD177" i="1"/>
  <c r="AE177" i="1"/>
  <c r="AF177" i="1"/>
  <c r="AH177" i="1"/>
  <c r="AI177" i="1"/>
  <c r="AJ177" i="1"/>
  <c r="AK177" i="1"/>
  <c r="AL177" i="1"/>
  <c r="AM177" i="1"/>
  <c r="AO177" i="1"/>
  <c r="AP177" i="1"/>
  <c r="AQ177" i="1"/>
  <c r="AR177" i="1"/>
  <c r="F178" i="1"/>
  <c r="G178" i="1"/>
  <c r="H178" i="1"/>
  <c r="I178" i="1"/>
  <c r="O178" i="1"/>
  <c r="Q178" i="1"/>
  <c r="R178" i="1"/>
  <c r="S178" i="1"/>
  <c r="T178" i="1"/>
  <c r="V178" i="1"/>
  <c r="W178" i="1"/>
  <c r="X178" i="1"/>
  <c r="AA178" i="1"/>
  <c r="AB178" i="1"/>
  <c r="AD178" i="1"/>
  <c r="AE178" i="1"/>
  <c r="AF178" i="1"/>
  <c r="AH178" i="1"/>
  <c r="AI178" i="1"/>
  <c r="AJ178" i="1"/>
  <c r="AK178" i="1"/>
  <c r="AL178" i="1"/>
  <c r="AM178" i="1"/>
  <c r="AO178" i="1"/>
  <c r="AP178" i="1"/>
  <c r="AQ178" i="1"/>
  <c r="AR178" i="1"/>
  <c r="F179" i="1"/>
  <c r="G179" i="1"/>
  <c r="H179" i="1"/>
  <c r="I179" i="1"/>
  <c r="O179" i="1"/>
  <c r="Q179" i="1"/>
  <c r="R179" i="1"/>
  <c r="S179" i="1"/>
  <c r="T179" i="1"/>
  <c r="V179" i="1"/>
  <c r="W179" i="1"/>
  <c r="X179" i="1"/>
  <c r="AA179" i="1"/>
  <c r="AB179" i="1"/>
  <c r="AD179" i="1"/>
  <c r="AE179" i="1"/>
  <c r="AF179" i="1"/>
  <c r="AH179" i="1"/>
  <c r="AI179" i="1"/>
  <c r="AJ179" i="1"/>
  <c r="AK179" i="1"/>
  <c r="AL179" i="1"/>
  <c r="AM179" i="1"/>
  <c r="AO179" i="1"/>
  <c r="AP179" i="1"/>
  <c r="AQ179" i="1"/>
  <c r="AR179" i="1"/>
  <c r="F180" i="1"/>
  <c r="G180" i="1"/>
  <c r="H180" i="1"/>
  <c r="I180" i="1"/>
  <c r="O180" i="1"/>
  <c r="Q180" i="1"/>
  <c r="R180" i="1"/>
  <c r="S180" i="1"/>
  <c r="T180" i="1"/>
  <c r="V180" i="1"/>
  <c r="W180" i="1"/>
  <c r="X180" i="1"/>
  <c r="AA180" i="1"/>
  <c r="AB180" i="1"/>
  <c r="AD180" i="1"/>
  <c r="AE180" i="1"/>
  <c r="AF180" i="1"/>
  <c r="AH180" i="1"/>
  <c r="AI180" i="1"/>
  <c r="AJ180" i="1"/>
  <c r="AK180" i="1"/>
  <c r="AL180" i="1"/>
  <c r="AM180" i="1"/>
  <c r="AO180" i="1"/>
  <c r="AP180" i="1"/>
  <c r="AQ180" i="1"/>
  <c r="AR180" i="1"/>
  <c r="F181" i="1"/>
  <c r="G181" i="1"/>
  <c r="H181" i="1"/>
  <c r="I181" i="1"/>
  <c r="O181" i="1"/>
  <c r="Q181" i="1"/>
  <c r="R181" i="1"/>
  <c r="S181" i="1"/>
  <c r="T181" i="1"/>
  <c r="V181" i="1"/>
  <c r="W181" i="1"/>
  <c r="X181" i="1"/>
  <c r="AA181" i="1"/>
  <c r="AB181" i="1"/>
  <c r="AD181" i="1"/>
  <c r="AE181" i="1"/>
  <c r="AF181" i="1"/>
  <c r="AH181" i="1"/>
  <c r="AI181" i="1"/>
  <c r="AJ181" i="1"/>
  <c r="AK181" i="1"/>
  <c r="AL181" i="1"/>
  <c r="AM181" i="1"/>
  <c r="AO181" i="1"/>
  <c r="AP181" i="1"/>
  <c r="AQ181" i="1"/>
  <c r="AR181" i="1"/>
  <c r="F182" i="1"/>
  <c r="G182" i="1"/>
  <c r="H182" i="1"/>
  <c r="I182" i="1"/>
  <c r="O182" i="1"/>
  <c r="Q182" i="1"/>
  <c r="R182" i="1"/>
  <c r="S182" i="1"/>
  <c r="T182" i="1"/>
  <c r="V182" i="1"/>
  <c r="W182" i="1"/>
  <c r="X182" i="1"/>
  <c r="AA182" i="1"/>
  <c r="AB182" i="1"/>
  <c r="AD182" i="1"/>
  <c r="AE182" i="1"/>
  <c r="AF182" i="1"/>
  <c r="AH182" i="1"/>
  <c r="AI182" i="1"/>
  <c r="AJ182" i="1"/>
  <c r="AK182" i="1"/>
  <c r="AL182" i="1"/>
  <c r="AM182" i="1"/>
  <c r="AO182" i="1"/>
  <c r="AP182" i="1"/>
  <c r="AQ182" i="1"/>
  <c r="AR182" i="1"/>
  <c r="F183" i="1"/>
  <c r="G183" i="1"/>
  <c r="H183" i="1"/>
  <c r="I183" i="1"/>
  <c r="O183" i="1"/>
  <c r="Q183" i="1"/>
  <c r="R183" i="1"/>
  <c r="S183" i="1"/>
  <c r="T183" i="1"/>
  <c r="V183" i="1"/>
  <c r="W183" i="1"/>
  <c r="X183" i="1"/>
  <c r="AA183" i="1"/>
  <c r="AB183" i="1"/>
  <c r="AD183" i="1"/>
  <c r="AE183" i="1"/>
  <c r="AF183" i="1"/>
  <c r="AH183" i="1"/>
  <c r="AI183" i="1"/>
  <c r="AJ183" i="1"/>
  <c r="AK183" i="1"/>
  <c r="AL183" i="1"/>
  <c r="AM183" i="1"/>
  <c r="AO183" i="1"/>
  <c r="AP183" i="1"/>
  <c r="AQ183" i="1"/>
  <c r="AR183" i="1"/>
  <c r="F184" i="1"/>
  <c r="G184" i="1"/>
  <c r="H184" i="1"/>
  <c r="I184" i="1"/>
  <c r="O184" i="1"/>
  <c r="Q184" i="1"/>
  <c r="R184" i="1"/>
  <c r="S184" i="1"/>
  <c r="T184" i="1"/>
  <c r="V184" i="1"/>
  <c r="W184" i="1"/>
  <c r="X184" i="1"/>
  <c r="AA184" i="1"/>
  <c r="AB184" i="1"/>
  <c r="AD184" i="1"/>
  <c r="AE184" i="1"/>
  <c r="AF184" i="1"/>
  <c r="AH184" i="1"/>
  <c r="AI184" i="1"/>
  <c r="AJ184" i="1"/>
  <c r="AK184" i="1"/>
  <c r="AL184" i="1"/>
  <c r="AM184" i="1"/>
  <c r="AO184" i="1"/>
  <c r="AP184" i="1"/>
  <c r="AQ184" i="1"/>
  <c r="AR184" i="1"/>
  <c r="F185" i="1"/>
  <c r="G185" i="1"/>
  <c r="H185" i="1"/>
  <c r="I185" i="1"/>
  <c r="O185" i="1"/>
  <c r="Q185" i="1"/>
  <c r="R185" i="1"/>
  <c r="S185" i="1"/>
  <c r="T185" i="1"/>
  <c r="V185" i="1"/>
  <c r="W185" i="1"/>
  <c r="X185" i="1"/>
  <c r="AA185" i="1"/>
  <c r="AB185" i="1"/>
  <c r="AD185" i="1"/>
  <c r="AE185" i="1"/>
  <c r="AF185" i="1"/>
  <c r="AH185" i="1"/>
  <c r="AI185" i="1"/>
  <c r="AJ185" i="1"/>
  <c r="AK185" i="1"/>
  <c r="AL185" i="1"/>
  <c r="AM185" i="1"/>
  <c r="AO185" i="1"/>
  <c r="AP185" i="1"/>
  <c r="AQ185" i="1"/>
  <c r="AR185" i="1"/>
  <c r="F186" i="1"/>
  <c r="G186" i="1"/>
  <c r="H186" i="1"/>
  <c r="I186" i="1"/>
  <c r="O186" i="1"/>
  <c r="Q186" i="1"/>
  <c r="R186" i="1"/>
  <c r="S186" i="1"/>
  <c r="T186" i="1"/>
  <c r="V186" i="1"/>
  <c r="W186" i="1"/>
  <c r="X186" i="1"/>
  <c r="AA186" i="1"/>
  <c r="AB186" i="1"/>
  <c r="AD186" i="1"/>
  <c r="AE186" i="1"/>
  <c r="AF186" i="1"/>
  <c r="AH186" i="1"/>
  <c r="AI186" i="1"/>
  <c r="AJ186" i="1"/>
  <c r="AK186" i="1"/>
  <c r="AL186" i="1"/>
  <c r="AM186" i="1"/>
  <c r="AO186" i="1"/>
  <c r="AP186" i="1"/>
  <c r="AQ186" i="1"/>
  <c r="AR186" i="1"/>
  <c r="F187" i="1"/>
  <c r="G187" i="1"/>
  <c r="H187" i="1"/>
  <c r="I187" i="1"/>
  <c r="O187" i="1"/>
  <c r="Q187" i="1"/>
  <c r="R187" i="1"/>
  <c r="S187" i="1"/>
  <c r="T187" i="1"/>
  <c r="V187" i="1"/>
  <c r="W187" i="1"/>
  <c r="X187" i="1"/>
  <c r="AA187" i="1"/>
  <c r="AB187" i="1"/>
  <c r="AD187" i="1"/>
  <c r="AE187" i="1"/>
  <c r="AF187" i="1"/>
  <c r="AH187" i="1"/>
  <c r="AI187" i="1"/>
  <c r="AJ187" i="1"/>
  <c r="AK187" i="1"/>
  <c r="AL187" i="1"/>
  <c r="AM187" i="1"/>
  <c r="AO187" i="1"/>
  <c r="AP187" i="1"/>
  <c r="AQ187" i="1"/>
  <c r="AR187" i="1"/>
  <c r="F188" i="1"/>
  <c r="G188" i="1"/>
  <c r="H188" i="1"/>
  <c r="I188" i="1"/>
  <c r="O188" i="1"/>
  <c r="Q188" i="1"/>
  <c r="R188" i="1"/>
  <c r="S188" i="1"/>
  <c r="T188" i="1"/>
  <c r="V188" i="1"/>
  <c r="W188" i="1"/>
  <c r="X188" i="1"/>
  <c r="AA188" i="1"/>
  <c r="AB188" i="1"/>
  <c r="AD188" i="1"/>
  <c r="AE188" i="1"/>
  <c r="AF188" i="1"/>
  <c r="AH188" i="1"/>
  <c r="AI188" i="1"/>
  <c r="AJ188" i="1"/>
  <c r="AK188" i="1"/>
  <c r="AL188" i="1"/>
  <c r="AM188" i="1"/>
  <c r="AO188" i="1"/>
  <c r="AP188" i="1"/>
  <c r="AQ188" i="1"/>
  <c r="AR188" i="1"/>
  <c r="F189" i="1"/>
  <c r="G189" i="1"/>
  <c r="H189" i="1"/>
  <c r="I189" i="1"/>
  <c r="O189" i="1"/>
  <c r="Q189" i="1"/>
  <c r="R189" i="1"/>
  <c r="S189" i="1"/>
  <c r="T189" i="1"/>
  <c r="V189" i="1"/>
  <c r="W189" i="1"/>
  <c r="X189" i="1"/>
  <c r="AA189" i="1"/>
  <c r="AB189" i="1"/>
  <c r="AD189" i="1"/>
  <c r="AE189" i="1"/>
  <c r="AF189" i="1"/>
  <c r="AH189" i="1"/>
  <c r="AI189" i="1"/>
  <c r="AJ189" i="1"/>
  <c r="AK189" i="1"/>
  <c r="AL189" i="1"/>
  <c r="AM189" i="1"/>
  <c r="AO189" i="1"/>
  <c r="AP189" i="1"/>
  <c r="AQ189" i="1"/>
  <c r="AR189" i="1"/>
  <c r="F190" i="1"/>
  <c r="G190" i="1"/>
  <c r="H190" i="1"/>
  <c r="I190" i="1"/>
  <c r="O190" i="1"/>
  <c r="Q190" i="1"/>
  <c r="R190" i="1"/>
  <c r="S190" i="1"/>
  <c r="T190" i="1"/>
  <c r="V190" i="1"/>
  <c r="W190" i="1"/>
  <c r="X190" i="1"/>
  <c r="AA190" i="1"/>
  <c r="AB190" i="1"/>
  <c r="AD190" i="1"/>
  <c r="AE190" i="1"/>
  <c r="AF190" i="1"/>
  <c r="AH190" i="1"/>
  <c r="AI190" i="1"/>
  <c r="AJ190" i="1"/>
  <c r="AK190" i="1"/>
  <c r="AL190" i="1"/>
  <c r="AM190" i="1"/>
  <c r="AO190" i="1"/>
  <c r="AP190" i="1"/>
  <c r="AQ190" i="1"/>
  <c r="AR190" i="1"/>
  <c r="F191" i="1"/>
  <c r="G191" i="1"/>
  <c r="H191" i="1"/>
  <c r="I191" i="1"/>
  <c r="O191" i="1"/>
  <c r="Q191" i="1"/>
  <c r="R191" i="1"/>
  <c r="S191" i="1"/>
  <c r="T191" i="1"/>
  <c r="V191" i="1"/>
  <c r="W191" i="1"/>
  <c r="X191" i="1"/>
  <c r="AA191" i="1"/>
  <c r="AB191" i="1"/>
  <c r="AD191" i="1"/>
  <c r="AE191" i="1"/>
  <c r="AF191" i="1"/>
  <c r="AH191" i="1"/>
  <c r="AI191" i="1"/>
  <c r="AJ191" i="1"/>
  <c r="AK191" i="1"/>
  <c r="AL191" i="1"/>
  <c r="AM191" i="1"/>
  <c r="AO191" i="1"/>
  <c r="AP191" i="1"/>
  <c r="AQ191" i="1"/>
  <c r="AR191" i="1"/>
  <c r="F192" i="1"/>
  <c r="G192" i="1"/>
  <c r="H192" i="1"/>
  <c r="I192" i="1"/>
  <c r="V192" i="1"/>
  <c r="W192" i="1"/>
  <c r="X192" i="1"/>
  <c r="AA192" i="1"/>
  <c r="AB192" i="1"/>
  <c r="AD192" i="1"/>
  <c r="AE192" i="1"/>
  <c r="AF192" i="1"/>
  <c r="AH192" i="1"/>
  <c r="AI192" i="1"/>
  <c r="AJ192" i="1"/>
  <c r="AK192" i="1"/>
  <c r="AL192" i="1"/>
  <c r="AM192" i="1"/>
  <c r="AO192" i="1"/>
  <c r="AP192" i="1"/>
  <c r="AQ192" i="1"/>
  <c r="AR192" i="1"/>
  <c r="F193" i="1"/>
  <c r="G193" i="1"/>
  <c r="H193" i="1"/>
  <c r="I193" i="1"/>
  <c r="V193" i="1"/>
  <c r="W193" i="1"/>
  <c r="X193" i="1"/>
  <c r="AA193" i="1"/>
  <c r="AB193" i="1"/>
  <c r="AD193" i="1"/>
  <c r="AE193" i="1"/>
  <c r="AF193" i="1"/>
  <c r="AH193" i="1"/>
  <c r="AI193" i="1"/>
  <c r="AJ193" i="1"/>
  <c r="AK193" i="1"/>
  <c r="AL193" i="1"/>
  <c r="AM193" i="1"/>
  <c r="AO193" i="1"/>
  <c r="AP193" i="1"/>
  <c r="AQ193" i="1"/>
  <c r="AR193" i="1"/>
  <c r="F194" i="1"/>
  <c r="G194" i="1"/>
  <c r="H194" i="1"/>
  <c r="I194" i="1"/>
  <c r="V194" i="1"/>
  <c r="W194" i="1"/>
  <c r="X194" i="1"/>
  <c r="AA194" i="1"/>
  <c r="AB194" i="1"/>
  <c r="AD194" i="1"/>
  <c r="AE194" i="1"/>
  <c r="AF194" i="1"/>
  <c r="AH194" i="1"/>
  <c r="AI194" i="1"/>
  <c r="AJ194" i="1"/>
  <c r="AK194" i="1"/>
  <c r="AL194" i="1"/>
  <c r="AM194" i="1"/>
  <c r="AO194" i="1"/>
  <c r="AP194" i="1"/>
  <c r="AQ194" i="1"/>
  <c r="AR194" i="1"/>
  <c r="F195" i="1"/>
  <c r="G195" i="1"/>
  <c r="H195" i="1"/>
  <c r="I195" i="1"/>
  <c r="V195" i="1"/>
  <c r="W195" i="1"/>
  <c r="X195" i="1"/>
  <c r="AA195" i="1"/>
  <c r="AB195" i="1"/>
  <c r="AD195" i="1"/>
  <c r="AE195" i="1"/>
  <c r="AF195" i="1"/>
  <c r="AH195" i="1"/>
  <c r="AI195" i="1"/>
  <c r="AJ195" i="1"/>
  <c r="AK195" i="1"/>
  <c r="AL195" i="1"/>
  <c r="AM195" i="1"/>
  <c r="AO195" i="1"/>
  <c r="AP195" i="1"/>
  <c r="AQ195" i="1"/>
  <c r="AR195" i="1"/>
  <c r="F196" i="1"/>
  <c r="G196" i="1"/>
  <c r="H196" i="1"/>
  <c r="I196" i="1"/>
  <c r="V196" i="1"/>
  <c r="W196" i="1"/>
  <c r="X196" i="1"/>
  <c r="AA196" i="1"/>
  <c r="AB196" i="1"/>
  <c r="AD196" i="1"/>
  <c r="AE196" i="1"/>
  <c r="AF196" i="1"/>
  <c r="AH196" i="1"/>
  <c r="AI196" i="1"/>
  <c r="AJ196" i="1"/>
  <c r="AK196" i="1"/>
  <c r="AL196" i="1"/>
  <c r="AM196" i="1"/>
  <c r="AO196" i="1"/>
  <c r="AP196" i="1"/>
  <c r="AQ196" i="1"/>
  <c r="AR196" i="1"/>
  <c r="F197" i="1"/>
  <c r="G197" i="1"/>
  <c r="H197" i="1"/>
  <c r="I197" i="1"/>
  <c r="V197" i="1"/>
  <c r="W197" i="1"/>
  <c r="X197" i="1"/>
  <c r="AA197" i="1"/>
  <c r="AB197" i="1"/>
  <c r="AD197" i="1"/>
  <c r="AE197" i="1"/>
  <c r="AF197" i="1"/>
  <c r="AH197" i="1"/>
  <c r="AI197" i="1"/>
  <c r="AJ197" i="1"/>
  <c r="AK197" i="1"/>
  <c r="AL197" i="1"/>
  <c r="AM197" i="1"/>
  <c r="AO197" i="1"/>
  <c r="AP197" i="1"/>
  <c r="AQ197" i="1"/>
  <c r="AR197" i="1"/>
  <c r="F198" i="1"/>
  <c r="G198" i="1"/>
  <c r="H198" i="1"/>
  <c r="I198" i="1"/>
  <c r="V198" i="1"/>
  <c r="W198" i="1"/>
  <c r="X198" i="1"/>
  <c r="AA198" i="1"/>
  <c r="AB198" i="1"/>
  <c r="AD198" i="1"/>
  <c r="AE198" i="1"/>
  <c r="AF198" i="1"/>
  <c r="AH198" i="1"/>
  <c r="AI198" i="1"/>
  <c r="AJ198" i="1"/>
  <c r="AK198" i="1"/>
  <c r="AL198" i="1"/>
  <c r="AM198" i="1"/>
  <c r="AO198" i="1"/>
  <c r="AP198" i="1"/>
  <c r="AQ198" i="1"/>
  <c r="AR198" i="1"/>
  <c r="F199" i="1"/>
  <c r="G199" i="1"/>
  <c r="H199" i="1"/>
  <c r="I199" i="1"/>
  <c r="V199" i="1"/>
  <c r="W199" i="1"/>
  <c r="X199" i="1"/>
  <c r="AA199" i="1"/>
  <c r="AB199" i="1"/>
  <c r="AD199" i="1"/>
  <c r="AE199" i="1"/>
  <c r="AF199" i="1"/>
  <c r="AH199" i="1"/>
  <c r="AI199" i="1"/>
  <c r="AJ199" i="1"/>
  <c r="AK199" i="1"/>
  <c r="AL199" i="1"/>
  <c r="AM199" i="1"/>
  <c r="AO199" i="1"/>
  <c r="AP199" i="1"/>
  <c r="AQ199" i="1"/>
  <c r="AR199" i="1"/>
  <c r="F200" i="1"/>
  <c r="G200" i="1"/>
  <c r="H200" i="1"/>
  <c r="I200" i="1"/>
  <c r="V200" i="1"/>
  <c r="W200" i="1"/>
  <c r="X200" i="1"/>
  <c r="AA200" i="1"/>
  <c r="AB200" i="1"/>
  <c r="AD200" i="1"/>
  <c r="AE200" i="1"/>
  <c r="AF200" i="1"/>
  <c r="AH200" i="1"/>
  <c r="AI200" i="1"/>
  <c r="AJ200" i="1"/>
  <c r="AK200" i="1"/>
  <c r="AL200" i="1"/>
  <c r="AM200" i="1"/>
  <c r="AO200" i="1"/>
  <c r="AP200" i="1"/>
  <c r="AQ200" i="1"/>
  <c r="AR200" i="1"/>
  <c r="F201" i="1"/>
  <c r="G201" i="1"/>
  <c r="H201" i="1"/>
  <c r="I201" i="1"/>
  <c r="V201" i="1"/>
  <c r="W201" i="1"/>
  <c r="X201" i="1"/>
  <c r="AA201" i="1"/>
  <c r="AB201" i="1"/>
  <c r="AD201" i="1"/>
  <c r="AE201" i="1"/>
  <c r="AF201" i="1"/>
  <c r="AH201" i="1"/>
  <c r="AI201" i="1"/>
  <c r="AJ201" i="1"/>
  <c r="AK201" i="1"/>
  <c r="AL201" i="1"/>
  <c r="AM201" i="1"/>
  <c r="AO201" i="1"/>
  <c r="AP201" i="1"/>
  <c r="AQ201" i="1"/>
  <c r="AR201" i="1"/>
  <c r="F202" i="1"/>
  <c r="G202" i="1"/>
  <c r="H202" i="1"/>
  <c r="I202" i="1"/>
  <c r="V202" i="1"/>
  <c r="W202" i="1"/>
  <c r="X202" i="1"/>
  <c r="AA202" i="1"/>
  <c r="AB202" i="1"/>
  <c r="AD202" i="1"/>
  <c r="AE202" i="1"/>
  <c r="AF202" i="1"/>
  <c r="AH202" i="1"/>
  <c r="AI202" i="1"/>
  <c r="AJ202" i="1"/>
  <c r="AK202" i="1"/>
  <c r="AL202" i="1"/>
  <c r="AM202" i="1"/>
  <c r="AO202" i="1"/>
  <c r="AP202" i="1"/>
  <c r="AQ202" i="1"/>
  <c r="AR202" i="1"/>
  <c r="F203" i="1"/>
  <c r="G203" i="1"/>
  <c r="H203" i="1"/>
  <c r="I203" i="1"/>
  <c r="V203" i="1"/>
  <c r="W203" i="1"/>
  <c r="X203" i="1"/>
  <c r="AA203" i="1"/>
  <c r="AB203" i="1"/>
  <c r="AD203" i="1"/>
  <c r="AE203" i="1"/>
  <c r="AF203" i="1"/>
  <c r="AH203" i="1"/>
  <c r="AI203" i="1"/>
  <c r="AJ203" i="1"/>
  <c r="AK203" i="1"/>
  <c r="AL203" i="1"/>
  <c r="AM203" i="1"/>
  <c r="AO203" i="1"/>
  <c r="AP203" i="1"/>
  <c r="AQ203" i="1"/>
  <c r="AR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D6" i="3"/>
  <c r="D7" i="3"/>
  <c r="E11" i="3"/>
  <c r="F11" i="3"/>
  <c r="B30" i="3"/>
  <c r="D30" i="3"/>
  <c r="F30" i="3"/>
  <c r="H30" i="3"/>
  <c r="K30" i="3"/>
  <c r="M30" i="3"/>
  <c r="N30" i="3"/>
  <c r="B31" i="3"/>
  <c r="D31" i="3"/>
  <c r="F31" i="3"/>
  <c r="H31" i="3"/>
  <c r="K31" i="3"/>
  <c r="M31" i="3"/>
  <c r="N31" i="3"/>
  <c r="B32" i="3"/>
  <c r="D32" i="3"/>
  <c r="F32" i="3"/>
  <c r="H32" i="3"/>
  <c r="K32" i="3"/>
  <c r="M32" i="3"/>
  <c r="N32" i="3"/>
  <c r="B33" i="3"/>
  <c r="D33" i="3"/>
  <c r="F33" i="3"/>
  <c r="H33" i="3"/>
  <c r="K33" i="3"/>
  <c r="M33" i="3"/>
  <c r="N33" i="3"/>
  <c r="B34" i="3"/>
  <c r="D34" i="3"/>
  <c r="F34" i="3"/>
  <c r="H34" i="3"/>
  <c r="K34" i="3"/>
  <c r="M34" i="3"/>
  <c r="N34" i="3"/>
  <c r="B35" i="3"/>
  <c r="D35" i="3"/>
  <c r="F35" i="3"/>
  <c r="H35" i="3"/>
  <c r="K35" i="3"/>
  <c r="M35" i="3"/>
  <c r="N35" i="3"/>
  <c r="B36" i="3"/>
  <c r="D36" i="3"/>
  <c r="F36" i="3"/>
  <c r="H36" i="3"/>
  <c r="K36" i="3"/>
  <c r="M36" i="3"/>
  <c r="N36" i="3"/>
  <c r="B37" i="3"/>
  <c r="D37" i="3"/>
  <c r="F37" i="3"/>
  <c r="H37" i="3"/>
  <c r="K37" i="3"/>
  <c r="M37" i="3"/>
  <c r="N37" i="3"/>
  <c r="B38" i="3"/>
  <c r="D38" i="3"/>
  <c r="F38" i="3"/>
  <c r="H38" i="3"/>
  <c r="K38" i="3"/>
  <c r="M38" i="3"/>
  <c r="N38" i="3"/>
  <c r="B39" i="3"/>
  <c r="D39" i="3"/>
  <c r="F39" i="3"/>
  <c r="H39" i="3"/>
  <c r="K39" i="3"/>
  <c r="M39" i="3"/>
  <c r="N39" i="3"/>
  <c r="B40" i="3"/>
  <c r="D40" i="3"/>
  <c r="F40" i="3"/>
  <c r="H40" i="3"/>
  <c r="K40" i="3"/>
  <c r="M40" i="3"/>
  <c r="N40" i="3"/>
  <c r="B41" i="3"/>
  <c r="D41" i="3"/>
  <c r="F41" i="3"/>
  <c r="H41" i="3"/>
  <c r="K41" i="3"/>
  <c r="M41" i="3"/>
  <c r="N41" i="3"/>
  <c r="B42" i="3"/>
  <c r="D42" i="3"/>
  <c r="F42" i="3"/>
  <c r="H42" i="3"/>
  <c r="K42" i="3"/>
  <c r="M42" i="3"/>
  <c r="N42" i="3"/>
  <c r="B43" i="3"/>
  <c r="D43" i="3"/>
  <c r="F43" i="3"/>
  <c r="H43" i="3"/>
  <c r="K43" i="3"/>
  <c r="M43" i="3"/>
  <c r="N43" i="3"/>
  <c r="B44" i="3"/>
  <c r="D44" i="3"/>
  <c r="F44" i="3"/>
  <c r="H44" i="3"/>
  <c r="K44" i="3"/>
  <c r="M44" i="3"/>
  <c r="N44" i="3"/>
  <c r="B45" i="3"/>
  <c r="D45" i="3"/>
  <c r="F45" i="3"/>
  <c r="H45" i="3"/>
  <c r="K45" i="3"/>
  <c r="M45" i="3"/>
  <c r="N45" i="3"/>
  <c r="B46" i="3"/>
  <c r="D46" i="3"/>
  <c r="F46" i="3"/>
  <c r="H46" i="3"/>
  <c r="K46" i="3"/>
  <c r="M46" i="3"/>
  <c r="N46" i="3"/>
  <c r="B47" i="3"/>
  <c r="D47" i="3"/>
  <c r="F47" i="3"/>
  <c r="H47" i="3"/>
  <c r="K47" i="3"/>
  <c r="M47" i="3"/>
  <c r="N47" i="3"/>
  <c r="B48" i="3"/>
  <c r="D48" i="3"/>
  <c r="F48" i="3"/>
  <c r="H48" i="3"/>
  <c r="K48" i="3"/>
  <c r="M48" i="3"/>
  <c r="N48" i="3"/>
  <c r="B49" i="3"/>
  <c r="D49" i="3"/>
  <c r="F49" i="3"/>
  <c r="H49" i="3"/>
  <c r="K49" i="3"/>
  <c r="M49" i="3"/>
  <c r="N49" i="3"/>
  <c r="B50" i="3"/>
  <c r="D50" i="3"/>
  <c r="F50" i="3"/>
  <c r="H50" i="3"/>
  <c r="K50" i="3"/>
  <c r="M50" i="3"/>
  <c r="N50" i="3"/>
  <c r="B51" i="3"/>
  <c r="D51" i="3"/>
  <c r="F51" i="3"/>
  <c r="H51" i="3"/>
  <c r="K51" i="3"/>
  <c r="M51" i="3"/>
  <c r="N51" i="3"/>
  <c r="B52" i="3"/>
  <c r="D52" i="3"/>
  <c r="F52" i="3"/>
  <c r="H52" i="3"/>
  <c r="K52" i="3"/>
  <c r="M52" i="3"/>
  <c r="N52" i="3"/>
  <c r="B53" i="3"/>
  <c r="D53" i="3"/>
  <c r="F53" i="3"/>
  <c r="H53" i="3"/>
  <c r="K53" i="3"/>
  <c r="M53" i="3"/>
  <c r="N53" i="3"/>
  <c r="B54" i="3"/>
  <c r="D54" i="3"/>
  <c r="F54" i="3"/>
  <c r="H54" i="3"/>
  <c r="K54" i="3"/>
  <c r="M54" i="3"/>
  <c r="N54" i="3"/>
  <c r="B58" i="3"/>
  <c r="D58" i="3"/>
  <c r="F58" i="3"/>
  <c r="H58" i="3"/>
  <c r="K58" i="3"/>
  <c r="M58" i="3"/>
  <c r="N58" i="3"/>
  <c r="B59" i="3"/>
  <c r="D59" i="3"/>
  <c r="F59" i="3"/>
  <c r="H59" i="3"/>
  <c r="I59" i="3"/>
  <c r="J59" i="3"/>
  <c r="K59" i="3"/>
  <c r="M59" i="3"/>
  <c r="N59" i="3"/>
  <c r="B60" i="3"/>
  <c r="D60" i="3"/>
  <c r="F60" i="3"/>
  <c r="H60" i="3"/>
  <c r="K60" i="3"/>
  <c r="M60" i="3"/>
  <c r="N60" i="3"/>
  <c r="B61" i="3"/>
  <c r="D61" i="3"/>
  <c r="F61" i="3"/>
  <c r="H61" i="3"/>
  <c r="K61" i="3"/>
  <c r="M61" i="3"/>
  <c r="N61" i="3"/>
  <c r="B62" i="3"/>
  <c r="D62" i="3"/>
  <c r="F62" i="3"/>
  <c r="H62" i="3"/>
  <c r="K62" i="3"/>
  <c r="M62" i="3"/>
  <c r="N62" i="3"/>
  <c r="B63" i="3"/>
  <c r="D63" i="3"/>
  <c r="F63" i="3"/>
  <c r="H63" i="3"/>
  <c r="K63" i="3"/>
  <c r="M63" i="3"/>
  <c r="N63" i="3"/>
  <c r="B65" i="3"/>
  <c r="D65" i="3"/>
  <c r="F65" i="3"/>
  <c r="H65" i="3"/>
  <c r="K65" i="3"/>
  <c r="M65" i="3"/>
  <c r="N65" i="3"/>
  <c r="B66" i="3"/>
  <c r="D66" i="3"/>
  <c r="F66" i="3"/>
  <c r="H66" i="3"/>
  <c r="K66" i="3"/>
  <c r="B67" i="3"/>
  <c r="D67" i="3"/>
  <c r="F67" i="3"/>
  <c r="H67" i="3"/>
  <c r="I67" i="3"/>
  <c r="J67" i="3"/>
  <c r="K67" i="3"/>
  <c r="H82" i="3"/>
  <c r="J82" i="3"/>
  <c r="K82" i="3"/>
  <c r="L82" i="3"/>
  <c r="M82" i="3"/>
  <c r="N82" i="3"/>
  <c r="O82" i="3"/>
  <c r="P82" i="3"/>
  <c r="Q82" i="3"/>
  <c r="H83" i="3"/>
  <c r="J83" i="3"/>
  <c r="K83" i="3"/>
  <c r="L83" i="3"/>
  <c r="M83" i="3"/>
  <c r="N83" i="3"/>
  <c r="O83" i="3"/>
  <c r="P83" i="3"/>
  <c r="Q83" i="3"/>
  <c r="F84" i="3"/>
  <c r="G84" i="3"/>
  <c r="H84" i="3"/>
  <c r="I84" i="3"/>
  <c r="J84" i="3"/>
  <c r="K84" i="3"/>
  <c r="L84" i="3"/>
  <c r="M84" i="3"/>
  <c r="N84" i="3"/>
  <c r="O84" i="3"/>
  <c r="P84" i="3"/>
  <c r="Q84" i="3"/>
  <c r="F85" i="3"/>
  <c r="G85" i="3"/>
  <c r="H85" i="3"/>
  <c r="I85" i="3"/>
  <c r="J85" i="3"/>
  <c r="K85" i="3"/>
  <c r="L85" i="3"/>
  <c r="M85" i="3"/>
  <c r="N85" i="3"/>
  <c r="O85" i="3"/>
  <c r="P85" i="3"/>
  <c r="Q85" i="3"/>
  <c r="G86" i="3"/>
  <c r="H86" i="3"/>
  <c r="I86" i="3"/>
  <c r="J86" i="3"/>
  <c r="K86" i="3"/>
  <c r="L86" i="3"/>
  <c r="M86" i="3"/>
  <c r="N86" i="3"/>
  <c r="O86" i="3"/>
  <c r="P86" i="3"/>
  <c r="Q86" i="3"/>
  <c r="G87" i="3"/>
  <c r="H87" i="3"/>
  <c r="I87" i="3"/>
  <c r="J87" i="3"/>
  <c r="K87" i="3"/>
  <c r="L87" i="3"/>
  <c r="M87" i="3"/>
  <c r="N87" i="3"/>
  <c r="O87" i="3"/>
  <c r="P87" i="3"/>
  <c r="Q87" i="3"/>
  <c r="G88" i="3"/>
  <c r="H88" i="3"/>
  <c r="I88" i="3"/>
  <c r="J88" i="3"/>
  <c r="K88" i="3"/>
  <c r="L88" i="3"/>
  <c r="M88" i="3"/>
  <c r="N88" i="3"/>
  <c r="O88" i="3"/>
  <c r="P88" i="3"/>
  <c r="Q88" i="3"/>
  <c r="G89" i="3"/>
  <c r="H89" i="3"/>
  <c r="I89" i="3"/>
  <c r="J89" i="3"/>
  <c r="K89" i="3"/>
  <c r="L89" i="3"/>
  <c r="M89" i="3"/>
  <c r="N89" i="3"/>
  <c r="O89" i="3"/>
  <c r="P89" i="3"/>
  <c r="Q89" i="3"/>
  <c r="G90" i="3"/>
  <c r="H90" i="3"/>
  <c r="I90" i="3"/>
  <c r="J90" i="3"/>
  <c r="K90" i="3"/>
  <c r="L90" i="3"/>
  <c r="M90" i="3"/>
  <c r="N90" i="3"/>
  <c r="O90" i="3"/>
  <c r="P90" i="3"/>
  <c r="Q90" i="3"/>
  <c r="G91" i="3"/>
  <c r="H91" i="3"/>
  <c r="I91" i="3"/>
  <c r="J91" i="3"/>
  <c r="K91" i="3"/>
  <c r="L91" i="3"/>
  <c r="M91" i="3"/>
  <c r="N91" i="3"/>
  <c r="O91" i="3"/>
  <c r="P91" i="3"/>
  <c r="Q91" i="3"/>
  <c r="G92" i="3"/>
  <c r="H92" i="3"/>
  <c r="I92" i="3"/>
  <c r="J92" i="3"/>
  <c r="K92" i="3"/>
  <c r="L92" i="3"/>
  <c r="M92" i="3"/>
  <c r="N92" i="3"/>
  <c r="O92" i="3"/>
  <c r="P92" i="3"/>
  <c r="Q92" i="3"/>
  <c r="G93" i="3"/>
  <c r="H93" i="3"/>
  <c r="I93" i="3"/>
  <c r="J93" i="3"/>
  <c r="K93" i="3"/>
  <c r="L93" i="3"/>
  <c r="M93" i="3"/>
  <c r="N93" i="3"/>
  <c r="O93" i="3"/>
  <c r="P93" i="3"/>
  <c r="Q93" i="3"/>
  <c r="F94" i="3"/>
  <c r="G94" i="3"/>
  <c r="H94" i="3"/>
  <c r="I94" i="3"/>
  <c r="J94" i="3"/>
  <c r="K94" i="3"/>
  <c r="L94" i="3"/>
  <c r="M94" i="3"/>
  <c r="N94" i="3"/>
  <c r="O94" i="3"/>
  <c r="P94" i="3"/>
  <c r="Q94" i="3"/>
  <c r="F95" i="3"/>
  <c r="G95" i="3"/>
  <c r="H95" i="3"/>
  <c r="I95" i="3"/>
  <c r="J95" i="3"/>
  <c r="K95" i="3"/>
  <c r="L95" i="3"/>
  <c r="M95" i="3"/>
  <c r="N95" i="3"/>
  <c r="O95" i="3"/>
  <c r="P95" i="3"/>
  <c r="Q95" i="3"/>
  <c r="F96" i="3"/>
  <c r="G96" i="3"/>
  <c r="H96" i="3"/>
  <c r="I96" i="3"/>
  <c r="J96" i="3"/>
  <c r="K96" i="3"/>
  <c r="L96" i="3"/>
  <c r="M96" i="3"/>
  <c r="N96" i="3"/>
  <c r="O96" i="3"/>
  <c r="P96" i="3"/>
  <c r="Q96" i="3"/>
  <c r="F97" i="3"/>
  <c r="G97" i="3"/>
  <c r="H97" i="3"/>
  <c r="I97" i="3"/>
  <c r="J97" i="3"/>
  <c r="K97" i="3"/>
  <c r="L97" i="3"/>
  <c r="M97" i="3"/>
  <c r="N97" i="3"/>
  <c r="O97" i="3"/>
  <c r="P97" i="3"/>
  <c r="Q97" i="3"/>
  <c r="F98" i="3"/>
  <c r="G98" i="3"/>
  <c r="H98" i="3"/>
  <c r="I98" i="3"/>
  <c r="J98" i="3"/>
  <c r="K98" i="3"/>
  <c r="L98" i="3"/>
  <c r="M98" i="3"/>
  <c r="N98" i="3"/>
  <c r="O98" i="3"/>
  <c r="P98" i="3"/>
  <c r="Q98" i="3"/>
  <c r="F99" i="3"/>
  <c r="G99" i="3"/>
  <c r="H99" i="3"/>
  <c r="I99" i="3"/>
  <c r="J99" i="3"/>
  <c r="K99" i="3"/>
  <c r="L99" i="3"/>
  <c r="M99" i="3"/>
  <c r="N99" i="3"/>
  <c r="O99" i="3"/>
  <c r="P99" i="3"/>
  <c r="Q99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B106" i="3"/>
  <c r="C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B107" i="3"/>
  <c r="C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B108" i="3"/>
  <c r="C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B109" i="3"/>
  <c r="C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B110" i="3"/>
  <c r="C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B111" i="3"/>
  <c r="C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B112" i="3"/>
  <c r="C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B113" i="3"/>
  <c r="C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B114" i="3"/>
  <c r="C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B115" i="3"/>
  <c r="C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B116" i="3"/>
  <c r="C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B117" i="3"/>
  <c r="C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B118" i="3"/>
  <c r="C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B119" i="3"/>
  <c r="C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B120" i="3"/>
  <c r="C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B121" i="3"/>
  <c r="C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B122" i="3"/>
  <c r="C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B123" i="3"/>
  <c r="C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B124" i="3"/>
  <c r="C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B125" i="3"/>
  <c r="C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B126" i="3"/>
  <c r="C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B127" i="3"/>
  <c r="C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B128" i="3"/>
  <c r="C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B129" i="3"/>
  <c r="C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B130" i="3"/>
  <c r="C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B131" i="3"/>
  <c r="C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B132" i="3"/>
  <c r="C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B133" i="3"/>
  <c r="C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B134" i="3"/>
  <c r="C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B135" i="3"/>
  <c r="C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B136" i="3"/>
  <c r="C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B137" i="3"/>
  <c r="C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B138" i="3"/>
  <c r="C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B139" i="3"/>
  <c r="C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B140" i="3"/>
  <c r="C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B141" i="3"/>
  <c r="C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B142" i="3"/>
  <c r="C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B143" i="3"/>
  <c r="C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B144" i="3"/>
  <c r="C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B145" i="3"/>
  <c r="C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B146" i="3"/>
  <c r="C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B147" i="3"/>
  <c r="C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B148" i="3"/>
  <c r="C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B149" i="3"/>
  <c r="C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B150" i="3"/>
  <c r="C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B151" i="3"/>
  <c r="C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B152" i="3"/>
  <c r="C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B153" i="3"/>
  <c r="C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B154" i="3"/>
  <c r="C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B155" i="3"/>
  <c r="C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B156" i="3"/>
  <c r="C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B157" i="3"/>
  <c r="C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B158" i="3"/>
  <c r="C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B159" i="3"/>
  <c r="C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B160" i="3"/>
  <c r="C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B161" i="3"/>
  <c r="C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B162" i="3"/>
  <c r="C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B163" i="3"/>
  <c r="C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B164" i="3"/>
  <c r="C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B165" i="3"/>
  <c r="C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B166" i="3"/>
  <c r="C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B167" i="3"/>
  <c r="C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B168" i="3"/>
  <c r="C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B169" i="3"/>
  <c r="C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B170" i="3"/>
  <c r="C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B171" i="3"/>
  <c r="C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B172" i="3"/>
  <c r="C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B173" i="3"/>
  <c r="C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B174" i="3"/>
  <c r="C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B175" i="3"/>
  <c r="C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B176" i="3"/>
  <c r="C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B177" i="3"/>
  <c r="C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B178" i="3"/>
  <c r="C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B179" i="3"/>
  <c r="C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B180" i="3"/>
  <c r="C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B181" i="3"/>
  <c r="C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B182" i="3"/>
  <c r="C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B183" i="3"/>
  <c r="C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B184" i="3"/>
  <c r="C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B185" i="3"/>
  <c r="C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B186" i="3"/>
  <c r="C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B187" i="3"/>
  <c r="C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B188" i="3"/>
  <c r="C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B189" i="3"/>
  <c r="C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B190" i="3"/>
  <c r="C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B191" i="3"/>
  <c r="C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B192" i="3"/>
  <c r="C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B193" i="3"/>
  <c r="C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B194" i="3"/>
  <c r="C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B195" i="3"/>
  <c r="C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B196" i="3"/>
  <c r="C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B197" i="3"/>
  <c r="C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B198" i="3"/>
  <c r="C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B199" i="3"/>
  <c r="C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B200" i="3"/>
  <c r="C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B201" i="3"/>
  <c r="C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B202" i="3"/>
  <c r="C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B203" i="3"/>
  <c r="C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B204" i="3"/>
  <c r="C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B205" i="3"/>
  <c r="C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B206" i="3"/>
  <c r="C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B207" i="3"/>
  <c r="C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B208" i="3"/>
  <c r="C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B209" i="3"/>
  <c r="C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B210" i="3"/>
  <c r="C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B211" i="3"/>
  <c r="C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B212" i="3"/>
  <c r="C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B213" i="3"/>
  <c r="C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B214" i="3"/>
  <c r="C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B215" i="3"/>
  <c r="C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B216" i="3"/>
  <c r="C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B217" i="3"/>
  <c r="C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B218" i="3"/>
  <c r="C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B219" i="3"/>
  <c r="C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B220" i="3"/>
  <c r="C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B221" i="3"/>
  <c r="C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B222" i="3"/>
  <c r="C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B223" i="3"/>
  <c r="C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B224" i="3"/>
  <c r="C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B225" i="3"/>
  <c r="C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B226" i="3"/>
  <c r="C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B227" i="3"/>
  <c r="C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B228" i="3"/>
  <c r="C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B229" i="3"/>
  <c r="C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B230" i="3"/>
  <c r="C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B231" i="3"/>
  <c r="C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B232" i="3"/>
  <c r="C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B233" i="3"/>
  <c r="C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B234" i="3"/>
  <c r="C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B235" i="3"/>
  <c r="C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B236" i="3"/>
  <c r="C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B237" i="3"/>
  <c r="C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B238" i="3"/>
  <c r="C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B239" i="3"/>
  <c r="C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B240" i="3"/>
  <c r="C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B241" i="3"/>
  <c r="C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B242" i="3"/>
  <c r="C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B243" i="3"/>
  <c r="C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B244" i="3"/>
  <c r="C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B245" i="3"/>
  <c r="C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B246" i="3"/>
  <c r="C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B247" i="3"/>
  <c r="C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B248" i="3"/>
  <c r="C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B249" i="3"/>
  <c r="C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B250" i="3"/>
  <c r="C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B251" i="3"/>
  <c r="C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B252" i="3"/>
  <c r="C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B253" i="3"/>
  <c r="C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B254" i="3"/>
  <c r="C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B255" i="3"/>
  <c r="C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B256" i="3"/>
  <c r="C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B257" i="3"/>
  <c r="C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B258" i="3"/>
  <c r="C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B259" i="3"/>
  <c r="C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B260" i="3"/>
  <c r="C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B261" i="3"/>
  <c r="C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AD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AD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AD14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B31" i="19"/>
  <c r="AC31" i="19"/>
  <c r="AD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AD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AB36" i="19"/>
  <c r="AC36" i="19"/>
  <c r="AD36" i="19"/>
  <c r="A53" i="19"/>
  <c r="B53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Z53" i="19"/>
  <c r="AA53" i="19"/>
  <c r="AB53" i="19"/>
  <c r="AC53" i="19"/>
  <c r="AD53" i="19"/>
  <c r="A54" i="19"/>
  <c r="B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Z54" i="19"/>
  <c r="AA54" i="19"/>
  <c r="AB54" i="19"/>
  <c r="AC54" i="19"/>
  <c r="AD54" i="19"/>
  <c r="A55" i="19"/>
  <c r="B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X55" i="19"/>
  <c r="Y55" i="19"/>
  <c r="Z55" i="19"/>
  <c r="AA55" i="19"/>
  <c r="AB55" i="19"/>
  <c r="AC55" i="19"/>
  <c r="AD55" i="19"/>
  <c r="A56" i="19"/>
  <c r="B56" i="19"/>
  <c r="C56" i="19"/>
  <c r="D56" i="19"/>
  <c r="E56" i="19"/>
  <c r="F56" i="19"/>
  <c r="G56" i="19"/>
  <c r="H56" i="19"/>
  <c r="I56" i="19"/>
  <c r="J56" i="19"/>
  <c r="K56" i="19"/>
  <c r="L56" i="19"/>
  <c r="M56" i="19"/>
  <c r="N56" i="19"/>
  <c r="O56" i="19"/>
  <c r="P56" i="19"/>
  <c r="Q56" i="19"/>
  <c r="R56" i="19"/>
  <c r="S56" i="19"/>
  <c r="T56" i="19"/>
  <c r="U56" i="19"/>
  <c r="V56" i="19"/>
  <c r="W56" i="19"/>
  <c r="X56" i="19"/>
  <c r="Y56" i="19"/>
  <c r="Z56" i="19"/>
  <c r="AA56" i="19"/>
  <c r="AB56" i="19"/>
  <c r="AC56" i="19"/>
  <c r="AD56" i="19"/>
  <c r="A57" i="19"/>
  <c r="B57" i="19"/>
  <c r="C57" i="19"/>
  <c r="D57" i="19"/>
  <c r="E57" i="19"/>
  <c r="F57" i="19"/>
  <c r="G57" i="19"/>
  <c r="H57" i="19"/>
  <c r="I57" i="19"/>
  <c r="J57" i="19"/>
  <c r="K57" i="19"/>
  <c r="L57" i="19"/>
  <c r="M57" i="19"/>
  <c r="N57" i="19"/>
  <c r="O57" i="19"/>
  <c r="P57" i="19"/>
  <c r="Q57" i="19"/>
  <c r="R57" i="19"/>
  <c r="S57" i="19"/>
  <c r="T57" i="19"/>
  <c r="U57" i="19"/>
  <c r="V57" i="19"/>
  <c r="W57" i="19"/>
  <c r="X57" i="19"/>
  <c r="Y57" i="19"/>
  <c r="Z57" i="19"/>
  <c r="AA57" i="19"/>
  <c r="AB57" i="19"/>
  <c r="AC57" i="19"/>
  <c r="AD57" i="19"/>
  <c r="A58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V58" i="19"/>
  <c r="W58" i="19"/>
  <c r="X58" i="19"/>
  <c r="Y58" i="19"/>
  <c r="Z58" i="19"/>
  <c r="AA58" i="19"/>
  <c r="AB58" i="19"/>
  <c r="AC58" i="19"/>
  <c r="AD58" i="19"/>
  <c r="A59" i="19"/>
  <c r="B59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Z59" i="19"/>
  <c r="AA59" i="19"/>
  <c r="AB59" i="19"/>
  <c r="AC59" i="19"/>
  <c r="AD59" i="19"/>
  <c r="G6" i="10"/>
  <c r="B7" i="10"/>
  <c r="G10" i="10"/>
  <c r="B12" i="10"/>
  <c r="B13" i="10"/>
  <c r="B14" i="10"/>
  <c r="B15" i="10"/>
  <c r="B17" i="10"/>
  <c r="B18" i="10"/>
  <c r="B23" i="10"/>
  <c r="A28" i="10"/>
  <c r="B28" i="10"/>
  <c r="C28" i="10"/>
  <c r="D28" i="10"/>
  <c r="E28" i="10"/>
  <c r="G28" i="10"/>
  <c r="H28" i="10"/>
  <c r="I28" i="10"/>
  <c r="K28" i="10"/>
  <c r="L28" i="10"/>
  <c r="A29" i="10"/>
  <c r="B29" i="10"/>
  <c r="C29" i="10"/>
  <c r="D29" i="10"/>
  <c r="E29" i="10"/>
  <c r="G29" i="10"/>
  <c r="H29" i="10"/>
  <c r="I29" i="10"/>
  <c r="K29" i="10"/>
  <c r="L29" i="10"/>
  <c r="A30" i="10"/>
  <c r="B30" i="10"/>
  <c r="C30" i="10"/>
  <c r="D30" i="10"/>
  <c r="E30" i="10"/>
  <c r="G30" i="10"/>
  <c r="H30" i="10"/>
  <c r="I30" i="10"/>
  <c r="K30" i="10"/>
  <c r="L30" i="10"/>
  <c r="A31" i="10"/>
  <c r="B31" i="10"/>
  <c r="C31" i="10"/>
  <c r="D31" i="10"/>
  <c r="E31" i="10"/>
  <c r="G31" i="10"/>
  <c r="H31" i="10"/>
  <c r="I31" i="10"/>
  <c r="K31" i="10"/>
  <c r="L31" i="10"/>
  <c r="A32" i="10"/>
  <c r="B32" i="10"/>
  <c r="C32" i="10"/>
  <c r="D32" i="10"/>
  <c r="E32" i="10"/>
  <c r="G32" i="10"/>
  <c r="H32" i="10"/>
  <c r="I32" i="10"/>
  <c r="K32" i="10"/>
  <c r="L32" i="10"/>
  <c r="A33" i="10"/>
  <c r="B33" i="10"/>
  <c r="C33" i="10"/>
  <c r="D33" i="10"/>
  <c r="E33" i="10"/>
  <c r="G33" i="10"/>
  <c r="H33" i="10"/>
  <c r="I33" i="10"/>
  <c r="K33" i="10"/>
  <c r="L33" i="10"/>
  <c r="A34" i="10"/>
  <c r="B34" i="10"/>
  <c r="C34" i="10"/>
  <c r="D34" i="10"/>
  <c r="E34" i="10"/>
  <c r="G34" i="10"/>
  <c r="H34" i="10"/>
  <c r="I34" i="10"/>
  <c r="K34" i="10"/>
  <c r="L34" i="10"/>
  <c r="A35" i="10"/>
  <c r="B35" i="10"/>
  <c r="C35" i="10"/>
  <c r="D35" i="10"/>
  <c r="E35" i="10"/>
  <c r="G35" i="10"/>
  <c r="H35" i="10"/>
  <c r="I35" i="10"/>
  <c r="K35" i="10"/>
  <c r="L35" i="10"/>
  <c r="A36" i="10"/>
  <c r="B36" i="10"/>
  <c r="C36" i="10"/>
  <c r="D36" i="10"/>
  <c r="E36" i="10"/>
  <c r="G36" i="10"/>
  <c r="H36" i="10"/>
  <c r="I36" i="10"/>
  <c r="K36" i="10"/>
  <c r="L36" i="10"/>
  <c r="A37" i="10"/>
  <c r="B37" i="10"/>
  <c r="C37" i="10"/>
  <c r="D37" i="10"/>
  <c r="E37" i="10"/>
  <c r="G37" i="10"/>
  <c r="H37" i="10"/>
  <c r="I37" i="10"/>
  <c r="K37" i="10"/>
  <c r="L37" i="10"/>
  <c r="A38" i="10"/>
  <c r="B38" i="10"/>
  <c r="C38" i="10"/>
  <c r="D38" i="10"/>
  <c r="E38" i="10"/>
  <c r="G38" i="10"/>
  <c r="H38" i="10"/>
  <c r="I38" i="10"/>
  <c r="K38" i="10"/>
  <c r="L38" i="10"/>
  <c r="A39" i="10"/>
  <c r="B39" i="10"/>
  <c r="C39" i="10"/>
  <c r="D39" i="10"/>
  <c r="E39" i="10"/>
  <c r="G39" i="10"/>
  <c r="H39" i="10"/>
  <c r="I39" i="10"/>
  <c r="K39" i="10"/>
  <c r="L39" i="10"/>
  <c r="A40" i="10"/>
  <c r="B40" i="10"/>
  <c r="C40" i="10"/>
  <c r="D40" i="10"/>
  <c r="E40" i="10"/>
  <c r="G40" i="10"/>
  <c r="H40" i="10"/>
  <c r="I40" i="10"/>
  <c r="K40" i="10"/>
  <c r="L40" i="10"/>
  <c r="A41" i="10"/>
  <c r="B41" i="10"/>
  <c r="C41" i="10"/>
  <c r="D41" i="10"/>
  <c r="E41" i="10"/>
  <c r="G41" i="10"/>
  <c r="H41" i="10"/>
  <c r="I41" i="10"/>
  <c r="K41" i="10"/>
  <c r="L41" i="10"/>
  <c r="A42" i="10"/>
  <c r="B42" i="10"/>
  <c r="C42" i="10"/>
  <c r="D42" i="10"/>
  <c r="E42" i="10"/>
  <c r="G42" i="10"/>
  <c r="H42" i="10"/>
  <c r="I42" i="10"/>
  <c r="K42" i="10"/>
  <c r="L42" i="10"/>
  <c r="A43" i="10"/>
  <c r="B43" i="10"/>
  <c r="C43" i="10"/>
  <c r="D43" i="10"/>
  <c r="E43" i="10"/>
  <c r="G43" i="10"/>
  <c r="H43" i="10"/>
  <c r="I43" i="10"/>
  <c r="K43" i="10"/>
  <c r="L43" i="10"/>
  <c r="A44" i="10"/>
  <c r="B44" i="10"/>
  <c r="C44" i="10"/>
  <c r="D44" i="10"/>
  <c r="E44" i="10"/>
  <c r="G44" i="10"/>
  <c r="H44" i="10"/>
  <c r="I44" i="10"/>
  <c r="K44" i="10"/>
  <c r="L44" i="10"/>
  <c r="A45" i="10"/>
  <c r="B45" i="10"/>
  <c r="C45" i="10"/>
  <c r="D45" i="10"/>
  <c r="E45" i="10"/>
  <c r="G45" i="10"/>
  <c r="H45" i="10"/>
  <c r="I45" i="10"/>
  <c r="K45" i="10"/>
  <c r="L45" i="10"/>
  <c r="A46" i="10"/>
  <c r="B46" i="10"/>
  <c r="C46" i="10"/>
  <c r="D46" i="10"/>
  <c r="E46" i="10"/>
  <c r="G46" i="10"/>
  <c r="H46" i="10"/>
  <c r="I46" i="10"/>
  <c r="K46" i="10"/>
  <c r="L46" i="10"/>
  <c r="A47" i="10"/>
  <c r="B47" i="10"/>
  <c r="C47" i="10"/>
  <c r="D47" i="10"/>
  <c r="E47" i="10"/>
  <c r="G47" i="10"/>
  <c r="H47" i="10"/>
  <c r="I47" i="10"/>
  <c r="K47" i="10"/>
  <c r="L47" i="10"/>
  <c r="A48" i="10"/>
  <c r="B48" i="10"/>
  <c r="C48" i="10"/>
  <c r="D48" i="10"/>
  <c r="E48" i="10"/>
  <c r="G48" i="10"/>
  <c r="H48" i="10"/>
  <c r="I48" i="10"/>
  <c r="K48" i="10"/>
  <c r="L48" i="10"/>
  <c r="A49" i="10"/>
  <c r="B49" i="10"/>
  <c r="C49" i="10"/>
  <c r="D49" i="10"/>
  <c r="E49" i="10"/>
  <c r="G49" i="10"/>
  <c r="H49" i="10"/>
  <c r="I49" i="10"/>
  <c r="K49" i="10"/>
  <c r="L49" i="10"/>
  <c r="A50" i="10"/>
  <c r="B50" i="10"/>
  <c r="C50" i="10"/>
  <c r="D50" i="10"/>
  <c r="E50" i="10"/>
  <c r="G50" i="10"/>
  <c r="H50" i="10"/>
  <c r="I50" i="10"/>
  <c r="K50" i="10"/>
  <c r="L50" i="10"/>
  <c r="A51" i="10"/>
  <c r="B51" i="10"/>
  <c r="C51" i="10"/>
  <c r="D51" i="10"/>
  <c r="E51" i="10"/>
  <c r="G51" i="10"/>
  <c r="H51" i="10"/>
  <c r="I51" i="10"/>
  <c r="K51" i="10"/>
  <c r="L51" i="10"/>
  <c r="G58" i="10"/>
  <c r="B59" i="10"/>
  <c r="G62" i="10"/>
  <c r="B64" i="10"/>
  <c r="B65" i="10"/>
  <c r="B66" i="10"/>
  <c r="B67" i="10"/>
  <c r="B71" i="10"/>
  <c r="A76" i="10"/>
  <c r="B76" i="10"/>
  <c r="C76" i="10"/>
  <c r="D76" i="10"/>
  <c r="E76" i="10"/>
  <c r="G76" i="10"/>
  <c r="H76" i="10"/>
  <c r="I76" i="10"/>
  <c r="K76" i="10"/>
  <c r="L76" i="10"/>
  <c r="M76" i="10"/>
  <c r="A77" i="10"/>
  <c r="B77" i="10"/>
  <c r="C77" i="10"/>
  <c r="D77" i="10"/>
  <c r="E77" i="10"/>
  <c r="G77" i="10"/>
  <c r="H77" i="10"/>
  <c r="I77" i="10"/>
  <c r="K77" i="10"/>
  <c r="L77" i="10"/>
  <c r="M77" i="10"/>
  <c r="A78" i="10"/>
  <c r="B78" i="10"/>
  <c r="C78" i="10"/>
  <c r="D78" i="10"/>
  <c r="E78" i="10"/>
  <c r="G78" i="10"/>
  <c r="H78" i="10"/>
  <c r="I78" i="10"/>
  <c r="K78" i="10"/>
  <c r="L78" i="10"/>
  <c r="M78" i="10"/>
  <c r="A79" i="10"/>
  <c r="B79" i="10"/>
  <c r="C79" i="10"/>
  <c r="D79" i="10"/>
  <c r="E79" i="10"/>
  <c r="G79" i="10"/>
  <c r="H79" i="10"/>
  <c r="I79" i="10"/>
  <c r="K79" i="10"/>
  <c r="L79" i="10"/>
  <c r="M79" i="10"/>
  <c r="A80" i="10"/>
  <c r="B80" i="10"/>
  <c r="C80" i="10"/>
  <c r="D80" i="10"/>
  <c r="E80" i="10"/>
  <c r="G80" i="10"/>
  <c r="H80" i="10"/>
  <c r="I80" i="10"/>
  <c r="K80" i="10"/>
  <c r="L80" i="10"/>
  <c r="M80" i="10"/>
  <c r="A81" i="10"/>
  <c r="B81" i="10"/>
  <c r="C81" i="10"/>
  <c r="D81" i="10"/>
  <c r="E81" i="10"/>
  <c r="G81" i="10"/>
  <c r="H81" i="10"/>
  <c r="I81" i="10"/>
  <c r="K81" i="10"/>
  <c r="L81" i="10"/>
  <c r="M81" i="10"/>
  <c r="A82" i="10"/>
  <c r="B82" i="10"/>
  <c r="C82" i="10"/>
  <c r="D82" i="10"/>
  <c r="E82" i="10"/>
  <c r="G82" i="10"/>
  <c r="H82" i="10"/>
  <c r="I82" i="10"/>
  <c r="K82" i="10"/>
  <c r="L82" i="10"/>
  <c r="M82" i="10"/>
  <c r="A83" i="10"/>
  <c r="B83" i="10"/>
  <c r="C83" i="10"/>
  <c r="D83" i="10"/>
  <c r="E83" i="10"/>
  <c r="G83" i="10"/>
  <c r="H83" i="10"/>
  <c r="I83" i="10"/>
  <c r="K83" i="10"/>
  <c r="L83" i="10"/>
  <c r="M83" i="10"/>
  <c r="A84" i="10"/>
  <c r="B84" i="10"/>
  <c r="C84" i="10"/>
  <c r="D84" i="10"/>
  <c r="E84" i="10"/>
  <c r="G84" i="10"/>
  <c r="H84" i="10"/>
  <c r="I84" i="10"/>
  <c r="K84" i="10"/>
  <c r="L84" i="10"/>
  <c r="M84" i="10"/>
  <c r="A85" i="10"/>
  <c r="B85" i="10"/>
  <c r="C85" i="10"/>
  <c r="D85" i="10"/>
  <c r="E85" i="10"/>
  <c r="G85" i="10"/>
  <c r="H85" i="10"/>
  <c r="I85" i="10"/>
  <c r="K85" i="10"/>
  <c r="L85" i="10"/>
  <c r="M85" i="10"/>
  <c r="A86" i="10"/>
  <c r="B86" i="10"/>
  <c r="C86" i="10"/>
  <c r="D86" i="10"/>
  <c r="E86" i="10"/>
  <c r="G86" i="10"/>
  <c r="H86" i="10"/>
  <c r="I86" i="10"/>
  <c r="K86" i="10"/>
  <c r="L86" i="10"/>
  <c r="M86" i="10"/>
  <c r="A87" i="10"/>
  <c r="B87" i="10"/>
  <c r="C87" i="10"/>
  <c r="D87" i="10"/>
  <c r="E87" i="10"/>
  <c r="G87" i="10"/>
  <c r="H87" i="10"/>
  <c r="I87" i="10"/>
  <c r="K87" i="10"/>
  <c r="L87" i="10"/>
  <c r="M87" i="10"/>
  <c r="A88" i="10"/>
  <c r="B88" i="10"/>
  <c r="C88" i="10"/>
  <c r="D88" i="10"/>
  <c r="E88" i="10"/>
  <c r="G88" i="10"/>
  <c r="H88" i="10"/>
  <c r="I88" i="10"/>
  <c r="K88" i="10"/>
  <c r="L88" i="10"/>
  <c r="M88" i="10"/>
  <c r="A89" i="10"/>
  <c r="B89" i="10"/>
  <c r="C89" i="10"/>
  <c r="D89" i="10"/>
  <c r="E89" i="10"/>
  <c r="G89" i="10"/>
  <c r="H89" i="10"/>
  <c r="I89" i="10"/>
  <c r="K89" i="10"/>
  <c r="L89" i="10"/>
  <c r="M89" i="10"/>
  <c r="A90" i="10"/>
  <c r="B90" i="10"/>
  <c r="C90" i="10"/>
  <c r="D90" i="10"/>
  <c r="E90" i="10"/>
  <c r="G90" i="10"/>
  <c r="H90" i="10"/>
  <c r="I90" i="10"/>
  <c r="K90" i="10"/>
  <c r="L90" i="10"/>
  <c r="M90" i="10"/>
  <c r="A91" i="10"/>
  <c r="B91" i="10"/>
  <c r="C91" i="10"/>
  <c r="D91" i="10"/>
  <c r="E91" i="10"/>
  <c r="G91" i="10"/>
  <c r="H91" i="10"/>
  <c r="I91" i="10"/>
  <c r="K91" i="10"/>
  <c r="L91" i="10"/>
  <c r="M91" i="10"/>
  <c r="A92" i="10"/>
  <c r="B92" i="10"/>
  <c r="C92" i="10"/>
  <c r="D92" i="10"/>
  <c r="E92" i="10"/>
  <c r="G92" i="10"/>
  <c r="H92" i="10"/>
  <c r="I92" i="10"/>
  <c r="K92" i="10"/>
  <c r="L92" i="10"/>
  <c r="M92" i="10"/>
  <c r="A93" i="10"/>
  <c r="B93" i="10"/>
  <c r="C93" i="10"/>
  <c r="D93" i="10"/>
  <c r="E93" i="10"/>
  <c r="G93" i="10"/>
  <c r="H93" i="10"/>
  <c r="I93" i="10"/>
  <c r="K93" i="10"/>
  <c r="L93" i="10"/>
  <c r="M93" i="10"/>
  <c r="A94" i="10"/>
  <c r="B94" i="10"/>
  <c r="C94" i="10"/>
  <c r="D94" i="10"/>
  <c r="E94" i="10"/>
  <c r="G94" i="10"/>
  <c r="H94" i="10"/>
  <c r="I94" i="10"/>
  <c r="K94" i="10"/>
  <c r="L94" i="10"/>
  <c r="M94" i="10"/>
  <c r="A95" i="10"/>
  <c r="B95" i="10"/>
  <c r="C95" i="10"/>
  <c r="D95" i="10"/>
  <c r="E95" i="10"/>
  <c r="G95" i="10"/>
  <c r="H95" i="10"/>
  <c r="I95" i="10"/>
  <c r="K95" i="10"/>
  <c r="L95" i="10"/>
  <c r="M95" i="10"/>
  <c r="A96" i="10"/>
  <c r="B96" i="10"/>
  <c r="C96" i="10"/>
  <c r="D96" i="10"/>
  <c r="E96" i="10"/>
  <c r="G96" i="10"/>
  <c r="H96" i="10"/>
  <c r="I96" i="10"/>
  <c r="K96" i="10"/>
  <c r="L96" i="10"/>
  <c r="M96" i="10"/>
  <c r="A97" i="10"/>
  <c r="B97" i="10"/>
  <c r="C97" i="10"/>
  <c r="D97" i="10"/>
  <c r="E97" i="10"/>
  <c r="G97" i="10"/>
  <c r="H97" i="10"/>
  <c r="I97" i="10"/>
  <c r="K97" i="10"/>
  <c r="L97" i="10"/>
  <c r="M97" i="10"/>
  <c r="A98" i="10"/>
  <c r="B98" i="10"/>
  <c r="C98" i="10"/>
  <c r="D98" i="10"/>
  <c r="E98" i="10"/>
  <c r="G98" i="10"/>
  <c r="H98" i="10"/>
  <c r="I98" i="10"/>
  <c r="K98" i="10"/>
  <c r="L98" i="10"/>
  <c r="M98" i="10"/>
  <c r="A99" i="10"/>
  <c r="B99" i="10"/>
  <c r="C99" i="10"/>
  <c r="D99" i="10"/>
  <c r="E99" i="10"/>
  <c r="G99" i="10"/>
  <c r="H99" i="10"/>
  <c r="I99" i="10"/>
  <c r="K99" i="10"/>
  <c r="L99" i="10"/>
  <c r="M99" i="10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G6" i="13"/>
  <c r="B7" i="13"/>
  <c r="G10" i="13"/>
  <c r="G11" i="13"/>
  <c r="B12" i="13"/>
  <c r="G12" i="13"/>
  <c r="B13" i="13"/>
  <c r="B14" i="13"/>
  <c r="B15" i="13"/>
  <c r="B16" i="13"/>
  <c r="G18" i="13"/>
  <c r="G19" i="13"/>
  <c r="G21" i="13"/>
  <c r="B25" i="13"/>
  <c r="A30" i="13"/>
  <c r="B30" i="13"/>
  <c r="E30" i="13"/>
  <c r="F30" i="13"/>
  <c r="G30" i="13"/>
  <c r="H30" i="13"/>
  <c r="J30" i="13"/>
  <c r="K30" i="13"/>
  <c r="L30" i="13"/>
  <c r="N30" i="13"/>
  <c r="O30" i="13"/>
  <c r="A31" i="13"/>
  <c r="B31" i="13"/>
  <c r="E31" i="13"/>
  <c r="F31" i="13"/>
  <c r="G31" i="13"/>
  <c r="H31" i="13"/>
  <c r="J31" i="13"/>
  <c r="K31" i="13"/>
  <c r="L31" i="13"/>
  <c r="N31" i="13"/>
  <c r="O31" i="13"/>
  <c r="A32" i="13"/>
  <c r="B32" i="13"/>
  <c r="E32" i="13"/>
  <c r="F32" i="13"/>
  <c r="G32" i="13"/>
  <c r="H32" i="13"/>
  <c r="J32" i="13"/>
  <c r="K32" i="13"/>
  <c r="L32" i="13"/>
  <c r="N32" i="13"/>
  <c r="O32" i="13"/>
  <c r="A33" i="13"/>
  <c r="B33" i="13"/>
  <c r="E33" i="13"/>
  <c r="F33" i="13"/>
  <c r="G33" i="13"/>
  <c r="H33" i="13"/>
  <c r="J33" i="13"/>
  <c r="K33" i="13"/>
  <c r="L33" i="13"/>
  <c r="N33" i="13"/>
  <c r="O33" i="13"/>
  <c r="A34" i="13"/>
  <c r="B34" i="13"/>
  <c r="E34" i="13"/>
  <c r="F34" i="13"/>
  <c r="G34" i="13"/>
  <c r="H34" i="13"/>
  <c r="J34" i="13"/>
  <c r="K34" i="13"/>
  <c r="L34" i="13"/>
  <c r="N34" i="13"/>
  <c r="O34" i="13"/>
  <c r="A35" i="13"/>
  <c r="B35" i="13"/>
  <c r="E35" i="13"/>
  <c r="F35" i="13"/>
  <c r="G35" i="13"/>
  <c r="H35" i="13"/>
  <c r="J35" i="13"/>
  <c r="K35" i="13"/>
  <c r="L35" i="13"/>
  <c r="N35" i="13"/>
  <c r="O35" i="13"/>
  <c r="A36" i="13"/>
  <c r="B36" i="13"/>
  <c r="E36" i="13"/>
  <c r="F36" i="13"/>
  <c r="G36" i="13"/>
  <c r="H36" i="13"/>
  <c r="J36" i="13"/>
  <c r="K36" i="13"/>
  <c r="L36" i="13"/>
  <c r="N36" i="13"/>
  <c r="O36" i="13"/>
  <c r="A37" i="13"/>
  <c r="B37" i="13"/>
  <c r="E37" i="13"/>
  <c r="F37" i="13"/>
  <c r="G37" i="13"/>
  <c r="H37" i="13"/>
  <c r="J37" i="13"/>
  <c r="K37" i="13"/>
  <c r="L37" i="13"/>
  <c r="N37" i="13"/>
  <c r="O37" i="13"/>
  <c r="A38" i="13"/>
  <c r="B38" i="13"/>
  <c r="E38" i="13"/>
  <c r="F38" i="13"/>
  <c r="G38" i="13"/>
  <c r="H38" i="13"/>
  <c r="J38" i="13"/>
  <c r="K38" i="13"/>
  <c r="L38" i="13"/>
  <c r="N38" i="13"/>
  <c r="O38" i="13"/>
  <c r="A39" i="13"/>
  <c r="B39" i="13"/>
  <c r="E39" i="13"/>
  <c r="F39" i="13"/>
  <c r="G39" i="13"/>
  <c r="H39" i="13"/>
  <c r="J39" i="13"/>
  <c r="K39" i="13"/>
  <c r="L39" i="13"/>
  <c r="N39" i="13"/>
  <c r="O39" i="13"/>
  <c r="A40" i="13"/>
  <c r="B40" i="13"/>
  <c r="E40" i="13"/>
  <c r="F40" i="13"/>
  <c r="G40" i="13"/>
  <c r="H40" i="13"/>
  <c r="J40" i="13"/>
  <c r="K40" i="13"/>
  <c r="L40" i="13"/>
  <c r="N40" i="13"/>
  <c r="O40" i="13"/>
  <c r="A41" i="13"/>
  <c r="B41" i="13"/>
  <c r="E41" i="13"/>
  <c r="F41" i="13"/>
  <c r="G41" i="13"/>
  <c r="H41" i="13"/>
  <c r="J41" i="13"/>
  <c r="K41" i="13"/>
  <c r="L41" i="13"/>
  <c r="N41" i="13"/>
  <c r="O41" i="13"/>
  <c r="A42" i="13"/>
  <c r="B42" i="13"/>
  <c r="E42" i="13"/>
  <c r="F42" i="13"/>
  <c r="G42" i="13"/>
  <c r="H42" i="13"/>
  <c r="J42" i="13"/>
  <c r="K42" i="13"/>
  <c r="L42" i="13"/>
  <c r="N42" i="13"/>
  <c r="O42" i="13"/>
  <c r="A43" i="13"/>
  <c r="B43" i="13"/>
  <c r="E43" i="13"/>
  <c r="F43" i="13"/>
  <c r="G43" i="13"/>
  <c r="H43" i="13"/>
  <c r="J43" i="13"/>
  <c r="K43" i="13"/>
  <c r="L43" i="13"/>
  <c r="N43" i="13"/>
  <c r="O43" i="13"/>
  <c r="A44" i="13"/>
  <c r="B44" i="13"/>
  <c r="E44" i="13"/>
  <c r="F44" i="13"/>
  <c r="G44" i="13"/>
  <c r="H44" i="13"/>
  <c r="J44" i="13"/>
  <c r="K44" i="13"/>
  <c r="L44" i="13"/>
  <c r="N44" i="13"/>
  <c r="O44" i="13"/>
  <c r="A45" i="13"/>
  <c r="B45" i="13"/>
  <c r="E45" i="13"/>
  <c r="F45" i="13"/>
  <c r="G45" i="13"/>
  <c r="H45" i="13"/>
  <c r="J45" i="13"/>
  <c r="K45" i="13"/>
  <c r="L45" i="13"/>
  <c r="N45" i="13"/>
  <c r="O45" i="13"/>
  <c r="A46" i="13"/>
  <c r="B46" i="13"/>
  <c r="E46" i="13"/>
  <c r="F46" i="13"/>
  <c r="G46" i="13"/>
  <c r="H46" i="13"/>
  <c r="J46" i="13"/>
  <c r="K46" i="13"/>
  <c r="L46" i="13"/>
  <c r="N46" i="13"/>
  <c r="O46" i="13"/>
  <c r="A47" i="13"/>
  <c r="B47" i="13"/>
  <c r="E47" i="13"/>
  <c r="F47" i="13"/>
  <c r="G47" i="13"/>
  <c r="H47" i="13"/>
  <c r="J47" i="13"/>
  <c r="K47" i="13"/>
  <c r="L47" i="13"/>
  <c r="N47" i="13"/>
  <c r="O47" i="13"/>
  <c r="A48" i="13"/>
  <c r="B48" i="13"/>
  <c r="E48" i="13"/>
  <c r="F48" i="13"/>
  <c r="G48" i="13"/>
  <c r="H48" i="13"/>
  <c r="J48" i="13"/>
  <c r="K48" i="13"/>
  <c r="L48" i="13"/>
  <c r="N48" i="13"/>
  <c r="O48" i="13"/>
  <c r="A49" i="13"/>
  <c r="B49" i="13"/>
  <c r="E49" i="13"/>
  <c r="F49" i="13"/>
  <c r="G49" i="13"/>
  <c r="H49" i="13"/>
  <c r="J49" i="13"/>
  <c r="K49" i="13"/>
  <c r="L49" i="13"/>
  <c r="N49" i="13"/>
  <c r="O49" i="13"/>
  <c r="A50" i="13"/>
  <c r="B50" i="13"/>
  <c r="E50" i="13"/>
  <c r="F50" i="13"/>
  <c r="G50" i="13"/>
  <c r="H50" i="13"/>
  <c r="J50" i="13"/>
  <c r="K50" i="13"/>
  <c r="L50" i="13"/>
  <c r="N50" i="13"/>
  <c r="O50" i="13"/>
  <c r="A51" i="13"/>
  <c r="B51" i="13"/>
  <c r="E51" i="13"/>
  <c r="F51" i="13"/>
  <c r="G51" i="13"/>
  <c r="H51" i="13"/>
  <c r="J51" i="13"/>
  <c r="K51" i="13"/>
  <c r="L51" i="13"/>
  <c r="N51" i="13"/>
  <c r="O51" i="13"/>
  <c r="A52" i="13"/>
  <c r="B52" i="13"/>
  <c r="E52" i="13"/>
  <c r="F52" i="13"/>
  <c r="G52" i="13"/>
  <c r="H52" i="13"/>
  <c r="J52" i="13"/>
  <c r="K52" i="13"/>
  <c r="L52" i="13"/>
  <c r="N52" i="13"/>
  <c r="O52" i="13"/>
  <c r="A53" i="13"/>
  <c r="B53" i="13"/>
  <c r="E53" i="13"/>
  <c r="F53" i="13"/>
  <c r="G53" i="13"/>
  <c r="H53" i="13"/>
  <c r="J53" i="13"/>
  <c r="K53" i="13"/>
  <c r="L53" i="13"/>
  <c r="N53" i="13"/>
  <c r="O53" i="13"/>
  <c r="B2" i="8"/>
  <c r="D5" i="8"/>
  <c r="E5" i="8"/>
  <c r="K5" i="8"/>
  <c r="L5" i="8"/>
  <c r="N5" i="8"/>
  <c r="O5" i="8"/>
  <c r="P5" i="8"/>
  <c r="D6" i="8"/>
  <c r="E6" i="8"/>
  <c r="G6" i="8"/>
  <c r="K6" i="8"/>
  <c r="L6" i="8"/>
  <c r="N6" i="8"/>
  <c r="P6" i="8"/>
  <c r="B8" i="8"/>
  <c r="D8" i="8"/>
  <c r="E8" i="8"/>
  <c r="G8" i="8"/>
  <c r="K8" i="8"/>
  <c r="L8" i="8"/>
  <c r="N8" i="8"/>
  <c r="O8" i="8"/>
  <c r="P8" i="8"/>
  <c r="R8" i="8"/>
  <c r="S8" i="8"/>
  <c r="T8" i="8"/>
  <c r="U8" i="8"/>
  <c r="V8" i="8"/>
  <c r="X8" i="8"/>
  <c r="Y8" i="8"/>
  <c r="Z8" i="8"/>
  <c r="AA8" i="8"/>
  <c r="AB8" i="8"/>
  <c r="AD8" i="8"/>
  <c r="AE8" i="8"/>
  <c r="AF8" i="8"/>
  <c r="AH8" i="8"/>
  <c r="AI8" i="8"/>
  <c r="AJ8" i="8"/>
  <c r="AK8" i="8"/>
  <c r="AL8" i="8"/>
  <c r="B9" i="8"/>
  <c r="D9" i="8"/>
  <c r="E9" i="8"/>
  <c r="G9" i="8"/>
  <c r="K9" i="8"/>
  <c r="L9" i="8"/>
  <c r="N9" i="8"/>
  <c r="O9" i="8"/>
  <c r="P9" i="8"/>
  <c r="R9" i="8"/>
  <c r="S9" i="8"/>
  <c r="T9" i="8"/>
  <c r="U9" i="8"/>
  <c r="V9" i="8"/>
  <c r="X9" i="8"/>
  <c r="Y9" i="8"/>
  <c r="Z9" i="8"/>
  <c r="AA9" i="8"/>
  <c r="AB9" i="8"/>
  <c r="AD9" i="8"/>
  <c r="AE9" i="8"/>
  <c r="AF9" i="8"/>
  <c r="AH9" i="8"/>
  <c r="AI9" i="8"/>
  <c r="AJ9" i="8"/>
  <c r="AK9" i="8"/>
  <c r="AL9" i="8"/>
  <c r="B10" i="8"/>
  <c r="D10" i="8"/>
  <c r="E10" i="8"/>
  <c r="G10" i="8"/>
  <c r="K10" i="8"/>
  <c r="L10" i="8"/>
  <c r="N10" i="8"/>
  <c r="O10" i="8"/>
  <c r="P10" i="8"/>
  <c r="R10" i="8"/>
  <c r="S10" i="8"/>
  <c r="T10" i="8"/>
  <c r="U10" i="8"/>
  <c r="V10" i="8"/>
  <c r="X10" i="8"/>
  <c r="Y10" i="8"/>
  <c r="Z10" i="8"/>
  <c r="AA10" i="8"/>
  <c r="AB10" i="8"/>
  <c r="AD10" i="8"/>
  <c r="AE10" i="8"/>
  <c r="AF10" i="8"/>
  <c r="AH10" i="8"/>
  <c r="AI10" i="8"/>
  <c r="AJ10" i="8"/>
  <c r="AK10" i="8"/>
  <c r="AL10" i="8"/>
  <c r="B11" i="8"/>
  <c r="D11" i="8"/>
  <c r="E11" i="8"/>
  <c r="G11" i="8"/>
  <c r="K11" i="8"/>
  <c r="L11" i="8"/>
  <c r="N11" i="8"/>
  <c r="O11" i="8"/>
  <c r="P11" i="8"/>
  <c r="R11" i="8"/>
  <c r="S11" i="8"/>
  <c r="T11" i="8"/>
  <c r="U11" i="8"/>
  <c r="V11" i="8"/>
  <c r="X11" i="8"/>
  <c r="Y11" i="8"/>
  <c r="Z11" i="8"/>
  <c r="AA11" i="8"/>
  <c r="AB11" i="8"/>
  <c r="AD11" i="8"/>
  <c r="AE11" i="8"/>
  <c r="AF11" i="8"/>
  <c r="AH11" i="8"/>
  <c r="AI11" i="8"/>
  <c r="AJ11" i="8"/>
  <c r="AK11" i="8"/>
  <c r="AL11" i="8"/>
  <c r="B12" i="8"/>
  <c r="D12" i="8"/>
  <c r="E12" i="8"/>
  <c r="G12" i="8"/>
  <c r="K12" i="8"/>
  <c r="L12" i="8"/>
  <c r="N12" i="8"/>
  <c r="O12" i="8"/>
  <c r="P12" i="8"/>
  <c r="R12" i="8"/>
  <c r="S12" i="8"/>
  <c r="T12" i="8"/>
  <c r="U12" i="8"/>
  <c r="V12" i="8"/>
  <c r="X12" i="8"/>
  <c r="Y12" i="8"/>
  <c r="Z12" i="8"/>
  <c r="AA12" i="8"/>
  <c r="AB12" i="8"/>
  <c r="AD12" i="8"/>
  <c r="AE12" i="8"/>
  <c r="AF12" i="8"/>
  <c r="AH12" i="8"/>
  <c r="AI12" i="8"/>
  <c r="AJ12" i="8"/>
  <c r="AK12" i="8"/>
  <c r="AL12" i="8"/>
  <c r="B13" i="8"/>
  <c r="D13" i="8"/>
  <c r="E13" i="8"/>
  <c r="G13" i="8"/>
  <c r="K13" i="8"/>
  <c r="L13" i="8"/>
  <c r="N13" i="8"/>
  <c r="O13" i="8"/>
  <c r="P13" i="8"/>
  <c r="R13" i="8"/>
  <c r="S13" i="8"/>
  <c r="T13" i="8"/>
  <c r="U13" i="8"/>
  <c r="V13" i="8"/>
  <c r="X13" i="8"/>
  <c r="Y13" i="8"/>
  <c r="Z13" i="8"/>
  <c r="AA13" i="8"/>
  <c r="AB13" i="8"/>
  <c r="AD13" i="8"/>
  <c r="AE13" i="8"/>
  <c r="AF13" i="8"/>
  <c r="AH13" i="8"/>
  <c r="AI13" i="8"/>
  <c r="AJ13" i="8"/>
  <c r="AK13" i="8"/>
  <c r="AL13" i="8"/>
  <c r="B14" i="8"/>
  <c r="D14" i="8"/>
  <c r="E14" i="8"/>
  <c r="G14" i="8"/>
  <c r="K14" i="8"/>
  <c r="L14" i="8"/>
  <c r="N14" i="8"/>
  <c r="O14" i="8"/>
  <c r="P14" i="8"/>
  <c r="R14" i="8"/>
  <c r="S14" i="8"/>
  <c r="T14" i="8"/>
  <c r="U14" i="8"/>
  <c r="V14" i="8"/>
  <c r="X14" i="8"/>
  <c r="Y14" i="8"/>
  <c r="Z14" i="8"/>
  <c r="AA14" i="8"/>
  <c r="AB14" i="8"/>
  <c r="AD14" i="8"/>
  <c r="AE14" i="8"/>
  <c r="AF14" i="8"/>
  <c r="AH14" i="8"/>
  <c r="AI14" i="8"/>
  <c r="AJ14" i="8"/>
  <c r="AK14" i="8"/>
  <c r="AL14" i="8"/>
  <c r="B15" i="8"/>
  <c r="D15" i="8"/>
  <c r="E15" i="8"/>
  <c r="G15" i="8"/>
  <c r="K15" i="8"/>
  <c r="L15" i="8"/>
  <c r="N15" i="8"/>
  <c r="O15" i="8"/>
  <c r="P15" i="8"/>
  <c r="R15" i="8"/>
  <c r="S15" i="8"/>
  <c r="T15" i="8"/>
  <c r="U15" i="8"/>
  <c r="V15" i="8"/>
  <c r="X15" i="8"/>
  <c r="Y15" i="8"/>
  <c r="Z15" i="8"/>
  <c r="AA15" i="8"/>
  <c r="AB15" i="8"/>
  <c r="AD15" i="8"/>
  <c r="AE15" i="8"/>
  <c r="AF15" i="8"/>
  <c r="AH15" i="8"/>
  <c r="AI15" i="8"/>
  <c r="AJ15" i="8"/>
  <c r="AK15" i="8"/>
  <c r="AL15" i="8"/>
  <c r="B16" i="8"/>
  <c r="D16" i="8"/>
  <c r="E16" i="8"/>
  <c r="G16" i="8"/>
  <c r="K16" i="8"/>
  <c r="L16" i="8"/>
  <c r="N16" i="8"/>
  <c r="O16" i="8"/>
  <c r="P16" i="8"/>
  <c r="R16" i="8"/>
  <c r="S16" i="8"/>
  <c r="T16" i="8"/>
  <c r="U16" i="8"/>
  <c r="V16" i="8"/>
  <c r="X16" i="8"/>
  <c r="Y16" i="8"/>
  <c r="Z16" i="8"/>
  <c r="AA16" i="8"/>
  <c r="AB16" i="8"/>
  <c r="AD16" i="8"/>
  <c r="AE16" i="8"/>
  <c r="AF16" i="8"/>
  <c r="AH16" i="8"/>
  <c r="AI16" i="8"/>
  <c r="AJ16" i="8"/>
  <c r="AK16" i="8"/>
  <c r="AL16" i="8"/>
  <c r="B17" i="8"/>
  <c r="D17" i="8"/>
  <c r="E17" i="8"/>
  <c r="G17" i="8"/>
  <c r="K17" i="8"/>
  <c r="L17" i="8"/>
  <c r="N17" i="8"/>
  <c r="O17" i="8"/>
  <c r="P17" i="8"/>
  <c r="R17" i="8"/>
  <c r="S17" i="8"/>
  <c r="T17" i="8"/>
  <c r="U17" i="8"/>
  <c r="V17" i="8"/>
  <c r="X17" i="8"/>
  <c r="Y17" i="8"/>
  <c r="Z17" i="8"/>
  <c r="AA17" i="8"/>
  <c r="AB17" i="8"/>
  <c r="AD17" i="8"/>
  <c r="AE17" i="8"/>
  <c r="AF17" i="8"/>
  <c r="AH17" i="8"/>
  <c r="AI17" i="8"/>
  <c r="AJ17" i="8"/>
  <c r="AK17" i="8"/>
  <c r="AL17" i="8"/>
  <c r="B18" i="8"/>
  <c r="D18" i="8"/>
  <c r="E18" i="8"/>
  <c r="G18" i="8"/>
  <c r="K18" i="8"/>
  <c r="L18" i="8"/>
  <c r="N18" i="8"/>
  <c r="O18" i="8"/>
  <c r="P18" i="8"/>
  <c r="R18" i="8"/>
  <c r="S18" i="8"/>
  <c r="T18" i="8"/>
  <c r="U18" i="8"/>
  <c r="V18" i="8"/>
  <c r="X18" i="8"/>
  <c r="Y18" i="8"/>
  <c r="Z18" i="8"/>
  <c r="AA18" i="8"/>
  <c r="AB18" i="8"/>
  <c r="AD18" i="8"/>
  <c r="AE18" i="8"/>
  <c r="AF18" i="8"/>
  <c r="AH18" i="8"/>
  <c r="AI18" i="8"/>
  <c r="AJ18" i="8"/>
  <c r="AK18" i="8"/>
  <c r="AL18" i="8"/>
  <c r="B19" i="8"/>
  <c r="D19" i="8"/>
  <c r="E19" i="8"/>
  <c r="G19" i="8"/>
  <c r="K19" i="8"/>
  <c r="L19" i="8"/>
  <c r="N19" i="8"/>
  <c r="O19" i="8"/>
  <c r="P19" i="8"/>
  <c r="R19" i="8"/>
  <c r="S19" i="8"/>
  <c r="T19" i="8"/>
  <c r="U19" i="8"/>
  <c r="V19" i="8"/>
  <c r="X19" i="8"/>
  <c r="Y19" i="8"/>
  <c r="Z19" i="8"/>
  <c r="AA19" i="8"/>
  <c r="AB19" i="8"/>
  <c r="AD19" i="8"/>
  <c r="AE19" i="8"/>
  <c r="AF19" i="8"/>
  <c r="AH19" i="8"/>
  <c r="AI19" i="8"/>
  <c r="AJ19" i="8"/>
  <c r="AK19" i="8"/>
  <c r="AL19" i="8"/>
  <c r="B20" i="8"/>
  <c r="D20" i="8"/>
  <c r="E20" i="8"/>
  <c r="G20" i="8"/>
  <c r="K20" i="8"/>
  <c r="L20" i="8"/>
  <c r="N20" i="8"/>
  <c r="O20" i="8"/>
  <c r="P20" i="8"/>
  <c r="R20" i="8"/>
  <c r="S20" i="8"/>
  <c r="T20" i="8"/>
  <c r="U20" i="8"/>
  <c r="V20" i="8"/>
  <c r="X20" i="8"/>
  <c r="Y20" i="8"/>
  <c r="Z20" i="8"/>
  <c r="AA20" i="8"/>
  <c r="AB20" i="8"/>
  <c r="AD20" i="8"/>
  <c r="AE20" i="8"/>
  <c r="AF20" i="8"/>
  <c r="AH20" i="8"/>
  <c r="AI20" i="8"/>
  <c r="AJ20" i="8"/>
  <c r="AK20" i="8"/>
  <c r="AL20" i="8"/>
  <c r="B21" i="8"/>
  <c r="D21" i="8"/>
  <c r="E21" i="8"/>
  <c r="G21" i="8"/>
  <c r="K21" i="8"/>
  <c r="L21" i="8"/>
  <c r="N21" i="8"/>
  <c r="O21" i="8"/>
  <c r="P21" i="8"/>
  <c r="R21" i="8"/>
  <c r="S21" i="8"/>
  <c r="T21" i="8"/>
  <c r="U21" i="8"/>
  <c r="V21" i="8"/>
  <c r="X21" i="8"/>
  <c r="Y21" i="8"/>
  <c r="Z21" i="8"/>
  <c r="AA21" i="8"/>
  <c r="AB21" i="8"/>
  <c r="AD21" i="8"/>
  <c r="AE21" i="8"/>
  <c r="AF21" i="8"/>
  <c r="AH21" i="8"/>
  <c r="AI21" i="8"/>
  <c r="AJ21" i="8"/>
  <c r="AK21" i="8"/>
  <c r="AL21" i="8"/>
  <c r="B22" i="8"/>
  <c r="D22" i="8"/>
  <c r="E22" i="8"/>
  <c r="G22" i="8"/>
  <c r="K22" i="8"/>
  <c r="L22" i="8"/>
  <c r="N22" i="8"/>
  <c r="O22" i="8"/>
  <c r="P22" i="8"/>
  <c r="R22" i="8"/>
  <c r="S22" i="8"/>
  <c r="T22" i="8"/>
  <c r="U22" i="8"/>
  <c r="V22" i="8"/>
  <c r="X22" i="8"/>
  <c r="Y22" i="8"/>
  <c r="Z22" i="8"/>
  <c r="AA22" i="8"/>
  <c r="AB22" i="8"/>
  <c r="AD22" i="8"/>
  <c r="AE22" i="8"/>
  <c r="AF22" i="8"/>
  <c r="AH22" i="8"/>
  <c r="AI22" i="8"/>
  <c r="AJ22" i="8"/>
  <c r="AK22" i="8"/>
  <c r="AL22" i="8"/>
  <c r="B23" i="8"/>
  <c r="D23" i="8"/>
  <c r="E23" i="8"/>
  <c r="G23" i="8"/>
  <c r="K23" i="8"/>
  <c r="L23" i="8"/>
  <c r="N23" i="8"/>
  <c r="O23" i="8"/>
  <c r="P23" i="8"/>
  <c r="R23" i="8"/>
  <c r="S23" i="8"/>
  <c r="T23" i="8"/>
  <c r="U23" i="8"/>
  <c r="V23" i="8"/>
  <c r="X23" i="8"/>
  <c r="Y23" i="8"/>
  <c r="Z23" i="8"/>
  <c r="AA23" i="8"/>
  <c r="AB23" i="8"/>
  <c r="AD23" i="8"/>
  <c r="AE23" i="8"/>
  <c r="AF23" i="8"/>
  <c r="AH23" i="8"/>
  <c r="AI23" i="8"/>
  <c r="AJ23" i="8"/>
  <c r="AK23" i="8"/>
  <c r="AL23" i="8"/>
  <c r="B24" i="8"/>
  <c r="D24" i="8"/>
  <c r="E24" i="8"/>
  <c r="G24" i="8"/>
  <c r="K24" i="8"/>
  <c r="L24" i="8"/>
  <c r="N24" i="8"/>
  <c r="O24" i="8"/>
  <c r="P24" i="8"/>
  <c r="R24" i="8"/>
  <c r="S24" i="8"/>
  <c r="T24" i="8"/>
  <c r="U24" i="8"/>
  <c r="V24" i="8"/>
  <c r="X24" i="8"/>
  <c r="Y24" i="8"/>
  <c r="Z24" i="8"/>
  <c r="AA24" i="8"/>
  <c r="AB24" i="8"/>
  <c r="AD24" i="8"/>
  <c r="AE24" i="8"/>
  <c r="AF24" i="8"/>
  <c r="AH24" i="8"/>
  <c r="AI24" i="8"/>
  <c r="AJ24" i="8"/>
  <c r="AK24" i="8"/>
  <c r="AL24" i="8"/>
  <c r="B25" i="8"/>
  <c r="D25" i="8"/>
  <c r="E25" i="8"/>
  <c r="G25" i="8"/>
  <c r="K25" i="8"/>
  <c r="L25" i="8"/>
  <c r="N25" i="8"/>
  <c r="O25" i="8"/>
  <c r="P25" i="8"/>
  <c r="R25" i="8"/>
  <c r="S25" i="8"/>
  <c r="T25" i="8"/>
  <c r="U25" i="8"/>
  <c r="V25" i="8"/>
  <c r="X25" i="8"/>
  <c r="Y25" i="8"/>
  <c r="Z25" i="8"/>
  <c r="AA25" i="8"/>
  <c r="AB25" i="8"/>
  <c r="AD25" i="8"/>
  <c r="AE25" i="8"/>
  <c r="AF25" i="8"/>
  <c r="AH25" i="8"/>
  <c r="AI25" i="8"/>
  <c r="AJ25" i="8"/>
  <c r="AK25" i="8"/>
  <c r="AL25" i="8"/>
  <c r="B26" i="8"/>
  <c r="D26" i="8"/>
  <c r="E26" i="8"/>
  <c r="G26" i="8"/>
  <c r="K26" i="8"/>
  <c r="L26" i="8"/>
  <c r="N26" i="8"/>
  <c r="O26" i="8"/>
  <c r="P26" i="8"/>
  <c r="R26" i="8"/>
  <c r="S26" i="8"/>
  <c r="T26" i="8"/>
  <c r="U26" i="8"/>
  <c r="V26" i="8"/>
  <c r="X26" i="8"/>
  <c r="Y26" i="8"/>
  <c r="Z26" i="8"/>
  <c r="AA26" i="8"/>
  <c r="AB26" i="8"/>
  <c r="AD26" i="8"/>
  <c r="AE26" i="8"/>
  <c r="AF26" i="8"/>
  <c r="AH26" i="8"/>
  <c r="AI26" i="8"/>
  <c r="AJ26" i="8"/>
  <c r="AK26" i="8"/>
  <c r="AL26" i="8"/>
  <c r="B27" i="8"/>
  <c r="D27" i="8"/>
  <c r="E27" i="8"/>
  <c r="G27" i="8"/>
  <c r="K27" i="8"/>
  <c r="L27" i="8"/>
  <c r="N27" i="8"/>
  <c r="O27" i="8"/>
  <c r="P27" i="8"/>
  <c r="R27" i="8"/>
  <c r="S27" i="8"/>
  <c r="T27" i="8"/>
  <c r="U27" i="8"/>
  <c r="V27" i="8"/>
  <c r="X27" i="8"/>
  <c r="Y27" i="8"/>
  <c r="Z27" i="8"/>
  <c r="AA27" i="8"/>
  <c r="AB27" i="8"/>
  <c r="AD27" i="8"/>
  <c r="AE27" i="8"/>
  <c r="AF27" i="8"/>
  <c r="AH27" i="8"/>
  <c r="AI27" i="8"/>
  <c r="AJ27" i="8"/>
  <c r="AK27" i="8"/>
  <c r="AL27" i="8"/>
  <c r="B28" i="8"/>
  <c r="D28" i="8"/>
  <c r="E28" i="8"/>
  <c r="G28" i="8"/>
  <c r="K28" i="8"/>
  <c r="L28" i="8"/>
  <c r="N28" i="8"/>
  <c r="O28" i="8"/>
  <c r="P28" i="8"/>
  <c r="R28" i="8"/>
  <c r="S28" i="8"/>
  <c r="T28" i="8"/>
  <c r="U28" i="8"/>
  <c r="V28" i="8"/>
  <c r="X28" i="8"/>
  <c r="Y28" i="8"/>
  <c r="Z28" i="8"/>
  <c r="AA28" i="8"/>
  <c r="AB28" i="8"/>
  <c r="AD28" i="8"/>
  <c r="AE28" i="8"/>
  <c r="AF28" i="8"/>
  <c r="AH28" i="8"/>
  <c r="AI28" i="8"/>
  <c r="AJ28" i="8"/>
  <c r="AK28" i="8"/>
  <c r="AL28" i="8"/>
  <c r="B29" i="8"/>
  <c r="D29" i="8"/>
  <c r="E29" i="8"/>
  <c r="G29" i="8"/>
  <c r="K29" i="8"/>
  <c r="L29" i="8"/>
  <c r="N29" i="8"/>
  <c r="O29" i="8"/>
  <c r="P29" i="8"/>
  <c r="R29" i="8"/>
  <c r="S29" i="8"/>
  <c r="T29" i="8"/>
  <c r="U29" i="8"/>
  <c r="V29" i="8"/>
  <c r="X29" i="8"/>
  <c r="Y29" i="8"/>
  <c r="Z29" i="8"/>
  <c r="AA29" i="8"/>
  <c r="AB29" i="8"/>
  <c r="AD29" i="8"/>
  <c r="AE29" i="8"/>
  <c r="AF29" i="8"/>
  <c r="AH29" i="8"/>
  <c r="AI29" i="8"/>
  <c r="AJ29" i="8"/>
  <c r="AK29" i="8"/>
  <c r="AL29" i="8"/>
  <c r="B30" i="8"/>
  <c r="D30" i="8"/>
  <c r="E30" i="8"/>
  <c r="G30" i="8"/>
  <c r="K30" i="8"/>
  <c r="L30" i="8"/>
  <c r="N30" i="8"/>
  <c r="O30" i="8"/>
  <c r="P30" i="8"/>
  <c r="R30" i="8"/>
  <c r="S30" i="8"/>
  <c r="T30" i="8"/>
  <c r="U30" i="8"/>
  <c r="V30" i="8"/>
  <c r="X30" i="8"/>
  <c r="Y30" i="8"/>
  <c r="Z30" i="8"/>
  <c r="AA30" i="8"/>
  <c r="AB30" i="8"/>
  <c r="AD30" i="8"/>
  <c r="AE30" i="8"/>
  <c r="AF30" i="8"/>
  <c r="AH30" i="8"/>
  <c r="AI30" i="8"/>
  <c r="AJ30" i="8"/>
  <c r="AK30" i="8"/>
  <c r="AL30" i="8"/>
  <c r="B31" i="8"/>
  <c r="D31" i="8"/>
  <c r="E31" i="8"/>
  <c r="G31" i="8"/>
  <c r="K31" i="8"/>
  <c r="L31" i="8"/>
  <c r="N31" i="8"/>
  <c r="O31" i="8"/>
  <c r="P31" i="8"/>
  <c r="R31" i="8"/>
  <c r="S31" i="8"/>
  <c r="T31" i="8"/>
  <c r="U31" i="8"/>
  <c r="V31" i="8"/>
  <c r="X31" i="8"/>
  <c r="Y31" i="8"/>
  <c r="Z31" i="8"/>
  <c r="AA31" i="8"/>
  <c r="AB31" i="8"/>
  <c r="AD31" i="8"/>
  <c r="AE31" i="8"/>
  <c r="AF31" i="8"/>
  <c r="AH31" i="8"/>
  <c r="AI31" i="8"/>
  <c r="AJ31" i="8"/>
  <c r="AK31" i="8"/>
  <c r="AL31" i="8"/>
  <c r="B32" i="8"/>
  <c r="D32" i="8"/>
  <c r="E32" i="8"/>
  <c r="G32" i="8"/>
  <c r="K32" i="8"/>
  <c r="L32" i="8"/>
  <c r="N32" i="8"/>
  <c r="O32" i="8"/>
  <c r="P32" i="8"/>
  <c r="R32" i="8"/>
  <c r="S32" i="8"/>
  <c r="T32" i="8"/>
  <c r="U32" i="8"/>
  <c r="V32" i="8"/>
  <c r="X32" i="8"/>
  <c r="Y32" i="8"/>
  <c r="Z32" i="8"/>
  <c r="AA32" i="8"/>
  <c r="AB32" i="8"/>
  <c r="AD32" i="8"/>
  <c r="AE32" i="8"/>
  <c r="AF32" i="8"/>
  <c r="AH32" i="8"/>
  <c r="AI32" i="8"/>
  <c r="AJ32" i="8"/>
  <c r="AK32" i="8"/>
  <c r="AL32" i="8"/>
  <c r="B33" i="8"/>
  <c r="D33" i="8"/>
  <c r="E33" i="8"/>
  <c r="G33" i="8"/>
  <c r="K33" i="8"/>
  <c r="L33" i="8"/>
  <c r="N33" i="8"/>
  <c r="O33" i="8"/>
  <c r="P33" i="8"/>
  <c r="R33" i="8"/>
  <c r="S33" i="8"/>
  <c r="T33" i="8"/>
  <c r="U33" i="8"/>
  <c r="V33" i="8"/>
  <c r="X33" i="8"/>
  <c r="Y33" i="8"/>
  <c r="Z33" i="8"/>
  <c r="AA33" i="8"/>
  <c r="AB33" i="8"/>
  <c r="AD33" i="8"/>
  <c r="AE33" i="8"/>
  <c r="AF33" i="8"/>
  <c r="AH33" i="8"/>
  <c r="AI33" i="8"/>
  <c r="AJ33" i="8"/>
  <c r="AK33" i="8"/>
  <c r="AL33" i="8"/>
  <c r="B34" i="8"/>
  <c r="D34" i="8"/>
  <c r="E34" i="8"/>
  <c r="G34" i="8"/>
  <c r="K34" i="8"/>
  <c r="L34" i="8"/>
  <c r="N34" i="8"/>
  <c r="O34" i="8"/>
  <c r="P34" i="8"/>
  <c r="R34" i="8"/>
  <c r="S34" i="8"/>
  <c r="T34" i="8"/>
  <c r="U34" i="8"/>
  <c r="V34" i="8"/>
  <c r="X34" i="8"/>
  <c r="Y34" i="8"/>
  <c r="Z34" i="8"/>
  <c r="AA34" i="8"/>
  <c r="AB34" i="8"/>
  <c r="AD34" i="8"/>
  <c r="AE34" i="8"/>
  <c r="AF34" i="8"/>
  <c r="AH34" i="8"/>
  <c r="AI34" i="8"/>
  <c r="AJ34" i="8"/>
  <c r="AK34" i="8"/>
  <c r="AL34" i="8"/>
  <c r="B35" i="8"/>
  <c r="D35" i="8"/>
  <c r="E35" i="8"/>
  <c r="G35" i="8"/>
  <c r="K35" i="8"/>
  <c r="L35" i="8"/>
  <c r="N35" i="8"/>
  <c r="O35" i="8"/>
  <c r="P35" i="8"/>
  <c r="R35" i="8"/>
  <c r="S35" i="8"/>
  <c r="T35" i="8"/>
  <c r="U35" i="8"/>
  <c r="V35" i="8"/>
  <c r="X35" i="8"/>
  <c r="Y35" i="8"/>
  <c r="Z35" i="8"/>
  <c r="AA35" i="8"/>
  <c r="AB35" i="8"/>
  <c r="AD35" i="8"/>
  <c r="AE35" i="8"/>
  <c r="AF35" i="8"/>
  <c r="AH35" i="8"/>
  <c r="AI35" i="8"/>
  <c r="AJ35" i="8"/>
  <c r="AK35" i="8"/>
  <c r="AL35" i="8"/>
  <c r="B36" i="8"/>
  <c r="D36" i="8"/>
  <c r="E36" i="8"/>
  <c r="G36" i="8"/>
  <c r="K36" i="8"/>
  <c r="L36" i="8"/>
  <c r="N36" i="8"/>
  <c r="O36" i="8"/>
  <c r="P36" i="8"/>
  <c r="R36" i="8"/>
  <c r="S36" i="8"/>
  <c r="T36" i="8"/>
  <c r="U36" i="8"/>
  <c r="V36" i="8"/>
  <c r="X36" i="8"/>
  <c r="Y36" i="8"/>
  <c r="Z36" i="8"/>
  <c r="AA36" i="8"/>
  <c r="AB36" i="8"/>
  <c r="AD36" i="8"/>
  <c r="AE36" i="8"/>
  <c r="AF36" i="8"/>
  <c r="AH36" i="8"/>
  <c r="AI36" i="8"/>
  <c r="AJ36" i="8"/>
  <c r="AK36" i="8"/>
  <c r="AL36" i="8"/>
  <c r="B37" i="8"/>
  <c r="D37" i="8"/>
  <c r="E37" i="8"/>
  <c r="G37" i="8"/>
  <c r="K37" i="8"/>
  <c r="L37" i="8"/>
  <c r="N37" i="8"/>
  <c r="O37" i="8"/>
  <c r="P37" i="8"/>
  <c r="R37" i="8"/>
  <c r="S37" i="8"/>
  <c r="T37" i="8"/>
  <c r="U37" i="8"/>
  <c r="V37" i="8"/>
  <c r="X37" i="8"/>
  <c r="Y37" i="8"/>
  <c r="Z37" i="8"/>
  <c r="AA37" i="8"/>
  <c r="AB37" i="8"/>
  <c r="AD37" i="8"/>
  <c r="AE37" i="8"/>
  <c r="AF37" i="8"/>
  <c r="AH37" i="8"/>
  <c r="AI37" i="8"/>
  <c r="AJ37" i="8"/>
  <c r="AK37" i="8"/>
  <c r="AL37" i="8"/>
  <c r="T39" i="8"/>
  <c r="AG42" i="8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B7" i="16"/>
  <c r="B10" i="16"/>
  <c r="B12" i="16"/>
  <c r="B13" i="16"/>
  <c r="B14" i="16"/>
  <c r="B16" i="16"/>
  <c r="B18" i="16"/>
  <c r="B7" i="7"/>
  <c r="B13" i="7"/>
  <c r="C13" i="7"/>
  <c r="B14" i="7"/>
  <c r="C14" i="7"/>
  <c r="B15" i="7"/>
  <c r="C15" i="7"/>
  <c r="B16" i="7"/>
  <c r="C16" i="7"/>
  <c r="B17" i="7"/>
  <c r="C17" i="7"/>
  <c r="B22" i="7"/>
  <c r="C22" i="7"/>
  <c r="D22" i="7"/>
  <c r="E22" i="7"/>
  <c r="F22" i="7"/>
  <c r="G22" i="7"/>
  <c r="H22" i="7"/>
  <c r="I22" i="7"/>
  <c r="J22" i="7"/>
  <c r="K22" i="7"/>
  <c r="B24" i="7"/>
  <c r="C24" i="7"/>
  <c r="D24" i="7"/>
  <c r="E24" i="7"/>
  <c r="F24" i="7"/>
  <c r="B25" i="7"/>
  <c r="C25" i="7"/>
  <c r="D25" i="7"/>
  <c r="E25" i="7"/>
  <c r="B29" i="7"/>
  <c r="C29" i="7"/>
  <c r="D29" i="7"/>
  <c r="B30" i="7"/>
  <c r="C30" i="7"/>
  <c r="D30" i="7"/>
  <c r="B34" i="7"/>
  <c r="C34" i="7"/>
  <c r="D34" i="7"/>
  <c r="B35" i="7"/>
  <c r="C35" i="7"/>
  <c r="D35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T56" i="7"/>
  <c r="U56" i="7"/>
  <c r="V56" i="7"/>
  <c r="W56" i="7"/>
  <c r="X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T57" i="7"/>
  <c r="U57" i="7"/>
  <c r="V57" i="7"/>
  <c r="W57" i="7"/>
  <c r="X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T58" i="7"/>
  <c r="U58" i="7"/>
  <c r="V58" i="7"/>
  <c r="W58" i="7"/>
  <c r="X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T59" i="7"/>
  <c r="U59" i="7"/>
  <c r="V59" i="7"/>
  <c r="W59" i="7"/>
  <c r="X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T60" i="7"/>
  <c r="U60" i="7"/>
  <c r="V60" i="7"/>
  <c r="W60" i="7"/>
  <c r="X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T61" i="7"/>
  <c r="U61" i="7"/>
  <c r="V61" i="7"/>
  <c r="W61" i="7"/>
  <c r="X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T62" i="7"/>
  <c r="U62" i="7"/>
  <c r="V62" i="7"/>
  <c r="W62" i="7"/>
  <c r="X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T63" i="7"/>
  <c r="U63" i="7"/>
  <c r="V63" i="7"/>
  <c r="W63" i="7"/>
  <c r="X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T64" i="7"/>
  <c r="U64" i="7"/>
  <c r="V64" i="7"/>
  <c r="W64" i="7"/>
  <c r="X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T65" i="7"/>
  <c r="U65" i="7"/>
  <c r="V65" i="7"/>
  <c r="W65" i="7"/>
  <c r="X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T66" i="7"/>
  <c r="U66" i="7"/>
  <c r="V66" i="7"/>
  <c r="W66" i="7"/>
  <c r="X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T67" i="7"/>
  <c r="U67" i="7"/>
  <c r="V67" i="7"/>
  <c r="W67" i="7"/>
  <c r="X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T68" i="7"/>
  <c r="U68" i="7"/>
  <c r="V68" i="7"/>
  <c r="W68" i="7"/>
  <c r="X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T69" i="7"/>
  <c r="U69" i="7"/>
  <c r="V69" i="7"/>
  <c r="W69" i="7"/>
  <c r="X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T70" i="7"/>
  <c r="U70" i="7"/>
  <c r="V70" i="7"/>
  <c r="W70" i="7"/>
  <c r="X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T71" i="7"/>
  <c r="U71" i="7"/>
  <c r="V71" i="7"/>
  <c r="W71" i="7"/>
  <c r="X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T72" i="7"/>
  <c r="U72" i="7"/>
  <c r="V72" i="7"/>
  <c r="W72" i="7"/>
  <c r="X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T73" i="7"/>
  <c r="U73" i="7"/>
  <c r="V73" i="7"/>
  <c r="W73" i="7"/>
  <c r="X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T74" i="7"/>
  <c r="U74" i="7"/>
  <c r="V74" i="7"/>
  <c r="W74" i="7"/>
  <c r="X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T75" i="7"/>
  <c r="U75" i="7"/>
  <c r="V75" i="7"/>
  <c r="W75" i="7"/>
  <c r="X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T76" i="7"/>
  <c r="U76" i="7"/>
  <c r="V76" i="7"/>
  <c r="W76" i="7"/>
  <c r="X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T77" i="7"/>
  <c r="U77" i="7"/>
  <c r="V77" i="7"/>
  <c r="W77" i="7"/>
  <c r="X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T78" i="7"/>
  <c r="U78" i="7"/>
  <c r="V78" i="7"/>
  <c r="W78" i="7"/>
  <c r="X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T79" i="7"/>
  <c r="U79" i="7"/>
  <c r="V79" i="7"/>
  <c r="W79" i="7"/>
  <c r="X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T80" i="7"/>
  <c r="U80" i="7"/>
  <c r="V80" i="7"/>
  <c r="W80" i="7"/>
  <c r="X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T81" i="7"/>
  <c r="U81" i="7"/>
  <c r="V81" i="7"/>
  <c r="W81" i="7"/>
  <c r="X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T82" i="7"/>
  <c r="U82" i="7"/>
  <c r="V82" i="7"/>
  <c r="W82" i="7"/>
  <c r="X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T83" i="7"/>
  <c r="U83" i="7"/>
  <c r="V83" i="7"/>
  <c r="W83" i="7"/>
  <c r="X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T84" i="7"/>
  <c r="U84" i="7"/>
  <c r="V84" i="7"/>
  <c r="W84" i="7"/>
  <c r="X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T85" i="7"/>
  <c r="U85" i="7"/>
  <c r="V85" i="7"/>
  <c r="W85" i="7"/>
  <c r="X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T86" i="7"/>
  <c r="U86" i="7"/>
  <c r="V86" i="7"/>
  <c r="W86" i="7"/>
  <c r="X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T87" i="7"/>
  <c r="U87" i="7"/>
  <c r="V87" i="7"/>
  <c r="W87" i="7"/>
  <c r="X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T88" i="7"/>
  <c r="U88" i="7"/>
  <c r="V88" i="7"/>
  <c r="W88" i="7"/>
  <c r="X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T89" i="7"/>
  <c r="U89" i="7"/>
  <c r="V89" i="7"/>
  <c r="W89" i="7"/>
  <c r="X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T90" i="7"/>
  <c r="U90" i="7"/>
  <c r="V90" i="7"/>
  <c r="W90" i="7"/>
  <c r="X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T91" i="7"/>
  <c r="U91" i="7"/>
  <c r="V91" i="7"/>
  <c r="W91" i="7"/>
  <c r="X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T92" i="7"/>
  <c r="U92" i="7"/>
  <c r="V92" i="7"/>
  <c r="W92" i="7"/>
  <c r="X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T93" i="7"/>
  <c r="U93" i="7"/>
  <c r="V93" i="7"/>
  <c r="W93" i="7"/>
  <c r="X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T94" i="7"/>
  <c r="U94" i="7"/>
  <c r="V94" i="7"/>
  <c r="W94" i="7"/>
  <c r="X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T95" i="7"/>
  <c r="U95" i="7"/>
  <c r="V95" i="7"/>
  <c r="W95" i="7"/>
  <c r="X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T96" i="7"/>
  <c r="U96" i="7"/>
  <c r="V96" i="7"/>
  <c r="W96" i="7"/>
  <c r="X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T97" i="7"/>
  <c r="U97" i="7"/>
  <c r="V97" i="7"/>
  <c r="W97" i="7"/>
  <c r="X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T98" i="7"/>
  <c r="U98" i="7"/>
  <c r="V98" i="7"/>
  <c r="W98" i="7"/>
  <c r="X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T99" i="7"/>
  <c r="U99" i="7"/>
  <c r="V99" i="7"/>
  <c r="W99" i="7"/>
  <c r="X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T100" i="7"/>
  <c r="U100" i="7"/>
  <c r="V100" i="7"/>
  <c r="W100" i="7"/>
  <c r="X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T101" i="7"/>
  <c r="U101" i="7"/>
  <c r="V101" i="7"/>
  <c r="W101" i="7"/>
  <c r="X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T102" i="7"/>
  <c r="U102" i="7"/>
  <c r="V102" i="7"/>
  <c r="W102" i="7"/>
  <c r="X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T103" i="7"/>
  <c r="U103" i="7"/>
  <c r="V103" i="7"/>
  <c r="W103" i="7"/>
  <c r="X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T104" i="7"/>
  <c r="U104" i="7"/>
  <c r="V104" i="7"/>
  <c r="W104" i="7"/>
  <c r="X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T105" i="7"/>
  <c r="U105" i="7"/>
  <c r="V105" i="7"/>
  <c r="W105" i="7"/>
  <c r="X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T106" i="7"/>
  <c r="U106" i="7"/>
  <c r="V106" i="7"/>
  <c r="W106" i="7"/>
  <c r="X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T107" i="7"/>
  <c r="U107" i="7"/>
  <c r="V107" i="7"/>
  <c r="W107" i="7"/>
  <c r="X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T108" i="7"/>
  <c r="U108" i="7"/>
  <c r="V108" i="7"/>
  <c r="W108" i="7"/>
  <c r="X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T109" i="7"/>
  <c r="U109" i="7"/>
  <c r="V109" i="7"/>
  <c r="W109" i="7"/>
  <c r="X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T110" i="7"/>
  <c r="U110" i="7"/>
  <c r="V110" i="7"/>
  <c r="W110" i="7"/>
  <c r="X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T111" i="7"/>
  <c r="U111" i="7"/>
  <c r="V111" i="7"/>
  <c r="W111" i="7"/>
  <c r="X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T112" i="7"/>
  <c r="U112" i="7"/>
  <c r="V112" i="7"/>
  <c r="W112" i="7"/>
  <c r="X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T113" i="7"/>
  <c r="U113" i="7"/>
  <c r="V113" i="7"/>
  <c r="W113" i="7"/>
  <c r="X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T114" i="7"/>
  <c r="U114" i="7"/>
  <c r="V114" i="7"/>
  <c r="W114" i="7"/>
  <c r="X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T115" i="7"/>
  <c r="U115" i="7"/>
  <c r="V115" i="7"/>
  <c r="W115" i="7"/>
  <c r="X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T116" i="7"/>
  <c r="U116" i="7"/>
  <c r="V116" i="7"/>
  <c r="W116" i="7"/>
  <c r="X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T117" i="7"/>
  <c r="U117" i="7"/>
  <c r="V117" i="7"/>
  <c r="W117" i="7"/>
  <c r="X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T118" i="7"/>
  <c r="U118" i="7"/>
  <c r="V118" i="7"/>
  <c r="W118" i="7"/>
  <c r="X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T119" i="7"/>
  <c r="U119" i="7"/>
  <c r="V119" i="7"/>
  <c r="W119" i="7"/>
  <c r="X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T120" i="7"/>
  <c r="U120" i="7"/>
  <c r="V120" i="7"/>
  <c r="W120" i="7"/>
  <c r="X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T121" i="7"/>
  <c r="U121" i="7"/>
  <c r="V121" i="7"/>
  <c r="W121" i="7"/>
  <c r="X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T122" i="7"/>
  <c r="U122" i="7"/>
  <c r="V122" i="7"/>
  <c r="W122" i="7"/>
  <c r="X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T123" i="7"/>
  <c r="U123" i="7"/>
  <c r="V123" i="7"/>
  <c r="W123" i="7"/>
  <c r="X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T124" i="7"/>
  <c r="U124" i="7"/>
  <c r="V124" i="7"/>
  <c r="W124" i="7"/>
  <c r="X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T125" i="7"/>
  <c r="U125" i="7"/>
  <c r="V125" i="7"/>
  <c r="W125" i="7"/>
  <c r="X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T126" i="7"/>
  <c r="U126" i="7"/>
  <c r="V126" i="7"/>
  <c r="W126" i="7"/>
  <c r="X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T127" i="7"/>
  <c r="U127" i="7"/>
  <c r="V127" i="7"/>
  <c r="W127" i="7"/>
  <c r="X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T128" i="7"/>
  <c r="U128" i="7"/>
  <c r="V128" i="7"/>
  <c r="W128" i="7"/>
  <c r="X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T129" i="7"/>
  <c r="U129" i="7"/>
  <c r="V129" i="7"/>
  <c r="W129" i="7"/>
  <c r="X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T130" i="7"/>
  <c r="U130" i="7"/>
  <c r="V130" i="7"/>
  <c r="W130" i="7"/>
  <c r="X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T131" i="7"/>
  <c r="U131" i="7"/>
  <c r="V131" i="7"/>
  <c r="W131" i="7"/>
  <c r="X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T132" i="7"/>
  <c r="U132" i="7"/>
  <c r="V132" i="7"/>
  <c r="W132" i="7"/>
  <c r="X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T133" i="7"/>
  <c r="U133" i="7"/>
  <c r="V133" i="7"/>
  <c r="W133" i="7"/>
  <c r="X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T134" i="7"/>
  <c r="U134" i="7"/>
  <c r="V134" i="7"/>
  <c r="W134" i="7"/>
  <c r="X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T135" i="7"/>
  <c r="U135" i="7"/>
  <c r="V135" i="7"/>
  <c r="W135" i="7"/>
  <c r="X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T136" i="7"/>
  <c r="U136" i="7"/>
  <c r="V136" i="7"/>
  <c r="W136" i="7"/>
  <c r="X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T137" i="7"/>
  <c r="U137" i="7"/>
  <c r="V137" i="7"/>
  <c r="W137" i="7"/>
  <c r="X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T138" i="7"/>
  <c r="U138" i="7"/>
  <c r="V138" i="7"/>
  <c r="W138" i="7"/>
  <c r="X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T139" i="7"/>
  <c r="U139" i="7"/>
  <c r="V139" i="7"/>
  <c r="W139" i="7"/>
  <c r="X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T140" i="7"/>
  <c r="U140" i="7"/>
  <c r="V140" i="7"/>
  <c r="W140" i="7"/>
  <c r="X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T141" i="7"/>
  <c r="U141" i="7"/>
  <c r="V141" i="7"/>
  <c r="W141" i="7"/>
  <c r="X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T142" i="7"/>
  <c r="U142" i="7"/>
  <c r="V142" i="7"/>
  <c r="W142" i="7"/>
  <c r="X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T143" i="7"/>
  <c r="U143" i="7"/>
  <c r="V143" i="7"/>
  <c r="W143" i="7"/>
  <c r="X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T144" i="7"/>
  <c r="U144" i="7"/>
  <c r="V144" i="7"/>
  <c r="W144" i="7"/>
  <c r="X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T145" i="7"/>
  <c r="U145" i="7"/>
  <c r="V145" i="7"/>
  <c r="W145" i="7"/>
  <c r="X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T146" i="7"/>
  <c r="U146" i="7"/>
  <c r="V146" i="7"/>
  <c r="W146" i="7"/>
  <c r="X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T147" i="7"/>
  <c r="U147" i="7"/>
  <c r="V147" i="7"/>
  <c r="W147" i="7"/>
  <c r="X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T148" i="7"/>
  <c r="U148" i="7"/>
  <c r="V148" i="7"/>
  <c r="W148" i="7"/>
  <c r="X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T149" i="7"/>
  <c r="U149" i="7"/>
  <c r="V149" i="7"/>
  <c r="W149" i="7"/>
  <c r="X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T150" i="7"/>
  <c r="U150" i="7"/>
  <c r="V150" i="7"/>
  <c r="W150" i="7"/>
  <c r="X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T151" i="7"/>
  <c r="U151" i="7"/>
  <c r="V151" i="7"/>
  <c r="W151" i="7"/>
  <c r="X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T152" i="7"/>
  <c r="U152" i="7"/>
  <c r="V152" i="7"/>
  <c r="W152" i="7"/>
  <c r="X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T153" i="7"/>
  <c r="U153" i="7"/>
  <c r="V153" i="7"/>
  <c r="W153" i="7"/>
  <c r="X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T154" i="7"/>
  <c r="U154" i="7"/>
  <c r="V154" i="7"/>
  <c r="W154" i="7"/>
  <c r="X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T155" i="7"/>
  <c r="U155" i="7"/>
  <c r="V155" i="7"/>
  <c r="W155" i="7"/>
  <c r="X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T156" i="7"/>
  <c r="U156" i="7"/>
  <c r="V156" i="7"/>
  <c r="W156" i="7"/>
  <c r="X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T157" i="7"/>
  <c r="U157" i="7"/>
  <c r="V157" i="7"/>
  <c r="W157" i="7"/>
  <c r="X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T158" i="7"/>
  <c r="U158" i="7"/>
  <c r="V158" i="7"/>
  <c r="W158" i="7"/>
  <c r="X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T159" i="7"/>
  <c r="U159" i="7"/>
  <c r="V159" i="7"/>
  <c r="W159" i="7"/>
  <c r="X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T160" i="7"/>
  <c r="U160" i="7"/>
  <c r="V160" i="7"/>
  <c r="W160" i="7"/>
  <c r="X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T161" i="7"/>
  <c r="U161" i="7"/>
  <c r="V161" i="7"/>
  <c r="W161" i="7"/>
  <c r="X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T162" i="7"/>
  <c r="U162" i="7"/>
  <c r="V162" i="7"/>
  <c r="W162" i="7"/>
  <c r="X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T163" i="7"/>
  <c r="U163" i="7"/>
  <c r="V163" i="7"/>
  <c r="W163" i="7"/>
  <c r="X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T164" i="7"/>
  <c r="U164" i="7"/>
  <c r="V164" i="7"/>
  <c r="W164" i="7"/>
  <c r="X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T165" i="7"/>
  <c r="U165" i="7"/>
  <c r="V165" i="7"/>
  <c r="W165" i="7"/>
  <c r="X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T166" i="7"/>
  <c r="U166" i="7"/>
  <c r="V166" i="7"/>
  <c r="W166" i="7"/>
  <c r="X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T167" i="7"/>
  <c r="U167" i="7"/>
  <c r="V167" i="7"/>
  <c r="W167" i="7"/>
  <c r="X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T168" i="7"/>
  <c r="U168" i="7"/>
  <c r="V168" i="7"/>
  <c r="W168" i="7"/>
  <c r="X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T169" i="7"/>
  <c r="U169" i="7"/>
  <c r="V169" i="7"/>
  <c r="W169" i="7"/>
  <c r="X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T170" i="7"/>
  <c r="U170" i="7"/>
  <c r="V170" i="7"/>
  <c r="W170" i="7"/>
  <c r="X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T171" i="7"/>
  <c r="U171" i="7"/>
  <c r="V171" i="7"/>
  <c r="W171" i="7"/>
  <c r="X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T172" i="7"/>
  <c r="U172" i="7"/>
  <c r="V172" i="7"/>
  <c r="W172" i="7"/>
  <c r="X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T173" i="7"/>
  <c r="U173" i="7"/>
  <c r="V173" i="7"/>
  <c r="W173" i="7"/>
  <c r="X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T174" i="7"/>
  <c r="U174" i="7"/>
  <c r="V174" i="7"/>
  <c r="W174" i="7"/>
  <c r="X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T175" i="7"/>
  <c r="U175" i="7"/>
  <c r="V175" i="7"/>
  <c r="W175" i="7"/>
  <c r="X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T176" i="7"/>
  <c r="U176" i="7"/>
  <c r="V176" i="7"/>
  <c r="W176" i="7"/>
  <c r="X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T177" i="7"/>
  <c r="U177" i="7"/>
  <c r="V177" i="7"/>
  <c r="W177" i="7"/>
  <c r="X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T178" i="7"/>
  <c r="U178" i="7"/>
  <c r="V178" i="7"/>
  <c r="W178" i="7"/>
  <c r="X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T179" i="7"/>
  <c r="U179" i="7"/>
  <c r="V179" i="7"/>
  <c r="W179" i="7"/>
  <c r="X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T180" i="7"/>
  <c r="U180" i="7"/>
  <c r="V180" i="7"/>
  <c r="W180" i="7"/>
  <c r="X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T181" i="7"/>
  <c r="U181" i="7"/>
  <c r="V181" i="7"/>
  <c r="W181" i="7"/>
  <c r="X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T182" i="7"/>
  <c r="U182" i="7"/>
  <c r="V182" i="7"/>
  <c r="W182" i="7"/>
  <c r="X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T183" i="7"/>
  <c r="U183" i="7"/>
  <c r="V183" i="7"/>
  <c r="W183" i="7"/>
  <c r="X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T184" i="7"/>
  <c r="U184" i="7"/>
  <c r="V184" i="7"/>
  <c r="W184" i="7"/>
  <c r="X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T185" i="7"/>
  <c r="U185" i="7"/>
  <c r="V185" i="7"/>
  <c r="W185" i="7"/>
  <c r="X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T186" i="7"/>
  <c r="U186" i="7"/>
  <c r="V186" i="7"/>
  <c r="W186" i="7"/>
  <c r="X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T187" i="7"/>
  <c r="U187" i="7"/>
  <c r="V187" i="7"/>
  <c r="W187" i="7"/>
  <c r="X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T188" i="7"/>
  <c r="U188" i="7"/>
  <c r="V188" i="7"/>
  <c r="W188" i="7"/>
  <c r="X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T189" i="7"/>
  <c r="U189" i="7"/>
  <c r="V189" i="7"/>
  <c r="W189" i="7"/>
  <c r="X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T190" i="7"/>
  <c r="U190" i="7"/>
  <c r="V190" i="7"/>
  <c r="W190" i="7"/>
  <c r="X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T191" i="7"/>
  <c r="U191" i="7"/>
  <c r="V191" i="7"/>
  <c r="W191" i="7"/>
  <c r="X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T192" i="7"/>
  <c r="U192" i="7"/>
  <c r="V192" i="7"/>
  <c r="W192" i="7"/>
  <c r="X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T193" i="7"/>
  <c r="U193" i="7"/>
  <c r="V193" i="7"/>
  <c r="W193" i="7"/>
  <c r="X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T194" i="7"/>
  <c r="U194" i="7"/>
  <c r="V194" i="7"/>
  <c r="W194" i="7"/>
  <c r="X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T195" i="7"/>
  <c r="U195" i="7"/>
  <c r="V195" i="7"/>
  <c r="W195" i="7"/>
  <c r="X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T196" i="7"/>
  <c r="U196" i="7"/>
  <c r="V196" i="7"/>
  <c r="W196" i="7"/>
  <c r="X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T197" i="7"/>
  <c r="U197" i="7"/>
  <c r="V197" i="7"/>
  <c r="W197" i="7"/>
  <c r="X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T198" i="7"/>
  <c r="U198" i="7"/>
  <c r="V198" i="7"/>
  <c r="W198" i="7"/>
  <c r="X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T199" i="7"/>
  <c r="U199" i="7"/>
  <c r="V199" i="7"/>
  <c r="W199" i="7"/>
  <c r="X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T200" i="7"/>
  <c r="U200" i="7"/>
  <c r="V200" i="7"/>
  <c r="W200" i="7"/>
  <c r="X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T201" i="7"/>
  <c r="U201" i="7"/>
  <c r="V201" i="7"/>
  <c r="W201" i="7"/>
  <c r="X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T202" i="7"/>
  <c r="U202" i="7"/>
  <c r="V202" i="7"/>
  <c r="W202" i="7"/>
  <c r="X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T203" i="7"/>
  <c r="U203" i="7"/>
  <c r="V203" i="7"/>
  <c r="W203" i="7"/>
  <c r="X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T204" i="7"/>
  <c r="U204" i="7"/>
  <c r="V204" i="7"/>
  <c r="W204" i="7"/>
  <c r="X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T205" i="7"/>
  <c r="U205" i="7"/>
  <c r="V205" i="7"/>
  <c r="W205" i="7"/>
  <c r="X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T206" i="7"/>
  <c r="U206" i="7"/>
  <c r="V206" i="7"/>
  <c r="W206" i="7"/>
  <c r="X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T207" i="7"/>
  <c r="U207" i="7"/>
  <c r="V207" i="7"/>
  <c r="W207" i="7"/>
  <c r="X207" i="7"/>
  <c r="A208" i="7"/>
  <c r="B208" i="7"/>
  <c r="C208" i="7"/>
  <c r="D208" i="7"/>
  <c r="E208" i="7"/>
  <c r="F208" i="7"/>
  <c r="G208" i="7"/>
  <c r="H208" i="7"/>
  <c r="I208" i="7"/>
  <c r="A209" i="7"/>
  <c r="B209" i="7"/>
  <c r="C209" i="7"/>
  <c r="D209" i="7"/>
  <c r="E209" i="7"/>
  <c r="F209" i="7"/>
  <c r="G209" i="7"/>
  <c r="H209" i="7"/>
  <c r="I209" i="7"/>
  <c r="A210" i="7"/>
  <c r="B210" i="7"/>
  <c r="C210" i="7"/>
  <c r="D210" i="7"/>
  <c r="E210" i="7"/>
  <c r="F210" i="7"/>
  <c r="G210" i="7"/>
  <c r="H210" i="7"/>
  <c r="I210" i="7"/>
  <c r="A211" i="7"/>
  <c r="B211" i="7"/>
  <c r="C211" i="7"/>
  <c r="D211" i="7"/>
  <c r="E211" i="7"/>
  <c r="F211" i="7"/>
  <c r="G211" i="7"/>
  <c r="H211" i="7"/>
  <c r="I211" i="7"/>
  <c r="A212" i="7"/>
  <c r="B212" i="7"/>
  <c r="C212" i="7"/>
  <c r="D212" i="7"/>
  <c r="E212" i="7"/>
  <c r="F212" i="7"/>
  <c r="G212" i="7"/>
  <c r="H212" i="7"/>
  <c r="I212" i="7"/>
  <c r="A213" i="7"/>
  <c r="B213" i="7"/>
  <c r="C213" i="7"/>
  <c r="D213" i="7"/>
  <c r="E213" i="7"/>
  <c r="F213" i="7"/>
  <c r="G213" i="7"/>
  <c r="H213" i="7"/>
  <c r="I213" i="7"/>
  <c r="A214" i="7"/>
  <c r="B214" i="7"/>
  <c r="C214" i="7"/>
  <c r="D214" i="7"/>
  <c r="E214" i="7"/>
  <c r="F214" i="7"/>
  <c r="G214" i="7"/>
  <c r="H214" i="7"/>
  <c r="I214" i="7"/>
  <c r="A215" i="7"/>
  <c r="B215" i="7"/>
  <c r="C215" i="7"/>
  <c r="D215" i="7"/>
  <c r="E215" i="7"/>
  <c r="F215" i="7"/>
  <c r="G215" i="7"/>
  <c r="H215" i="7"/>
  <c r="I215" i="7"/>
  <c r="A216" i="7"/>
  <c r="B216" i="7"/>
  <c r="C216" i="7"/>
  <c r="D216" i="7"/>
  <c r="E216" i="7"/>
  <c r="F216" i="7"/>
  <c r="G216" i="7"/>
  <c r="H216" i="7"/>
  <c r="I216" i="7"/>
  <c r="A217" i="7"/>
  <c r="B217" i="7"/>
  <c r="C217" i="7"/>
  <c r="D217" i="7"/>
  <c r="E217" i="7"/>
  <c r="F217" i="7"/>
  <c r="G217" i="7"/>
  <c r="H217" i="7"/>
  <c r="I217" i="7"/>
  <c r="A218" i="7"/>
  <c r="B218" i="7"/>
  <c r="C218" i="7"/>
  <c r="D218" i="7"/>
  <c r="E218" i="7"/>
  <c r="F218" i="7"/>
  <c r="G218" i="7"/>
  <c r="H218" i="7"/>
  <c r="I218" i="7"/>
  <c r="A219" i="7"/>
  <c r="B219" i="7"/>
  <c r="C219" i="7"/>
  <c r="D219" i="7"/>
  <c r="E219" i="7"/>
  <c r="F219" i="7"/>
  <c r="G219" i="7"/>
  <c r="H219" i="7"/>
  <c r="I219" i="7"/>
  <c r="A220" i="7"/>
  <c r="B220" i="7"/>
  <c r="C220" i="7"/>
  <c r="D220" i="7"/>
  <c r="E220" i="7"/>
  <c r="F220" i="7"/>
  <c r="G220" i="7"/>
  <c r="H220" i="7"/>
  <c r="I220" i="7"/>
  <c r="A221" i="7"/>
  <c r="B221" i="7"/>
  <c r="C221" i="7"/>
  <c r="D221" i="7"/>
  <c r="E221" i="7"/>
  <c r="F221" i="7"/>
  <c r="G221" i="7"/>
  <c r="H221" i="7"/>
  <c r="I221" i="7"/>
  <c r="A222" i="7"/>
  <c r="B222" i="7"/>
  <c r="C222" i="7"/>
  <c r="D222" i="7"/>
  <c r="E222" i="7"/>
  <c r="F222" i="7"/>
  <c r="G222" i="7"/>
  <c r="H222" i="7"/>
  <c r="I222" i="7"/>
  <c r="A223" i="7"/>
  <c r="B223" i="7"/>
  <c r="C223" i="7"/>
  <c r="D223" i="7"/>
  <c r="E223" i="7"/>
  <c r="F223" i="7"/>
  <c r="G223" i="7"/>
  <c r="H223" i="7"/>
  <c r="I223" i="7"/>
  <c r="A224" i="7"/>
  <c r="B224" i="7"/>
  <c r="C224" i="7"/>
  <c r="D224" i="7"/>
  <c r="E224" i="7"/>
  <c r="F224" i="7"/>
  <c r="G224" i="7"/>
  <c r="H224" i="7"/>
  <c r="I224" i="7"/>
  <c r="A225" i="7"/>
  <c r="B225" i="7"/>
  <c r="C225" i="7"/>
  <c r="D225" i="7"/>
  <c r="E225" i="7"/>
  <c r="F225" i="7"/>
  <c r="G225" i="7"/>
  <c r="H225" i="7"/>
  <c r="I225" i="7"/>
  <c r="A226" i="7"/>
  <c r="B226" i="7"/>
  <c r="C226" i="7"/>
  <c r="D226" i="7"/>
  <c r="E226" i="7"/>
  <c r="F226" i="7"/>
  <c r="G226" i="7"/>
  <c r="H226" i="7"/>
  <c r="I226" i="7"/>
  <c r="A227" i="7"/>
  <c r="B227" i="7"/>
  <c r="C227" i="7"/>
  <c r="D227" i="7"/>
  <c r="E227" i="7"/>
  <c r="F227" i="7"/>
  <c r="G227" i="7"/>
  <c r="H227" i="7"/>
  <c r="I227" i="7"/>
  <c r="A228" i="7"/>
  <c r="B228" i="7"/>
  <c r="C228" i="7"/>
  <c r="D228" i="7"/>
  <c r="E228" i="7"/>
  <c r="F228" i="7"/>
  <c r="G228" i="7"/>
  <c r="H228" i="7"/>
  <c r="I228" i="7"/>
  <c r="A229" i="7"/>
  <c r="B229" i="7"/>
  <c r="C229" i="7"/>
  <c r="D229" i="7"/>
  <c r="E229" i="7"/>
  <c r="F229" i="7"/>
  <c r="G229" i="7"/>
  <c r="H229" i="7"/>
  <c r="I229" i="7"/>
  <c r="A230" i="7"/>
  <c r="B230" i="7"/>
  <c r="C230" i="7"/>
  <c r="D230" i="7"/>
  <c r="E230" i="7"/>
  <c r="F230" i="7"/>
  <c r="G230" i="7"/>
  <c r="H230" i="7"/>
  <c r="I230" i="7"/>
  <c r="A231" i="7"/>
  <c r="B231" i="7"/>
  <c r="C231" i="7"/>
  <c r="D231" i="7"/>
  <c r="E231" i="7"/>
  <c r="F231" i="7"/>
  <c r="G231" i="7"/>
  <c r="H231" i="7"/>
  <c r="I231" i="7"/>
  <c r="A10" i="14"/>
  <c r="C10" i="14"/>
  <c r="D10" i="14"/>
  <c r="E10" i="14"/>
  <c r="I10" i="14"/>
  <c r="M10" i="14"/>
  <c r="S10" i="14"/>
  <c r="W10" i="14"/>
  <c r="X10" i="14"/>
  <c r="AA10" i="14"/>
  <c r="AE10" i="14"/>
  <c r="AU10" i="14"/>
  <c r="AY10" i="14"/>
  <c r="A11" i="14"/>
  <c r="C11" i="14"/>
  <c r="D11" i="14"/>
  <c r="E11" i="14"/>
  <c r="I11" i="14"/>
  <c r="M11" i="14"/>
  <c r="R11" i="14"/>
  <c r="S11" i="14"/>
  <c r="X11" i="14"/>
  <c r="AA11" i="14"/>
  <c r="AE11" i="14"/>
  <c r="AU11" i="14"/>
  <c r="AY11" i="14"/>
  <c r="A12" i="14"/>
  <c r="C12" i="14"/>
  <c r="D12" i="14"/>
  <c r="E12" i="14"/>
  <c r="I12" i="14"/>
  <c r="M12" i="14"/>
  <c r="R12" i="14"/>
  <c r="S12" i="14"/>
  <c r="W12" i="14"/>
  <c r="AA12" i="14"/>
  <c r="AE12" i="14"/>
  <c r="AU12" i="14"/>
  <c r="AY12" i="14"/>
  <c r="A13" i="14"/>
  <c r="C13" i="14"/>
  <c r="D13" i="14"/>
  <c r="E13" i="14"/>
  <c r="I13" i="14"/>
  <c r="M13" i="14"/>
  <c r="R13" i="14"/>
  <c r="S13" i="14"/>
  <c r="W13" i="14"/>
  <c r="AA13" i="14"/>
  <c r="AE13" i="14"/>
  <c r="AU13" i="14"/>
  <c r="AY13" i="14"/>
  <c r="A14" i="14"/>
  <c r="C14" i="14"/>
  <c r="D14" i="14"/>
  <c r="E14" i="14"/>
  <c r="I14" i="14"/>
  <c r="M14" i="14"/>
  <c r="R14" i="14"/>
  <c r="S14" i="14"/>
  <c r="W14" i="14"/>
  <c r="AA14" i="14"/>
  <c r="AE14" i="14"/>
  <c r="AU14" i="14"/>
  <c r="AY14" i="14"/>
  <c r="A15" i="14"/>
  <c r="C15" i="14"/>
  <c r="D15" i="14"/>
  <c r="E15" i="14"/>
  <c r="I15" i="14"/>
  <c r="M15" i="14"/>
  <c r="R15" i="14"/>
  <c r="S15" i="14"/>
  <c r="W15" i="14"/>
  <c r="AA15" i="14"/>
  <c r="AE15" i="14"/>
  <c r="AU15" i="14"/>
  <c r="AY15" i="14"/>
  <c r="A16" i="14"/>
  <c r="C16" i="14"/>
  <c r="D16" i="14"/>
  <c r="E16" i="14"/>
  <c r="I16" i="14"/>
  <c r="M16" i="14"/>
  <c r="R16" i="14"/>
  <c r="S16" i="14"/>
  <c r="W16" i="14"/>
  <c r="AA16" i="14"/>
  <c r="AE16" i="14"/>
  <c r="AU16" i="14"/>
  <c r="AY16" i="14"/>
  <c r="A17" i="14"/>
  <c r="C17" i="14"/>
  <c r="D17" i="14"/>
  <c r="E17" i="14"/>
  <c r="I17" i="14"/>
  <c r="M17" i="14"/>
  <c r="R17" i="14"/>
  <c r="S17" i="14"/>
  <c r="W17" i="14"/>
  <c r="AA17" i="14"/>
  <c r="AE17" i="14"/>
  <c r="AU17" i="14"/>
  <c r="AY17" i="14"/>
  <c r="A23" i="14"/>
  <c r="A27" i="14"/>
  <c r="C27" i="14"/>
  <c r="D27" i="14"/>
  <c r="E27" i="14"/>
  <c r="G27" i="14"/>
  <c r="H27" i="14"/>
  <c r="I27" i="14"/>
  <c r="K27" i="14"/>
  <c r="L27" i="14"/>
  <c r="M27" i="14"/>
  <c r="Q27" i="14"/>
  <c r="S27" i="14"/>
  <c r="U27" i="14"/>
  <c r="A28" i="14"/>
  <c r="C28" i="14"/>
  <c r="D28" i="14"/>
  <c r="E28" i="14"/>
  <c r="G28" i="14"/>
  <c r="H28" i="14"/>
  <c r="I28" i="14"/>
  <c r="K28" i="14"/>
  <c r="L28" i="14"/>
  <c r="M28" i="14"/>
  <c r="Q28" i="14"/>
  <c r="S28" i="14"/>
  <c r="U28" i="14"/>
  <c r="A29" i="14"/>
  <c r="C29" i="14"/>
  <c r="D29" i="14"/>
  <c r="E29" i="14"/>
  <c r="G29" i="14"/>
  <c r="H29" i="14"/>
  <c r="I29" i="14"/>
  <c r="K29" i="14"/>
  <c r="L29" i="14"/>
  <c r="M29" i="14"/>
  <c r="Q29" i="14"/>
  <c r="S29" i="14"/>
  <c r="U29" i="14"/>
  <c r="A30" i="14"/>
  <c r="C30" i="14"/>
  <c r="D30" i="14"/>
  <c r="E30" i="14"/>
  <c r="G30" i="14"/>
  <c r="H30" i="14"/>
  <c r="I30" i="14"/>
  <c r="K30" i="14"/>
  <c r="L30" i="14"/>
  <c r="M30" i="14"/>
  <c r="Q30" i="14"/>
  <c r="S30" i="14"/>
  <c r="U30" i="14"/>
  <c r="A31" i="14"/>
  <c r="C31" i="14"/>
  <c r="D31" i="14"/>
  <c r="E31" i="14"/>
  <c r="G31" i="14"/>
  <c r="H31" i="14"/>
  <c r="I31" i="14"/>
  <c r="K31" i="14"/>
  <c r="L31" i="14"/>
  <c r="M31" i="14"/>
  <c r="Q31" i="14"/>
  <c r="S31" i="14"/>
  <c r="U31" i="14"/>
  <c r="A32" i="14"/>
  <c r="C32" i="14"/>
  <c r="D32" i="14"/>
  <c r="E32" i="14"/>
  <c r="G32" i="14"/>
  <c r="H32" i="14"/>
  <c r="I32" i="14"/>
  <c r="K32" i="14"/>
  <c r="L32" i="14"/>
  <c r="M32" i="14"/>
  <c r="Q32" i="14"/>
  <c r="S32" i="14"/>
  <c r="U32" i="14"/>
  <c r="A33" i="14"/>
  <c r="C33" i="14"/>
  <c r="D33" i="14"/>
  <c r="E33" i="14"/>
  <c r="G33" i="14"/>
  <c r="H33" i="14"/>
  <c r="I33" i="14"/>
  <c r="K33" i="14"/>
  <c r="L33" i="14"/>
  <c r="M33" i="14"/>
  <c r="Q33" i="14"/>
  <c r="S33" i="14"/>
  <c r="U33" i="14"/>
  <c r="A34" i="14"/>
  <c r="C34" i="14"/>
  <c r="D34" i="14"/>
  <c r="E34" i="14"/>
  <c r="G34" i="14"/>
  <c r="H34" i="14"/>
  <c r="I34" i="14"/>
  <c r="K34" i="14"/>
  <c r="L34" i="14"/>
  <c r="M34" i="14"/>
  <c r="Q34" i="14"/>
  <c r="S34" i="14"/>
  <c r="U34" i="14"/>
  <c r="U36" i="14"/>
  <c r="V36" i="14"/>
  <c r="E37" i="14"/>
  <c r="E38" i="14"/>
  <c r="A47" i="14"/>
  <c r="C47" i="14"/>
  <c r="D47" i="14"/>
  <c r="E47" i="14"/>
  <c r="F47" i="14"/>
  <c r="G47" i="14"/>
  <c r="H47" i="14"/>
  <c r="J47" i="14"/>
  <c r="K47" i="14"/>
  <c r="L47" i="14"/>
  <c r="P47" i="14"/>
  <c r="R47" i="14"/>
  <c r="T47" i="14"/>
  <c r="V47" i="14"/>
  <c r="W47" i="14"/>
  <c r="Y47" i="14"/>
  <c r="A48" i="14"/>
  <c r="C48" i="14"/>
  <c r="D48" i="14"/>
  <c r="E48" i="14"/>
  <c r="F48" i="14"/>
  <c r="G48" i="14"/>
  <c r="H48" i="14"/>
  <c r="J48" i="14"/>
  <c r="K48" i="14"/>
  <c r="L48" i="14"/>
  <c r="N48" i="14"/>
  <c r="P48" i="14"/>
  <c r="R48" i="14"/>
  <c r="T48" i="14"/>
  <c r="V48" i="14"/>
  <c r="W48" i="14"/>
  <c r="Y48" i="14"/>
  <c r="Z48" i="14"/>
  <c r="AA48" i="14"/>
  <c r="A49" i="14"/>
  <c r="C49" i="14"/>
  <c r="D49" i="14"/>
  <c r="E49" i="14"/>
  <c r="F49" i="14"/>
  <c r="G49" i="14"/>
  <c r="H49" i="14"/>
  <c r="J49" i="14"/>
  <c r="K49" i="14"/>
  <c r="L49" i="14"/>
  <c r="P49" i="14"/>
  <c r="R49" i="14"/>
  <c r="T49" i="14"/>
  <c r="V49" i="14"/>
  <c r="W49" i="14"/>
  <c r="Y49" i="14"/>
  <c r="AA49" i="14"/>
  <c r="A50" i="14"/>
  <c r="C50" i="14"/>
  <c r="D50" i="14"/>
  <c r="E50" i="14"/>
  <c r="F50" i="14"/>
  <c r="G50" i="14"/>
  <c r="H50" i="14"/>
  <c r="J50" i="14"/>
  <c r="K50" i="14"/>
  <c r="L50" i="14"/>
  <c r="P50" i="14"/>
  <c r="R50" i="14"/>
  <c r="T50" i="14"/>
  <c r="V50" i="14"/>
  <c r="W50" i="14"/>
  <c r="Y50" i="14"/>
  <c r="AA50" i="14"/>
  <c r="A51" i="14"/>
  <c r="C51" i="14"/>
  <c r="D51" i="14"/>
  <c r="E51" i="14"/>
  <c r="F51" i="14"/>
  <c r="G51" i="14"/>
  <c r="H51" i="14"/>
  <c r="J51" i="14"/>
  <c r="K51" i="14"/>
  <c r="L51" i="14"/>
  <c r="P51" i="14"/>
  <c r="R51" i="14"/>
  <c r="T51" i="14"/>
  <c r="V51" i="14"/>
  <c r="W51" i="14"/>
  <c r="Y51" i="14"/>
  <c r="AA51" i="14"/>
  <c r="A52" i="14"/>
  <c r="C52" i="14"/>
  <c r="D52" i="14"/>
  <c r="E52" i="14"/>
  <c r="F52" i="14"/>
  <c r="G52" i="14"/>
  <c r="H52" i="14"/>
  <c r="J52" i="14"/>
  <c r="K52" i="14"/>
  <c r="L52" i="14"/>
  <c r="P52" i="14"/>
  <c r="R52" i="14"/>
  <c r="T52" i="14"/>
  <c r="V52" i="14"/>
  <c r="W52" i="14"/>
  <c r="Y52" i="14"/>
  <c r="AA52" i="14"/>
  <c r="A53" i="14"/>
  <c r="C53" i="14"/>
  <c r="D53" i="14"/>
  <c r="E53" i="14"/>
  <c r="F53" i="14"/>
  <c r="G53" i="14"/>
  <c r="H53" i="14"/>
  <c r="J53" i="14"/>
  <c r="K53" i="14"/>
  <c r="L53" i="14"/>
  <c r="P53" i="14"/>
  <c r="R53" i="14"/>
  <c r="T53" i="14"/>
  <c r="V53" i="14"/>
  <c r="W53" i="14"/>
  <c r="X53" i="14"/>
  <c r="Y53" i="14"/>
  <c r="AA53" i="14"/>
  <c r="A54" i="14"/>
  <c r="C54" i="14"/>
  <c r="D54" i="14"/>
  <c r="E54" i="14"/>
  <c r="F54" i="14"/>
  <c r="G54" i="14"/>
  <c r="H54" i="14"/>
  <c r="J54" i="14"/>
  <c r="K54" i="14"/>
  <c r="L54" i="14"/>
  <c r="P54" i="14"/>
  <c r="R54" i="14"/>
  <c r="T54" i="14"/>
  <c r="V54" i="14"/>
  <c r="W54" i="14"/>
  <c r="X54" i="14"/>
  <c r="Y54" i="14"/>
  <c r="AA54" i="14"/>
  <c r="P56" i="14"/>
  <c r="V56" i="14"/>
  <c r="W56" i="14"/>
  <c r="X56" i="14"/>
  <c r="AA56" i="14"/>
  <c r="AA57" i="14"/>
  <c r="AA58" i="14"/>
  <c r="A65" i="14"/>
  <c r="P65" i="14"/>
  <c r="Q65" i="14"/>
  <c r="R65" i="14"/>
  <c r="S65" i="14"/>
  <c r="T65" i="14"/>
  <c r="U65" i="14"/>
  <c r="A66" i="14"/>
  <c r="A67" i="14"/>
  <c r="A68" i="14"/>
  <c r="A69" i="14"/>
  <c r="A70" i="14"/>
  <c r="A71" i="14"/>
</calcChain>
</file>

<file path=xl/sharedStrings.xml><?xml version="1.0" encoding="utf-8"?>
<sst xmlns="http://schemas.openxmlformats.org/spreadsheetml/2006/main" count="1038" uniqueCount="423">
  <si>
    <t>PRICE CURVES</t>
  </si>
  <si>
    <t>Mid Columbia</t>
  </si>
  <si>
    <t xml:space="preserve">AECO </t>
  </si>
  <si>
    <t>F/X</t>
  </si>
  <si>
    <t xml:space="preserve"> </t>
  </si>
  <si>
    <t>Mid- Columbia</t>
  </si>
  <si>
    <t>Flat Price
$US/MWh</t>
  </si>
  <si>
    <t>C$ per GJ</t>
  </si>
  <si>
    <t>Flat Price
$C/MWh</t>
  </si>
  <si>
    <t>Days</t>
  </si>
  <si>
    <t>Saturdays &amp; Sundays</t>
  </si>
  <si>
    <t>Week Days</t>
  </si>
  <si>
    <t>Discount Factor</t>
  </si>
  <si>
    <t>Peak</t>
  </si>
  <si>
    <t>Flat</t>
  </si>
  <si>
    <t>Cal 2000</t>
  </si>
  <si>
    <t>Month</t>
  </si>
  <si>
    <t>Offer</t>
  </si>
  <si>
    <t>Bid</t>
  </si>
  <si>
    <t>7 X 24</t>
  </si>
  <si>
    <t>Flat hrs</t>
  </si>
  <si>
    <t>Peak Hrs</t>
  </si>
  <si>
    <t>Off-peak hrs</t>
  </si>
  <si>
    <t>6X16</t>
  </si>
  <si>
    <t>Term</t>
  </si>
  <si>
    <t>Q1 2000</t>
  </si>
  <si>
    <t>Q2 2000</t>
  </si>
  <si>
    <t>Q3 2000</t>
  </si>
  <si>
    <t>Q4 2000</t>
  </si>
  <si>
    <t>Mids</t>
  </si>
  <si>
    <t>Q1</t>
  </si>
  <si>
    <t>Q3</t>
  </si>
  <si>
    <t>Q4</t>
  </si>
  <si>
    <t>Heat Rate</t>
  </si>
  <si>
    <t>Off-Peak</t>
  </si>
  <si>
    <t>NERC Holidays</t>
  </si>
  <si>
    <t>Mids - 5 X 8</t>
  </si>
  <si>
    <t>Mids - Weekends</t>
  </si>
  <si>
    <t>Peak - 5 X 16</t>
  </si>
  <si>
    <t>5 X 8</t>
  </si>
  <si>
    <t>2 X 24</t>
  </si>
  <si>
    <t>Weekend</t>
  </si>
  <si>
    <t>5 X 16</t>
  </si>
  <si>
    <t>Weekday Peak</t>
  </si>
  <si>
    <t>Inputs</t>
  </si>
  <si>
    <t>% of Annual</t>
  </si>
  <si>
    <t>Cal 2001</t>
  </si>
  <si>
    <t>Cal 2002</t>
  </si>
  <si>
    <t>Cal 2003</t>
  </si>
  <si>
    <t>Cal 2004</t>
  </si>
  <si>
    <t>Cal 2005</t>
  </si>
  <si>
    <t>Peak Heat Rate Mid - 2000</t>
  </si>
  <si>
    <t>Peak Heat Rate Mid - 2001</t>
  </si>
  <si>
    <t>Peak Heat Rate Mid - 2002</t>
  </si>
  <si>
    <t>Peak Heat Rate Mid - 2003</t>
  </si>
  <si>
    <t>Peak Heat Rate Mid - 2004</t>
  </si>
  <si>
    <t>Off-Peak Growth per annum</t>
  </si>
  <si>
    <t>Post 2001</t>
  </si>
  <si>
    <t>Undiscounted &amp; Discounted Forward Curves</t>
  </si>
  <si>
    <t>Gas</t>
  </si>
  <si>
    <t>May 2000 - 3 YR</t>
  </si>
  <si>
    <t>Undiscounted</t>
  </si>
  <si>
    <t>Discounted</t>
  </si>
  <si>
    <t>Peak Mid-C</t>
  </si>
  <si>
    <t>Flat Mid-C</t>
  </si>
  <si>
    <t>Q4 2001</t>
  </si>
  <si>
    <t>Q4 2002</t>
  </si>
  <si>
    <t>Q1 2001</t>
  </si>
  <si>
    <t>Q2 2001</t>
  </si>
  <si>
    <t>Q3 2001</t>
  </si>
  <si>
    <t>Q1 2002</t>
  </si>
  <si>
    <t>Q2 2002</t>
  </si>
  <si>
    <t>Q3 2002</t>
  </si>
  <si>
    <t>Saturdays</t>
  </si>
  <si>
    <t>Sundays</t>
  </si>
  <si>
    <t>2001 5 Yr</t>
  </si>
  <si>
    <t>July 2000 - 5 YR</t>
  </si>
  <si>
    <t>Gas AECO Daily</t>
  </si>
  <si>
    <t>First Month</t>
  </si>
  <si>
    <t>Last Month</t>
  </si>
  <si>
    <t>Months</t>
  </si>
  <si>
    <t xml:space="preserve">Flat </t>
  </si>
  <si>
    <t>HEAT RATES - GJ/MWh</t>
  </si>
  <si>
    <t>Pool Price less Mid-C</t>
  </si>
  <si>
    <t>Swap Model - Mids - C$</t>
  </si>
  <si>
    <t>6 X 16</t>
  </si>
  <si>
    <t>Peak 6 X 16
$C/MWh</t>
  </si>
  <si>
    <t>Off-Peak 7 X 8
$C/MWh</t>
  </si>
  <si>
    <t>CAD BA</t>
  </si>
  <si>
    <t>Swap Prices  - Mids</t>
  </si>
  <si>
    <t>Bid/Offer range</t>
  </si>
  <si>
    <t>Swap Prices - Bids</t>
  </si>
  <si>
    <t>Swap Prices - Offer</t>
  </si>
  <si>
    <t>Mid</t>
  </si>
  <si>
    <t>Current Date</t>
  </si>
  <si>
    <t>Off-Peak 7 X 8
$US/MWh</t>
  </si>
  <si>
    <t>Sunday 1 X 16
$US/MWh</t>
  </si>
  <si>
    <t>Off-Peak Days</t>
  </si>
  <si>
    <t>Off-Peak  6 X 8 + 24
$US/MWh</t>
  </si>
  <si>
    <t>Flat Price - chk</t>
  </si>
  <si>
    <t>Flat Price -
chk</t>
  </si>
  <si>
    <t>inputs</t>
  </si>
  <si>
    <t>Calculations</t>
  </si>
  <si>
    <t>Date</t>
  </si>
  <si>
    <t>Weekday</t>
  </si>
  <si>
    <t>NERC holiday</t>
  </si>
  <si>
    <t>N</t>
  </si>
  <si>
    <t>Mid-C Convention</t>
  </si>
  <si>
    <t>Peak Hours
(6 X 16)</t>
  </si>
  <si>
    <t>Off-Peak Hours
(6 X 8 + 24)</t>
  </si>
  <si>
    <t>AB Convention</t>
  </si>
  <si>
    <t>Peak Hours
(5 X 16)</t>
  </si>
  <si>
    <t>Off Peak Hours
(5 X 8)</t>
  </si>
  <si>
    <t>Weekends
(2 X 24)</t>
  </si>
  <si>
    <t>ROM Hours- Mid C</t>
  </si>
  <si>
    <t>ROM Hours - AB</t>
  </si>
  <si>
    <t>Mid - C Convention</t>
  </si>
  <si>
    <t>Alberta Conventions</t>
  </si>
  <si>
    <t>Monthly Totals  -Hours</t>
  </si>
  <si>
    <t>Flat Hrs</t>
  </si>
  <si>
    <t>Peak hrs</t>
  </si>
  <si>
    <t>off-peak</t>
  </si>
  <si>
    <t>7 x 24</t>
  </si>
  <si>
    <t>5 x 16</t>
  </si>
  <si>
    <t>5 x 13</t>
  </si>
  <si>
    <t>5 x 8</t>
  </si>
  <si>
    <t>2 x 24</t>
  </si>
  <si>
    <t>5 X 13</t>
  </si>
  <si>
    <t>MW</t>
  </si>
  <si>
    <t>scalar 5 X 13 versus 5 X 16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</si>
  <si>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</si>
  <si>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</si>
  <si>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</si>
  <si>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</si>
  <si>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</si>
  <si>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</si>
  <si>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</si>
  <si>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</si>
  <si>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</si>
  <si>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</si>
  <si>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</si>
  <si>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</si>
  <si>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AECO Daily</t>
  </si>
  <si>
    <t>%</t>
  </si>
  <si>
    <t xml:space="preserve">% </t>
  </si>
  <si>
    <t>Off-peal</t>
  </si>
  <si>
    <t>Wknd</t>
  </si>
  <si>
    <t>Off + wknd</t>
  </si>
  <si>
    <t>Section I  - Heat Rate Offer</t>
  </si>
  <si>
    <t>AECO Bid</t>
  </si>
  <si>
    <t>(Fixed for floating swap)</t>
  </si>
  <si>
    <t>Heat Rate offer</t>
  </si>
  <si>
    <t>(Peak or Flat)</t>
  </si>
  <si>
    <t>Hedge Gas Volume</t>
  </si>
  <si>
    <t>Deal Volume per hour</t>
  </si>
  <si>
    <t>Hours</t>
  </si>
  <si>
    <t>MWh</t>
  </si>
  <si>
    <t>Total deal volume - MWh</t>
  </si>
  <si>
    <t>(GJ)</t>
  </si>
  <si>
    <t>Gas Volume</t>
  </si>
  <si>
    <t>Peak Days (6 X 16)</t>
  </si>
  <si>
    <t>Outputs</t>
  </si>
  <si>
    <t>Profit (PV)</t>
  </si>
  <si>
    <t>AECO Index Price ("actual")</t>
  </si>
  <si>
    <t>Pool Price ("actual")</t>
  </si>
  <si>
    <t>Power Offer</t>
  </si>
  <si>
    <t>Customer Swap</t>
  </si>
  <si>
    <t>(pool less heat rate)</t>
  </si>
  <si>
    <t>Gas Swap</t>
  </si>
  <si>
    <t>(fixed less aeco)</t>
  </si>
  <si>
    <t>Power Swap</t>
  </si>
  <si>
    <t>(aeco less fixed)</t>
  </si>
  <si>
    <t>Profit</t>
  </si>
  <si>
    <t>Profit - PV</t>
  </si>
  <si>
    <t>F</t>
  </si>
  <si>
    <t>(heat rate less pool)</t>
  </si>
  <si>
    <t>"Originator Economics"</t>
  </si>
  <si>
    <t>Implied Fixed Price Offer</t>
  </si>
  <si>
    <t>Section II  - Heat Rate Bid</t>
  </si>
  <si>
    <t>Heat Rate Bid</t>
  </si>
  <si>
    <t>Power Bid</t>
  </si>
  <si>
    <t>AECO Offer</t>
  </si>
  <si>
    <t>(fixed less pool)</t>
  </si>
  <si>
    <t>(Pool less fixed)</t>
  </si>
  <si>
    <t>Implied Fixed Price Bid</t>
  </si>
  <si>
    <t>Implied Heat Rate Sale</t>
  </si>
  <si>
    <t>(originator receives the pool and pays the floating heat rate)</t>
  </si>
  <si>
    <t>(originator pays the floating heat rate and receives the pool)</t>
  </si>
  <si>
    <t>Implied Heat Rate bid</t>
  </si>
  <si>
    <t>Profit Chk</t>
  </si>
  <si>
    <t>MWh per GJ</t>
  </si>
  <si>
    <t>Gas Price</t>
  </si>
  <si>
    <t>D_Factor</t>
  </si>
  <si>
    <t>Mids Curve - Undiscounted</t>
  </si>
  <si>
    <t>Forward P&amp;L</t>
  </si>
  <si>
    <t>(originator pays the floating heat rate and receives gas)</t>
  </si>
  <si>
    <t>Deal Volume per day</t>
  </si>
  <si>
    <t>GJ</t>
  </si>
  <si>
    <t xml:space="preserve">Section I </t>
  </si>
  <si>
    <t>PJM Offer</t>
  </si>
  <si>
    <t>Hedge Power Volume</t>
  </si>
  <si>
    <t>(MWh)</t>
  </si>
  <si>
    <t>Power Volume</t>
  </si>
  <si>
    <t>PJM Index ("actual")</t>
  </si>
  <si>
    <t>Implied Gas Price</t>
  </si>
  <si>
    <t>Gas swap</t>
  </si>
  <si>
    <t>Days - Gas</t>
  </si>
  <si>
    <t>Daily</t>
  </si>
  <si>
    <t>Monthly</t>
  </si>
  <si>
    <t>Hedge Cost - per MWh</t>
  </si>
  <si>
    <t>Hedge Cost - Total</t>
  </si>
  <si>
    <t>Total Profit - Monthly Floor</t>
  </si>
  <si>
    <t>P</t>
  </si>
  <si>
    <t>pk 5 X 13</t>
  </si>
  <si>
    <t>other hrs</t>
  </si>
  <si>
    <t>Gas Bid</t>
  </si>
  <si>
    <t>Profit per MWh</t>
  </si>
  <si>
    <t>Profit per gas unit</t>
  </si>
  <si>
    <t xml:space="preserve">Total deal volume - </t>
  </si>
  <si>
    <t>Gas ("actual")</t>
  </si>
  <si>
    <t>April</t>
  </si>
  <si>
    <t>Positions - MWH</t>
  </si>
  <si>
    <t>Price</t>
  </si>
  <si>
    <t xml:space="preserve">MW </t>
  </si>
  <si>
    <t>STS Rate</t>
  </si>
  <si>
    <t>Trades - Financial &amp; Physical</t>
  </si>
  <si>
    <t>MTM</t>
  </si>
  <si>
    <t>Sum 7 X 24</t>
  </si>
  <si>
    <t>Sum 5 X 13</t>
  </si>
  <si>
    <t>Fwd P&amp;L - Summary</t>
  </si>
  <si>
    <t>Summary</t>
  </si>
  <si>
    <t>Premium to 98/99 max. off-pk - 2000</t>
  </si>
  <si>
    <t>Peak Heat Rate Mid - 2005 - and beyond</t>
  </si>
  <si>
    <t>Peak - 5x16 Heat rate</t>
  </si>
  <si>
    <t>Pool Offer</t>
  </si>
  <si>
    <t>Pool Index ("actual")</t>
  </si>
  <si>
    <t>Peak Mid-C $US</t>
  </si>
  <si>
    <t>Profit - undiscounted</t>
  </si>
  <si>
    <t>Profit - undiscounted (quick)</t>
  </si>
  <si>
    <t>(Heat Rate Spread*MWh*Gas Price)</t>
  </si>
  <si>
    <t>(MWh=(1/Heat Rate(cust.))*total GJ)</t>
  </si>
  <si>
    <t>May - Oct 99 Heat Rate</t>
  </si>
  <si>
    <t>Nov 99 - Mar 00 Heat Rate</t>
  </si>
  <si>
    <t>Q1 00 Heat Rate</t>
  </si>
  <si>
    <t>Mar 00 Heat Rate</t>
  </si>
  <si>
    <t>FYI - Historical Heat Rates - Flat</t>
  </si>
  <si>
    <t>Heat Rate_customer</t>
  </si>
  <si>
    <t xml:space="preserve">Implied Heat Rate_orig. </t>
  </si>
  <si>
    <t>May - Oct 98 Heat Rate</t>
  </si>
  <si>
    <t>hardcoded</t>
  </si>
  <si>
    <t>may</t>
  </si>
  <si>
    <t>june</t>
  </si>
  <si>
    <t>july</t>
  </si>
  <si>
    <t>aug</t>
  </si>
  <si>
    <t>sep</t>
  </si>
  <si>
    <t>oct</t>
  </si>
  <si>
    <t>nov</t>
  </si>
  <si>
    <t>dec</t>
  </si>
  <si>
    <t>Off-Peak  6 X 8 + 24 C$/MWh</t>
  </si>
  <si>
    <t>Flat Mid-C $US</t>
  </si>
  <si>
    <t>jun</t>
  </si>
  <si>
    <t>May</t>
  </si>
  <si>
    <t>Y</t>
  </si>
  <si>
    <t>MTM - Discounted</t>
  </si>
  <si>
    <t xml:space="preserve">Summary P&amp;L </t>
  </si>
  <si>
    <t>Enron Canada Power Book</t>
  </si>
  <si>
    <t>Mark to Market (MTM)</t>
  </si>
  <si>
    <t>Previous Day MTM</t>
  </si>
  <si>
    <t>P&amp;L</t>
  </si>
  <si>
    <t>Historical MTM</t>
  </si>
  <si>
    <t>(updated manually)</t>
  </si>
  <si>
    <t>Summary Positions</t>
  </si>
  <si>
    <t>Alberta Electricity Postions / Forward Curves</t>
  </si>
  <si>
    <t>P &amp; L</t>
  </si>
  <si>
    <t>TOTAL</t>
  </si>
  <si>
    <t>7 X 24 / Transalta Energy Marketing</t>
  </si>
  <si>
    <t>7 X 24 / Duke</t>
  </si>
  <si>
    <t>5 X 13 / HE 8 - HE 20 / Transalta</t>
  </si>
  <si>
    <t>Rest of Month - Hours</t>
  </si>
  <si>
    <t>Weekdays</t>
  </si>
  <si>
    <t>Weekends</t>
  </si>
  <si>
    <t>MWh - Discounted</t>
  </si>
  <si>
    <t xml:space="preserve">5 X 8 </t>
  </si>
  <si>
    <t>Saturday 1 X 16
$US/MWh</t>
  </si>
  <si>
    <t>Peak 5 X 16
$US/MWh</t>
  </si>
  <si>
    <t xml:space="preserve">MWh </t>
  </si>
  <si>
    <t>time period</t>
  </si>
  <si>
    <t>Discounted - BA</t>
  </si>
  <si>
    <t>MWh - Undiscounted</t>
  </si>
  <si>
    <t>Estimated Current Day Liquidation</t>
  </si>
  <si>
    <t xml:space="preserve">Estimated Liquidation </t>
  </si>
  <si>
    <t>Actual Liquidation</t>
  </si>
  <si>
    <t>Actual less estimate</t>
  </si>
  <si>
    <t>"True-up" (yesterday actual less estimate)</t>
  </si>
  <si>
    <t>ROM Positions</t>
  </si>
  <si>
    <t xml:space="preserve">TAU </t>
  </si>
  <si>
    <t>TAU</t>
  </si>
  <si>
    <t>Duke</t>
  </si>
  <si>
    <t>Prices</t>
  </si>
  <si>
    <t>5 X 11 + 48</t>
  </si>
  <si>
    <t>Int Rates Curve</t>
  </si>
  <si>
    <t>Forward Power Price Curves, Volatilities and Price Profile</t>
  </si>
  <si>
    <t>Alberta Power Pool</t>
  </si>
  <si>
    <t>($/MWH)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</si>
  <si>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</si>
  <si>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</si>
  <si>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</si>
  <si>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</si>
  <si>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</si>
  <si>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</si>
  <si>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</si>
  <si>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</si>
  <si>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</si>
  <si>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</si>
  <si>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</si>
  <si>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PEAK - 5 X 16 - HE 8 - 23 MT</t>
  </si>
  <si>
    <t>Saturday - 1 X 16</t>
  </si>
  <si>
    <t>Sunday 1 X 16</t>
  </si>
  <si>
    <t>OFF-PEAK - 7 X 8 - HE 1-7,24</t>
  </si>
  <si>
    <t>Month / Dau</t>
  </si>
  <si>
    <t>Weekday Power Curve</t>
  </si>
  <si>
    <t>HE 1</t>
  </si>
  <si>
    <t>5 X 16 Price</t>
  </si>
  <si>
    <t>7 X 8 Price</t>
  </si>
  <si>
    <t>HE 2</t>
  </si>
  <si>
    <t>HE 3</t>
  </si>
  <si>
    <t>HE 4</t>
  </si>
  <si>
    <t>HE 5</t>
  </si>
  <si>
    <t>HE 6</t>
  </si>
  <si>
    <t>HE 7</t>
  </si>
  <si>
    <t>HE 8</t>
  </si>
  <si>
    <t>HE 9</t>
  </si>
  <si>
    <t>HE 10</t>
  </si>
  <si>
    <t>HE 11</t>
  </si>
  <si>
    <t>HE 12</t>
  </si>
  <si>
    <t>HE 13</t>
  </si>
  <si>
    <t>HE 14</t>
  </si>
  <si>
    <t>HE 15</t>
  </si>
  <si>
    <t>HE 16</t>
  </si>
  <si>
    <t>HE 17</t>
  </si>
  <si>
    <t>HE 18</t>
  </si>
  <si>
    <t>HE 19</t>
  </si>
  <si>
    <t>HE 20</t>
  </si>
  <si>
    <t>HE 21</t>
  </si>
  <si>
    <t>HE 22</t>
  </si>
  <si>
    <t>HE 23</t>
  </si>
  <si>
    <t>HE 24</t>
  </si>
  <si>
    <t>Saturday Power Curve</t>
  </si>
  <si>
    <t>Sunday Power Curve</t>
  </si>
  <si>
    <t>pk chk</t>
  </si>
  <si>
    <t>off chk</t>
  </si>
  <si>
    <t>NET - 5 X 11 + 48</t>
  </si>
  <si>
    <t>5 X 13 Price</t>
  </si>
  <si>
    <t>7 X 24 Price</t>
  </si>
  <si>
    <t>1 X 13 Price</t>
  </si>
  <si>
    <t>1 X 24 Price</t>
  </si>
  <si>
    <t>7 X 24 - 1</t>
  </si>
  <si>
    <t>7X24 - 2</t>
  </si>
  <si>
    <t>5 X 13 - 1</t>
  </si>
  <si>
    <t>5 X 11 + 48 - 1</t>
  </si>
  <si>
    <t>rom profit</t>
  </si>
  <si>
    <t>Sum 5 X 11 + 48</t>
  </si>
  <si>
    <t>Enmax</t>
  </si>
  <si>
    <t>NOTE: I broke the Enmax (June-Oct) and Duke (May-June) 7 X 24 trades into Pk and Off-peak components - to reflect positions</t>
  </si>
  <si>
    <t>5 X 8 vs wknd</t>
  </si>
  <si>
    <t>Less: Origination Grant</t>
  </si>
  <si>
    <t>Change in Power Book MTM</t>
  </si>
  <si>
    <t xml:space="preserve">origination </t>
  </si>
  <si>
    <t>Power BOOK</t>
  </si>
  <si>
    <t>Origination summary</t>
  </si>
  <si>
    <t>Total</t>
  </si>
  <si>
    <t>MTM - Power Book</t>
  </si>
  <si>
    <t>HE 21, 22, 23</t>
  </si>
  <si>
    <t>HE 21-22-23</t>
  </si>
  <si>
    <t>1 X 16 Price</t>
  </si>
  <si>
    <t>5 X 3
HE 21- 23</t>
  </si>
  <si>
    <t>5 X 16
HE 8 - 23</t>
  </si>
  <si>
    <t>7 X 8 
HE 1-7, 24</t>
  </si>
  <si>
    <t xml:space="preserve">Saturday 
1 X 16 </t>
  </si>
  <si>
    <t>Sunday
1 X 16</t>
  </si>
  <si>
    <t>5 X 13
HE 8 - 20</t>
  </si>
  <si>
    <t>Power Book MTM</t>
  </si>
  <si>
    <t>mids curve</t>
  </si>
  <si>
    <t>gas</t>
  </si>
  <si>
    <t>Scalars</t>
  </si>
  <si>
    <t>Mids - 7 X 8</t>
  </si>
  <si>
    <t>Versus 5 X 16 Peak Prices</t>
  </si>
  <si>
    <t>Sunday - 1 X 16</t>
  </si>
  <si>
    <t>www.al</t>
  </si>
  <si>
    <t>Previous Day</t>
  </si>
  <si>
    <t>(adjusted due STS language in TransAlta - was $2.37)</t>
  </si>
  <si>
    <t>Peak Hours
(HE 8 - 20)</t>
  </si>
  <si>
    <t>Peak Hours
(HE 21 - 23)</t>
  </si>
  <si>
    <t>Off Peak Hours
(HE 1 - 7, 24)</t>
  </si>
  <si>
    <t xml:space="preserve">Today </t>
  </si>
  <si>
    <t>Fwd Curve - varies by weekday / sat / sun</t>
  </si>
  <si>
    <t>Pk hrs</t>
  </si>
  <si>
    <t>5 X 14</t>
  </si>
  <si>
    <t>(includes Friday &amp; weekend)</t>
  </si>
  <si>
    <t>ref_dt</t>
  </si>
  <si>
    <t>Book_ID</t>
  </si>
  <si>
    <t>book_type_cd</t>
  </si>
  <si>
    <t>reg_cd</t>
  </si>
  <si>
    <t>instr</t>
  </si>
  <si>
    <t>commodity</t>
  </si>
  <si>
    <t>F/P</t>
  </si>
  <si>
    <t>Location</t>
  </si>
  <si>
    <t>E/O</t>
  </si>
  <si>
    <t>ctrparty_cd</t>
  </si>
  <si>
    <t>Delta</t>
  </si>
  <si>
    <t>Gamma</t>
  </si>
  <si>
    <t>Gross_pos</t>
  </si>
  <si>
    <t>Crv_shift</t>
  </si>
  <si>
    <t>Baseline P/L</t>
  </si>
  <si>
    <t>Peakness</t>
  </si>
  <si>
    <t>FT-CAN-PWRF-HDGI-PRC</t>
  </si>
  <si>
    <t>DESK</t>
  </si>
  <si>
    <t>S</t>
  </si>
  <si>
    <t>PWR</t>
  </si>
  <si>
    <t>R9</t>
  </si>
  <si>
    <t>E</t>
  </si>
  <si>
    <t>PWRCAN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</si>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</sst>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7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6" formatCode="&quot;$&quot;#,##0.000"/>
    <numFmt numFmtId="167" formatCode="&quot;$&quot;#,##0.0000"/>
    <numFmt numFmtId="171" formatCode="0.0000"/>
    <numFmt numFmtId="172" formatCode="&quot;$&quot;#,##0"/>
    <numFmt numFmtId="178" formatCode="0.000"/>
    <numFmt numFmtId="179" formatCode="0.0"/>
    <numFmt numFmtId="181" formatCode="0.0000_)"/>
    <numFmt numFmtId="182" formatCode="0.000000000_)"/>
    <numFmt numFmtId="185" formatCode="#,##0.0"/>
    <numFmt numFmtId="191" formatCode="ddd"/>
    <numFmt numFmtId="193" formatCode="#,##0.0000_);[Red]\(#,##0.0000\)"/>
    <numFmt numFmtId="196" formatCode="&quot;$&quot;#,##0.00&quot; /GJ&quot;"/>
    <numFmt numFmtId="197" formatCode="0.0&quot; GJ/MWh&quot;"/>
    <numFmt numFmtId="198" formatCode="#,##0&quot; GJ/D&quot;"/>
    <numFmt numFmtId="199" formatCode="&quot;$&quot;#,##0.00&quot; /MWh&quot;"/>
    <numFmt numFmtId="202" formatCode="0.000&quot; MWh/GJ&quot;"/>
    <numFmt numFmtId="204" formatCode="&quot;$&quot;#,##0.00&quot; /mmbtu&quot;"/>
    <numFmt numFmtId="205" formatCode="0.00&quot; GJ/MWh&quot;"/>
    <numFmt numFmtId="206" formatCode="#,##0&quot; MWh/D&quot;"/>
    <numFmt numFmtId="207" formatCode="0.0&quot; mmbtu//MWh&quot;"/>
    <numFmt numFmtId="217" formatCode="0.00&quot; GJ//MWh&quot;"/>
    <numFmt numFmtId="220" formatCode="#,##0.0_);\(#,##0.0\)"/>
    <numFmt numFmtId="225" formatCode="#,##0.0_);[Red]\(#,##0.0\)"/>
    <numFmt numFmtId="226" formatCode="0_);[Red]\-0_)"/>
    <numFmt numFmtId="228" formatCode="dd\-mmm\-yy_)"/>
    <numFmt numFmtId="236" formatCode="mmm\-yy_)"/>
    <numFmt numFmtId="237" formatCode="#,##0.0000_);\(#,##0.0000\)"/>
    <numFmt numFmtId="272" formatCode="&quot;$&quot;#,##0.000&quot; /GJ&quot;"/>
    <numFmt numFmtId="273" formatCode="mmm\-yyyy"/>
  </numFmts>
  <fonts count="28" x14ac:knownFonts="1">
    <font>
      <sz val="10"/>
      <name val="Arial"/>
    </font>
    <font>
      <sz val="10"/>
      <name val="Arial"/>
    </font>
    <font>
      <sz val="10"/>
      <name val="Courier"/>
    </font>
    <font>
      <b/>
      <i/>
      <sz val="11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i/>
      <sz val="10"/>
      <name val="Arial"/>
      <family val="2"/>
    </font>
    <font>
      <sz val="10"/>
      <name val="Times New Roman"/>
      <family val="1"/>
    </font>
    <font>
      <b/>
      <u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u val="double"/>
      <sz val="10"/>
      <name val="Arial"/>
      <family val="2"/>
    </font>
    <font>
      <b/>
      <i/>
      <sz val="18"/>
      <name val="Arial"/>
      <family val="2"/>
    </font>
    <font>
      <sz val="12"/>
      <name val="Arial"/>
      <family val="2"/>
    </font>
    <font>
      <sz val="10"/>
      <color indexed="17"/>
      <name val="Times New Roman"/>
      <family val="1"/>
    </font>
    <font>
      <u/>
      <sz val="10"/>
      <name val="Arial"/>
      <family val="2"/>
    </font>
    <font>
      <b/>
      <i/>
      <sz val="12"/>
      <name val="Arial"/>
      <family val="2"/>
    </font>
    <font>
      <sz val="18"/>
      <color indexed="12"/>
      <name val="Arial"/>
    </font>
    <font>
      <sz val="10"/>
      <color indexed="12"/>
      <name val="Courier"/>
    </font>
    <font>
      <b/>
      <sz val="10"/>
      <color indexed="8"/>
      <name val="Courier"/>
    </font>
    <font>
      <sz val="10"/>
      <color indexed="8"/>
      <name val="Arial"/>
    </font>
    <font>
      <sz val="10"/>
      <color indexed="8"/>
      <name val="Courier"/>
      <family val="3"/>
    </font>
    <font>
      <b/>
      <sz val="12"/>
      <color indexed="10"/>
      <name val="Arial"/>
      <family val="2"/>
    </font>
    <font>
      <u/>
      <sz val="12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9" fontId="1" fillId="0" borderId="0" applyFont="0" applyFill="0" applyBorder="0" applyAlignment="0" applyProtection="0"/>
  </cellStyleXfs>
  <cellXfs count="241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7" fontId="0" fillId="0" borderId="0" xfId="0" applyNumberFormat="1"/>
    <xf numFmtId="7" fontId="6" fillId="0" borderId="0" xfId="0" applyNumberFormat="1" applyFont="1" applyFill="1" applyBorder="1"/>
    <xf numFmtId="164" fontId="0" fillId="0" borderId="0" xfId="0" applyNumberFormat="1"/>
    <xf numFmtId="166" fontId="0" fillId="0" borderId="0" xfId="0" applyNumberFormat="1"/>
    <xf numFmtId="171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/>
    </xf>
    <xf numFmtId="43" fontId="6" fillId="0" borderId="0" xfId="0" applyNumberFormat="1" applyFont="1" applyFill="1" applyBorder="1"/>
    <xf numFmtId="167" fontId="7" fillId="0" borderId="0" xfId="3" applyNumberFormat="1" applyFont="1" applyBorder="1" applyProtection="1">
      <protection locked="0"/>
    </xf>
    <xf numFmtId="2" fontId="8" fillId="0" borderId="1" xfId="0" applyNumberFormat="1" applyFont="1" applyBorder="1"/>
    <xf numFmtId="2" fontId="8" fillId="0" borderId="2" xfId="0" applyNumberFormat="1" applyFont="1" applyBorder="1"/>
    <xf numFmtId="2" fontId="8" fillId="0" borderId="0" xfId="0" applyNumberFormat="1" applyFont="1" applyBorder="1"/>
    <xf numFmtId="2" fontId="8" fillId="0" borderId="3" xfId="0" applyNumberFormat="1" applyFont="1" applyBorder="1"/>
    <xf numFmtId="2" fontId="8" fillId="0" borderId="4" xfId="0" applyNumberFormat="1" applyFont="1" applyBorder="1"/>
    <xf numFmtId="2" fontId="8" fillId="0" borderId="5" xfId="0" applyNumberFormat="1" applyFont="1" applyBorder="1"/>
    <xf numFmtId="171" fontId="9" fillId="0" borderId="0" xfId="3" applyNumberFormat="1" applyFont="1" applyBorder="1" applyProtection="1"/>
    <xf numFmtId="15" fontId="0" fillId="0" borderId="0" xfId="0" applyNumberFormat="1"/>
    <xf numFmtId="0" fontId="5" fillId="0" borderId="0" xfId="0" applyFont="1"/>
    <xf numFmtId="164" fontId="5" fillId="0" borderId="0" xfId="0" applyNumberFormat="1" applyFont="1" applyAlignment="1">
      <alignment horizontal="center"/>
    </xf>
    <xf numFmtId="0" fontId="11" fillId="0" borderId="0" xfId="0" applyFont="1"/>
    <xf numFmtId="0" fontId="10" fillId="0" borderId="0" xfId="0" applyFont="1"/>
    <xf numFmtId="9" fontId="0" fillId="0" borderId="0" xfId="4" applyFont="1"/>
    <xf numFmtId="0" fontId="0" fillId="2" borderId="0" xfId="0" applyFill="1"/>
    <xf numFmtId="8" fontId="0" fillId="0" borderId="0" xfId="0" applyNumberFormat="1"/>
    <xf numFmtId="185" fontId="0" fillId="0" borderId="0" xfId="0" applyNumberFormat="1"/>
    <xf numFmtId="4" fontId="0" fillId="0" borderId="0" xfId="0" applyNumberFormat="1"/>
    <xf numFmtId="164" fontId="0" fillId="0" borderId="0" xfId="0" applyNumberFormat="1" applyAlignment="1">
      <alignment horizontal="right"/>
    </xf>
    <xf numFmtId="15" fontId="0" fillId="0" borderId="0" xfId="0" applyNumberFormat="1" applyAlignment="1">
      <alignment horizontal="right"/>
    </xf>
    <xf numFmtId="10" fontId="0" fillId="0" borderId="0" xfId="4" applyNumberFormat="1" applyFont="1"/>
    <xf numFmtId="17" fontId="0" fillId="0" borderId="0" xfId="0" applyNumberFormat="1" applyAlignment="1">
      <alignment horizontal="left"/>
    </xf>
    <xf numFmtId="8" fontId="0" fillId="0" borderId="0" xfId="0" applyNumberFormat="1" applyAlignment="1">
      <alignment horizontal="center"/>
    </xf>
    <xf numFmtId="185" fontId="0" fillId="0" borderId="0" xfId="0" applyNumberFormat="1" applyAlignment="1">
      <alignment horizontal="center"/>
    </xf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2" fontId="0" fillId="0" borderId="0" xfId="0" applyNumberFormat="1" applyFill="1" applyBorder="1"/>
    <xf numFmtId="181" fontId="7" fillId="0" borderId="0" xfId="3" applyNumberFormat="1" applyFont="1" applyBorder="1" applyProtection="1">
      <protection locked="0"/>
    </xf>
    <xf numFmtId="0" fontId="15" fillId="0" borderId="0" xfId="0" applyFont="1"/>
    <xf numFmtId="179" fontId="0" fillId="0" borderId="0" xfId="0" applyNumberFormat="1" applyAlignment="1">
      <alignment horizontal="center"/>
    </xf>
    <xf numFmtId="10" fontId="9" fillId="0" borderId="0" xfId="4" applyNumberFormat="1" applyFont="1" applyBorder="1" applyProtection="1"/>
    <xf numFmtId="8" fontId="0" fillId="0" borderId="0" xfId="0" applyNumberFormat="1" applyAlignment="1">
      <alignment horizontal="right"/>
    </xf>
    <xf numFmtId="14" fontId="0" fillId="0" borderId="0" xfId="0" applyNumberFormat="1" applyAlignment="1"/>
    <xf numFmtId="0" fontId="4" fillId="0" borderId="0" xfId="0" applyFont="1" applyAlignment="1">
      <alignment horizontal="left"/>
    </xf>
    <xf numFmtId="9" fontId="8" fillId="0" borderId="0" xfId="4" applyFont="1" applyAlignment="1">
      <alignment horizontal="center"/>
    </xf>
    <xf numFmtId="191" fontId="0" fillId="0" borderId="0" xfId="0" applyNumberFormat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/>
    <xf numFmtId="0" fontId="0" fillId="0" borderId="0" xfId="0" applyNumberFormat="1" applyBorder="1"/>
    <xf numFmtId="2" fontId="0" fillId="0" borderId="11" xfId="0" applyNumberFormat="1" applyBorder="1"/>
    <xf numFmtId="193" fontId="0" fillId="0" borderId="0" xfId="0" applyNumberFormat="1" applyAlignment="1">
      <alignment horizontal="center"/>
    </xf>
    <xf numFmtId="8" fontId="0" fillId="2" borderId="0" xfId="0" applyNumberFormat="1" applyFill="1"/>
    <xf numFmtId="3" fontId="0" fillId="0" borderId="0" xfId="0" applyNumberFormat="1" applyAlignment="1">
      <alignment horizontal="center"/>
    </xf>
    <xf numFmtId="0" fontId="12" fillId="0" borderId="0" xfId="0" applyFont="1"/>
    <xf numFmtId="172" fontId="0" fillId="0" borderId="0" xfId="0" applyNumberFormat="1"/>
    <xf numFmtId="10" fontId="16" fillId="0" borderId="0" xfId="3" applyNumberFormat="1" applyFont="1" applyBorder="1" applyProtection="1"/>
    <xf numFmtId="9" fontId="0" fillId="0" borderId="0" xfId="0" applyNumberFormat="1"/>
    <xf numFmtId="178" fontId="0" fillId="0" borderId="0" xfId="0" applyNumberFormat="1"/>
    <xf numFmtId="0" fontId="0" fillId="2" borderId="0" xfId="0" applyFill="1" applyAlignment="1">
      <alignment horizontal="right"/>
    </xf>
    <xf numFmtId="196" fontId="0" fillId="2" borderId="0" xfId="0" applyNumberFormat="1" applyFill="1"/>
    <xf numFmtId="197" fontId="0" fillId="2" borderId="0" xfId="0" applyNumberFormat="1" applyFill="1"/>
    <xf numFmtId="3" fontId="0" fillId="0" borderId="0" xfId="0" applyNumberFormat="1"/>
    <xf numFmtId="198" fontId="0" fillId="0" borderId="0" xfId="0" applyNumberFormat="1"/>
    <xf numFmtId="15" fontId="0" fillId="2" borderId="0" xfId="0" applyNumberFormat="1" applyFill="1"/>
    <xf numFmtId="164" fontId="0" fillId="2" borderId="0" xfId="0" applyNumberFormat="1" applyFill="1"/>
    <xf numFmtId="199" fontId="0" fillId="2" borderId="0" xfId="0" applyNumberFormat="1" applyFill="1"/>
    <xf numFmtId="197" fontId="0" fillId="0" borderId="0" xfId="0" applyNumberFormat="1" applyFill="1"/>
    <xf numFmtId="202" fontId="0" fillId="0" borderId="0" xfId="0" applyNumberFormat="1"/>
    <xf numFmtId="181" fontId="7" fillId="3" borderId="0" xfId="3" applyNumberFormat="1" applyFont="1" applyFill="1" applyBorder="1" applyProtection="1">
      <protection locked="0"/>
    </xf>
    <xf numFmtId="204" fontId="0" fillId="2" borderId="0" xfId="0" applyNumberFormat="1" applyFill="1"/>
    <xf numFmtId="206" fontId="0" fillId="0" borderId="0" xfId="0" applyNumberFormat="1"/>
    <xf numFmtId="42" fontId="0" fillId="0" borderId="0" xfId="0" applyNumberFormat="1"/>
    <xf numFmtId="44" fontId="0" fillId="0" borderId="0" xfId="0" applyNumberFormat="1"/>
    <xf numFmtId="207" fontId="0" fillId="2" borderId="0" xfId="0" applyNumberFormat="1" applyFill="1"/>
    <xf numFmtId="1" fontId="0" fillId="0" borderId="0" xfId="0" applyNumberFormat="1"/>
    <xf numFmtId="0" fontId="0" fillId="0" borderId="12" xfId="0" applyBorder="1"/>
    <xf numFmtId="0" fontId="0" fillId="0" borderId="1" xfId="0" applyBorder="1"/>
    <xf numFmtId="0" fontId="0" fillId="0" borderId="2" xfId="0" applyBorder="1"/>
    <xf numFmtId="0" fontId="0" fillId="0" borderId="13" xfId="0" applyBorder="1"/>
    <xf numFmtId="0" fontId="0" fillId="0" borderId="0" xfId="0" applyBorder="1"/>
    <xf numFmtId="0" fontId="0" fillId="0" borderId="3" xfId="0" applyBorder="1"/>
    <xf numFmtId="164" fontId="0" fillId="0" borderId="0" xfId="0" applyNumberFormat="1" applyBorder="1"/>
    <xf numFmtId="172" fontId="0" fillId="0" borderId="0" xfId="0" applyNumberFormat="1" applyBorder="1"/>
    <xf numFmtId="6" fontId="0" fillId="0" borderId="3" xfId="0" applyNumberFormat="1" applyBorder="1"/>
    <xf numFmtId="0" fontId="0" fillId="0" borderId="14" xfId="0" applyBorder="1"/>
    <xf numFmtId="0" fontId="0" fillId="0" borderId="4" xfId="0" applyBorder="1"/>
    <xf numFmtId="0" fontId="0" fillId="0" borderId="5" xfId="0" applyBorder="1"/>
    <xf numFmtId="172" fontId="0" fillId="0" borderId="3" xfId="0" applyNumberFormat="1" applyBorder="1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" fontId="0" fillId="0" borderId="13" xfId="0" applyNumberFormat="1" applyBorder="1"/>
    <xf numFmtId="1" fontId="0" fillId="0" borderId="0" xfId="0" applyNumberFormat="1" applyBorder="1"/>
    <xf numFmtId="1" fontId="0" fillId="0" borderId="3" xfId="0" applyNumberFormat="1" applyBorder="1"/>
    <xf numFmtId="3" fontId="0" fillId="0" borderId="0" xfId="0" applyNumberFormat="1" applyBorder="1"/>
    <xf numFmtId="0" fontId="0" fillId="0" borderId="12" xfId="0" applyBorder="1" applyAlignment="1">
      <alignment horizontal="centerContinuous"/>
    </xf>
    <xf numFmtId="15" fontId="0" fillId="0" borderId="0" xfId="0" applyNumberFormat="1" applyBorder="1"/>
    <xf numFmtId="0" fontId="0" fillId="0" borderId="15" xfId="0" applyBorder="1"/>
    <xf numFmtId="0" fontId="0" fillId="0" borderId="16" xfId="0" applyBorder="1"/>
    <xf numFmtId="15" fontId="0" fillId="0" borderId="16" xfId="0" applyNumberFormat="1" applyBorder="1"/>
    <xf numFmtId="0" fontId="0" fillId="0" borderId="17" xfId="0" applyBorder="1"/>
    <xf numFmtId="3" fontId="0" fillId="0" borderId="4" xfId="0" applyNumberFormat="1" applyBorder="1"/>
    <xf numFmtId="6" fontId="0" fillId="0" borderId="5" xfId="0" applyNumberFormat="1" applyBorder="1"/>
    <xf numFmtId="15" fontId="0" fillId="0" borderId="17" xfId="0" applyNumberFormat="1" applyBorder="1"/>
    <xf numFmtId="181" fontId="7" fillId="0" borderId="4" xfId="3" applyNumberFormat="1" applyFont="1" applyBorder="1" applyProtection="1">
      <protection locked="0"/>
    </xf>
    <xf numFmtId="181" fontId="7" fillId="0" borderId="0" xfId="0" applyNumberFormat="1" applyFont="1" applyBorder="1" applyProtection="1">
      <protection locked="0"/>
    </xf>
    <xf numFmtId="0" fontId="7" fillId="0" borderId="0" xfId="0" applyFont="1" applyBorder="1"/>
    <xf numFmtId="0" fontId="7" fillId="0" borderId="0" xfId="0" applyFont="1"/>
    <xf numFmtId="217" fontId="0" fillId="2" borderId="0" xfId="0" applyNumberFormat="1" applyFill="1"/>
    <xf numFmtId="3" fontId="1" fillId="2" borderId="0" xfId="1" applyNumberFormat="1" applyFill="1"/>
    <xf numFmtId="205" fontId="0" fillId="0" borderId="0" xfId="0" applyNumberFormat="1" applyFill="1"/>
    <xf numFmtId="220" fontId="0" fillId="0" borderId="0" xfId="0" applyNumberFormat="1"/>
    <xf numFmtId="0" fontId="17" fillId="0" borderId="0" xfId="0" applyFont="1"/>
    <xf numFmtId="43" fontId="6" fillId="0" borderId="0" xfId="0" applyNumberFormat="1" applyFont="1" applyFill="1" applyBorder="1" applyAlignment="1">
      <alignment horizontal="right"/>
    </xf>
    <xf numFmtId="0" fontId="0" fillId="2" borderId="0" xfId="0" applyNumberFormat="1" applyFill="1" applyBorder="1"/>
    <xf numFmtId="0" fontId="0" fillId="2" borderId="6" xfId="0" applyNumberFormat="1" applyFill="1" applyBorder="1"/>
    <xf numFmtId="3" fontId="0" fillId="2" borderId="0" xfId="1" applyNumberFormat="1" applyFont="1" applyFill="1"/>
    <xf numFmtId="2" fontId="0" fillId="2" borderId="0" xfId="0" applyNumberFormat="1" applyFill="1"/>
    <xf numFmtId="10" fontId="0" fillId="0" borderId="0" xfId="0" applyNumberFormat="1"/>
    <xf numFmtId="171" fontId="4" fillId="0" borderId="0" xfId="0" applyNumberFormat="1" applyFont="1" applyAlignment="1">
      <alignment horizontal="centerContinuous"/>
    </xf>
    <xf numFmtId="10" fontId="4" fillId="0" borderId="0" xfId="0" applyNumberFormat="1" applyFont="1" applyAlignment="1">
      <alignment horizontal="centerContinuous"/>
    </xf>
    <xf numFmtId="9" fontId="1" fillId="0" borderId="0" xfId="4"/>
    <xf numFmtId="171" fontId="7" fillId="0" borderId="0" xfId="0" applyNumberFormat="1" applyFont="1" applyBorder="1"/>
    <xf numFmtId="10" fontId="7" fillId="0" borderId="0" xfId="0" applyNumberFormat="1" applyFont="1" applyBorder="1"/>
    <xf numFmtId="171" fontId="7" fillId="0" borderId="0" xfId="0" applyNumberFormat="1" applyFont="1"/>
    <xf numFmtId="10" fontId="7" fillId="0" borderId="0" xfId="0" applyNumberFormat="1" applyFont="1"/>
    <xf numFmtId="1" fontId="0" fillId="0" borderId="13" xfId="0" applyNumberFormat="1" applyFill="1" applyBorder="1"/>
    <xf numFmtId="1" fontId="0" fillId="0" borderId="3" xfId="0" applyNumberFormat="1" applyFill="1" applyBorder="1"/>
    <xf numFmtId="182" fontId="16" fillId="0" borderId="0" xfId="3" applyNumberFormat="1" applyFont="1" applyBorder="1" applyProtection="1"/>
    <xf numFmtId="182" fontId="16" fillId="0" borderId="4" xfId="3" applyNumberFormat="1" applyFont="1" applyBorder="1" applyProtection="1"/>
    <xf numFmtId="181" fontId="7" fillId="4" borderId="0" xfId="3" applyNumberFormat="1" applyFont="1" applyFill="1" applyBorder="1" applyProtection="1">
      <protection locked="0"/>
    </xf>
    <xf numFmtId="6" fontId="0" fillId="0" borderId="0" xfId="0" applyNumberFormat="1"/>
    <xf numFmtId="14" fontId="0" fillId="0" borderId="0" xfId="0" applyNumberFormat="1"/>
    <xf numFmtId="0" fontId="17" fillId="0" borderId="0" xfId="0" applyFont="1" applyAlignment="1">
      <alignment horizontal="right"/>
    </xf>
    <xf numFmtId="6" fontId="17" fillId="0" borderId="0" xfId="0" applyNumberFormat="1" applyFont="1"/>
    <xf numFmtId="6" fontId="13" fillId="0" borderId="0" xfId="0" applyNumberFormat="1" applyFont="1"/>
    <xf numFmtId="0" fontId="14" fillId="0" borderId="0" xfId="0" applyFont="1"/>
    <xf numFmtId="6" fontId="0" fillId="0" borderId="13" xfId="0" applyNumberFormat="1" applyBorder="1"/>
    <xf numFmtId="171" fontId="0" fillId="0" borderId="0" xfId="0" applyNumberFormat="1" applyBorder="1"/>
    <xf numFmtId="0" fontId="0" fillId="0" borderId="13" xfId="0" applyBorder="1" applyAlignment="1">
      <alignment horizontal="center"/>
    </xf>
    <xf numFmtId="0" fontId="18" fillId="0" borderId="0" xfId="0" applyFont="1"/>
    <xf numFmtId="225" fontId="0" fillId="0" borderId="0" xfId="0" applyNumberFormat="1" applyAlignment="1">
      <alignment horizontal="right"/>
    </xf>
    <xf numFmtId="3" fontId="0" fillId="0" borderId="0" xfId="0" applyNumberFormat="1" applyAlignment="1">
      <alignment horizontal="centerContinuous" wrapText="1"/>
    </xf>
    <xf numFmtId="8" fontId="0" fillId="2" borderId="0" xfId="0" applyNumberFormat="1" applyFill="1" applyAlignment="1">
      <alignment horizontal="center"/>
    </xf>
    <xf numFmtId="6" fontId="0" fillId="0" borderId="0" xfId="0" applyNumberFormat="1" applyBorder="1"/>
    <xf numFmtId="37" fontId="19" fillId="0" borderId="0" xfId="0" applyNumberFormat="1" applyFont="1" applyFill="1" applyBorder="1" applyProtection="1"/>
    <xf numFmtId="226" fontId="20" fillId="0" borderId="0" xfId="0" applyNumberFormat="1" applyFont="1" applyFill="1" applyProtection="1"/>
    <xf numFmtId="0" fontId="20" fillId="0" borderId="0" xfId="0" applyFont="1" applyFill="1" applyProtection="1"/>
    <xf numFmtId="0" fontId="0" fillId="0" borderId="0" xfId="0" applyFill="1" applyProtection="1"/>
    <xf numFmtId="0" fontId="0" fillId="0" borderId="0" xfId="0" applyBorder="1" applyProtection="1"/>
    <xf numFmtId="226" fontId="20" fillId="0" borderId="0" xfId="0" applyNumberFormat="1" applyFont="1" applyBorder="1" applyProtection="1"/>
    <xf numFmtId="0" fontId="0" fillId="0" borderId="0" xfId="0" applyFill="1" applyBorder="1" applyAlignment="1" applyProtection="1">
      <alignment horizontal="left"/>
    </xf>
    <xf numFmtId="0" fontId="21" fillId="0" borderId="0" xfId="0" applyFont="1" applyFill="1" applyBorder="1" applyProtection="1"/>
    <xf numFmtId="0" fontId="20" fillId="0" borderId="0" xfId="0" applyFont="1" applyFill="1" applyBorder="1" applyProtection="1"/>
    <xf numFmtId="0" fontId="0" fillId="0" borderId="0" xfId="0" applyFill="1"/>
    <xf numFmtId="0" fontId="20" fillId="0" borderId="0" xfId="0" applyFont="1" applyBorder="1" applyProtection="1"/>
    <xf numFmtId="17" fontId="0" fillId="2" borderId="18" xfId="0" applyNumberFormat="1" applyFill="1" applyBorder="1" applyProtection="1"/>
    <xf numFmtId="0" fontId="1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14" fontId="2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22" fillId="0" borderId="0" xfId="0" applyFont="1" applyFill="1" applyBorder="1"/>
    <xf numFmtId="14" fontId="0" fillId="0" borderId="0" xfId="0" applyNumberFormat="1" applyFill="1" applyBorder="1"/>
    <xf numFmtId="17" fontId="0" fillId="0" borderId="0" xfId="0" applyNumberFormat="1" applyBorder="1" applyProtection="1"/>
    <xf numFmtId="14" fontId="22" fillId="0" borderId="0" xfId="0" applyNumberFormat="1" applyFont="1" applyFill="1" applyBorder="1"/>
    <xf numFmtId="0" fontId="0" fillId="0" borderId="0" xfId="0" applyBorder="1" applyAlignment="1" applyProtection="1">
      <alignment horizontal="left"/>
    </xf>
    <xf numFmtId="226" fontId="23" fillId="0" borderId="0" xfId="0" applyNumberFormat="1" applyFont="1" applyBorder="1" applyProtection="1"/>
    <xf numFmtId="17" fontId="6" fillId="0" borderId="0" xfId="0" applyNumberFormat="1" applyFont="1" applyFill="1" applyBorder="1"/>
    <xf numFmtId="43" fontId="6" fillId="0" borderId="0" xfId="1" applyFont="1" applyFill="1" applyBorder="1" applyAlignment="1" applyProtection="1">
      <alignment horizontal="centerContinuous"/>
      <protection locked="0"/>
    </xf>
    <xf numFmtId="0" fontId="6" fillId="0" borderId="0" xfId="0" applyFont="1" applyFill="1" applyBorder="1" applyAlignment="1">
      <alignment horizontal="centerContinuous"/>
    </xf>
    <xf numFmtId="0" fontId="6" fillId="0" borderId="0" xfId="0" applyFont="1" applyFill="1" applyBorder="1"/>
    <xf numFmtId="0" fontId="22" fillId="0" borderId="0" xfId="0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center"/>
    </xf>
    <xf numFmtId="228" fontId="0" fillId="0" borderId="0" xfId="0" applyNumberFormat="1" applyBorder="1" applyProtection="1"/>
    <xf numFmtId="0" fontId="23" fillId="0" borderId="0" xfId="0" applyFont="1" applyBorder="1" applyProtection="1"/>
    <xf numFmtId="14" fontId="22" fillId="0" borderId="0" xfId="0" applyNumberFormat="1" applyFont="1" applyFill="1" applyBorder="1" applyProtection="1"/>
    <xf numFmtId="236" fontId="6" fillId="0" borderId="0" xfId="0" applyNumberFormat="1" applyFont="1" applyFill="1" applyBorder="1" applyAlignment="1" applyProtection="1">
      <alignment horizontal="center"/>
    </xf>
    <xf numFmtId="39" fontId="0" fillId="0" borderId="0" xfId="0" applyNumberFormat="1" applyBorder="1" applyProtection="1"/>
    <xf numFmtId="237" fontId="23" fillId="0" borderId="0" xfId="0" applyNumberFormat="1" applyFont="1" applyFill="1" applyBorder="1" applyProtection="1">
      <protection locked="0"/>
    </xf>
    <xf numFmtId="37" fontId="20" fillId="0" borderId="0" xfId="0" applyNumberFormat="1" applyFont="1" applyBorder="1" applyProtection="1"/>
    <xf numFmtId="39" fontId="20" fillId="0" borderId="0" xfId="0" applyNumberFormat="1" applyFont="1" applyProtection="1">
      <protection locked="0"/>
    </xf>
    <xf numFmtId="178" fontId="20" fillId="0" borderId="0" xfId="0" applyNumberFormat="1" applyFont="1" applyBorder="1" applyProtection="1"/>
    <xf numFmtId="0" fontId="0" fillId="0" borderId="0" xfId="0" applyFill="1" applyBorder="1" applyProtection="1"/>
    <xf numFmtId="17" fontId="22" fillId="0" borderId="0" xfId="0" applyNumberFormat="1" applyFont="1" applyFill="1" applyBorder="1" applyProtection="1"/>
    <xf numFmtId="191" fontId="20" fillId="0" borderId="0" xfId="0" applyNumberFormat="1" applyFont="1" applyBorder="1" applyProtection="1"/>
    <xf numFmtId="237" fontId="0" fillId="0" borderId="0" xfId="0" applyNumberFormat="1"/>
    <xf numFmtId="7" fontId="0" fillId="0" borderId="0" xfId="0" applyNumberFormat="1"/>
    <xf numFmtId="164" fontId="17" fillId="0" borderId="0" xfId="0" applyNumberFormat="1" applyFont="1" applyAlignment="1">
      <alignment horizontal="right"/>
    </xf>
    <xf numFmtId="2" fontId="6" fillId="0" borderId="0" xfId="0" applyNumberFormat="1" applyFont="1" applyFill="1" applyBorder="1" applyAlignment="1" applyProtection="1">
      <alignment horizontal="center"/>
    </xf>
    <xf numFmtId="3" fontId="0" fillId="2" borderId="0" xfId="0" applyNumberFormat="1" applyFill="1" applyBorder="1"/>
    <xf numFmtId="172" fontId="0" fillId="2" borderId="0" xfId="0" applyNumberFormat="1" applyFill="1"/>
    <xf numFmtId="0" fontId="8" fillId="0" borderId="0" xfId="0" applyFont="1"/>
    <xf numFmtId="6" fontId="17" fillId="2" borderId="0" xfId="0" applyNumberFormat="1" applyFont="1" applyFill="1"/>
    <xf numFmtId="43" fontId="6" fillId="2" borderId="0" xfId="0" applyNumberFormat="1" applyFont="1" applyFill="1" applyBorder="1"/>
    <xf numFmtId="14" fontId="10" fillId="0" borderId="0" xfId="0" applyNumberFormat="1" applyFont="1"/>
    <xf numFmtId="272" fontId="0" fillId="2" borderId="0" xfId="0" applyNumberFormat="1" applyFill="1"/>
    <xf numFmtId="205" fontId="0" fillId="2" borderId="0" xfId="0" applyNumberFormat="1" applyFill="1"/>
    <xf numFmtId="0" fontId="0" fillId="0" borderId="0" xfId="0" applyBorder="1" applyAlignment="1">
      <alignment horizontal="centerContinuous"/>
    </xf>
    <xf numFmtId="0" fontId="25" fillId="0" borderId="0" xfId="0" applyFont="1"/>
    <xf numFmtId="0" fontId="26" fillId="0" borderId="0" xfId="0" applyFont="1"/>
    <xf numFmtId="0" fontId="5" fillId="0" borderId="0" xfId="0" applyFont="1" applyAlignment="1">
      <alignment horizontal="centerContinuous"/>
    </xf>
    <xf numFmtId="0" fontId="0" fillId="0" borderId="0" xfId="0" applyAlignment="1">
      <alignment horizontal="center" wrapText="1"/>
    </xf>
    <xf numFmtId="41" fontId="10" fillId="0" borderId="0" xfId="0" applyNumberFormat="1" applyFont="1"/>
    <xf numFmtId="273" fontId="0" fillId="0" borderId="0" xfId="0" applyNumberFormat="1" applyFill="1"/>
    <xf numFmtId="0" fontId="27" fillId="0" borderId="0" xfId="2" applyFont="1" applyFill="1"/>
    <xf numFmtId="1" fontId="27" fillId="0" borderId="0" xfId="2" applyNumberFormat="1" applyFont="1" applyFill="1"/>
    <xf numFmtId="17" fontId="0" fillId="0" borderId="0" xfId="0" applyNumberFormat="1" applyFill="1"/>
    <xf numFmtId="1" fontId="0" fillId="0" borderId="0" xfId="0" applyNumberFormat="1" applyFill="1"/>
    <xf numFmtId="1" fontId="12" fillId="0" borderId="0" xfId="0" applyNumberFormat="1" applyFont="1" applyFill="1"/>
    <xf numFmtId="41" fontId="0" fillId="0" borderId="0" xfId="0" applyNumberFormat="1"/>
    <xf numFmtId="0" fontId="5" fillId="0" borderId="19" xfId="0" applyFont="1" applyBorder="1"/>
    <xf numFmtId="0" fontId="5" fillId="0" borderId="20" xfId="0" applyFont="1" applyBorder="1"/>
    <xf numFmtId="273" fontId="0" fillId="5" borderId="0" xfId="0" applyNumberFormat="1" applyFill="1"/>
    <xf numFmtId="0" fontId="27" fillId="5" borderId="0" xfId="2" applyFont="1" applyFill="1"/>
    <xf numFmtId="0" fontId="0" fillId="5" borderId="0" xfId="0" applyFill="1"/>
    <xf numFmtId="1" fontId="0" fillId="5" borderId="0" xfId="0" applyNumberFormat="1" applyFill="1"/>
    <xf numFmtId="1" fontId="12" fillId="5" borderId="0" xfId="0" applyNumberFormat="1" applyFont="1" applyFill="1"/>
    <xf numFmtId="273" fontId="0" fillId="6" borderId="0" xfId="0" applyNumberFormat="1" applyFill="1"/>
    <xf numFmtId="0" fontId="27" fillId="6" borderId="0" xfId="2" applyFont="1" applyFill="1"/>
    <xf numFmtId="0" fontId="0" fillId="6" borderId="0" xfId="0" applyFill="1"/>
    <xf numFmtId="1" fontId="0" fillId="6" borderId="0" xfId="0" applyNumberFormat="1" applyFill="1"/>
    <xf numFmtId="1" fontId="12" fillId="6" borderId="0" xfId="0" applyNumberFormat="1" applyFont="1" applyFill="1"/>
    <xf numFmtId="273" fontId="0" fillId="7" borderId="0" xfId="0" applyNumberFormat="1" applyFill="1"/>
    <xf numFmtId="0" fontId="27" fillId="7" borderId="0" xfId="2" applyFont="1" applyFill="1"/>
    <xf numFmtId="0" fontId="0" fillId="7" borderId="0" xfId="0" applyFill="1"/>
    <xf numFmtId="1" fontId="0" fillId="7" borderId="0" xfId="0" applyNumberFormat="1" applyFill="1"/>
    <xf numFmtId="1" fontId="12" fillId="7" borderId="0" xfId="0" applyNumberFormat="1" applyFont="1" applyFill="1"/>
    <xf numFmtId="0" fontId="0" fillId="0" borderId="12" xfId="0" applyBorder="1" applyAlignment="1">
      <alignment horizontal="left"/>
    </xf>
    <xf numFmtId="0" fontId="0" fillId="0" borderId="1" xfId="0" applyBorder="1" applyAlignment="1"/>
    <xf numFmtId="15" fontId="0" fillId="0" borderId="0" xfId="0" applyNumberFormat="1" applyAlignment="1"/>
  </cellXfs>
  <cellStyles count="5">
    <cellStyle name="Comma" xfId="1" builtinId="3"/>
    <cellStyle name="Normal" xfId="0" builtinId="0"/>
    <cellStyle name="Normal_EXPT_0898" xfId="2"/>
    <cellStyle name="Normal_m1_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41" name="Text Box 1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42" name="Text Box 2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43" name="Text Box 3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44" name="Text Box 4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45" name="Text Box 5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46" name="Text Box 6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47" name="Text Box 7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48" name="Text Box 8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49" name="Text Box 9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50" name="Text Box 10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51" name="Text Box 11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52" name="Text Box 12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53" name="Text Box 13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54" name="Text Box 14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55" name="Text Box 15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56" name="Text Box 16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57" name="Text Box 17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58" name="Text Box 18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59" name="Text Box 19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60" name="Text Box 20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61" name="Text Box 21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62" name="Text Box 22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63" name="Text Box 23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64" name="Text Box 24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65" name="Text Box 25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66" name="Text Box 26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67" name="Text Box 27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68" name="Text Box 28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69" name="Text Box 29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70" name="Text Box 30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71" name="Text Box 31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0272" name="Text Box 32"/>
        <xdr:cNvSpPr txBox="1">
          <a:spLocks noChangeArrowheads="1"/>
        </xdr:cNvSpPr>
      </xdr:nvSpPr>
      <xdr:spPr bwMode="auto">
        <a:xfrm>
          <a:off x="791527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0273" name="Text Box 33"/>
        <xdr:cNvSpPr txBox="1">
          <a:spLocks noChangeArrowheads="1"/>
        </xdr:cNvSpPr>
      </xdr:nvSpPr>
      <xdr:spPr bwMode="auto">
        <a:xfrm>
          <a:off x="7915275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0274" name="Text Box 34"/>
        <xdr:cNvSpPr txBox="1">
          <a:spLocks noChangeArrowheads="1"/>
        </xdr:cNvSpPr>
      </xdr:nvSpPr>
      <xdr:spPr bwMode="auto">
        <a:xfrm>
          <a:off x="7915275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0275" name="Text Box 35"/>
        <xdr:cNvSpPr txBox="1">
          <a:spLocks noChangeArrowheads="1"/>
        </xdr:cNvSpPr>
      </xdr:nvSpPr>
      <xdr:spPr bwMode="auto">
        <a:xfrm>
          <a:off x="7915275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0276" name="Text Box 36"/>
        <xdr:cNvSpPr txBox="1">
          <a:spLocks noChangeArrowheads="1"/>
        </xdr:cNvSpPr>
      </xdr:nvSpPr>
      <xdr:spPr bwMode="auto">
        <a:xfrm>
          <a:off x="7915275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0277" name="Text Box 37"/>
        <xdr:cNvSpPr txBox="1">
          <a:spLocks noChangeArrowheads="1"/>
        </xdr:cNvSpPr>
      </xdr:nvSpPr>
      <xdr:spPr bwMode="auto">
        <a:xfrm>
          <a:off x="7915275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0278" name="Text Box 38"/>
        <xdr:cNvSpPr txBox="1">
          <a:spLocks noChangeArrowheads="1"/>
        </xdr:cNvSpPr>
      </xdr:nvSpPr>
      <xdr:spPr bwMode="auto">
        <a:xfrm>
          <a:off x="7915275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0279" name="Text Box 39"/>
        <xdr:cNvSpPr txBox="1">
          <a:spLocks noChangeArrowheads="1"/>
        </xdr:cNvSpPr>
      </xdr:nvSpPr>
      <xdr:spPr bwMode="auto">
        <a:xfrm>
          <a:off x="7915275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0280" name="Text Box 40"/>
        <xdr:cNvSpPr txBox="1">
          <a:spLocks noChangeArrowheads="1"/>
        </xdr:cNvSpPr>
      </xdr:nvSpPr>
      <xdr:spPr bwMode="auto">
        <a:xfrm>
          <a:off x="7915275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0281" name="Text Box 41"/>
        <xdr:cNvSpPr txBox="1">
          <a:spLocks noChangeArrowheads="1"/>
        </xdr:cNvSpPr>
      </xdr:nvSpPr>
      <xdr:spPr bwMode="auto">
        <a:xfrm>
          <a:off x="7915275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0282" name="Text Box 42"/>
        <xdr:cNvSpPr txBox="1">
          <a:spLocks noChangeArrowheads="1"/>
        </xdr:cNvSpPr>
      </xdr:nvSpPr>
      <xdr:spPr bwMode="auto">
        <a:xfrm>
          <a:off x="7915275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0283" name="Text Box 43"/>
        <xdr:cNvSpPr txBox="1">
          <a:spLocks noChangeArrowheads="1"/>
        </xdr:cNvSpPr>
      </xdr:nvSpPr>
      <xdr:spPr bwMode="auto">
        <a:xfrm>
          <a:off x="7915275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0284" name="Text Box 44"/>
        <xdr:cNvSpPr txBox="1">
          <a:spLocks noChangeArrowheads="1"/>
        </xdr:cNvSpPr>
      </xdr:nvSpPr>
      <xdr:spPr bwMode="auto">
        <a:xfrm>
          <a:off x="7915275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0285" name="Text Box 45"/>
        <xdr:cNvSpPr txBox="1">
          <a:spLocks noChangeArrowheads="1"/>
        </xdr:cNvSpPr>
      </xdr:nvSpPr>
      <xdr:spPr bwMode="auto">
        <a:xfrm>
          <a:off x="7915275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0286" name="Text Box 46"/>
        <xdr:cNvSpPr txBox="1">
          <a:spLocks noChangeArrowheads="1"/>
        </xdr:cNvSpPr>
      </xdr:nvSpPr>
      <xdr:spPr bwMode="auto">
        <a:xfrm>
          <a:off x="7915275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0287" name="Text Box 47"/>
        <xdr:cNvSpPr txBox="1">
          <a:spLocks noChangeArrowheads="1"/>
        </xdr:cNvSpPr>
      </xdr:nvSpPr>
      <xdr:spPr bwMode="auto">
        <a:xfrm>
          <a:off x="7915275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0288" name="Text Box 48"/>
        <xdr:cNvSpPr txBox="1">
          <a:spLocks noChangeArrowheads="1"/>
        </xdr:cNvSpPr>
      </xdr:nvSpPr>
      <xdr:spPr bwMode="auto">
        <a:xfrm>
          <a:off x="7915275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0289" name="Text Box 49"/>
        <xdr:cNvSpPr txBox="1">
          <a:spLocks noChangeArrowheads="1"/>
        </xdr:cNvSpPr>
      </xdr:nvSpPr>
      <xdr:spPr bwMode="auto">
        <a:xfrm>
          <a:off x="7915275" y="485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0290" name="Text Box 50"/>
        <xdr:cNvSpPr txBox="1">
          <a:spLocks noChangeArrowheads="1"/>
        </xdr:cNvSpPr>
      </xdr:nvSpPr>
      <xdr:spPr bwMode="auto">
        <a:xfrm>
          <a:off x="7915275" y="485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0291" name="Text Box 51"/>
        <xdr:cNvSpPr txBox="1">
          <a:spLocks noChangeArrowheads="1"/>
        </xdr:cNvSpPr>
      </xdr:nvSpPr>
      <xdr:spPr bwMode="auto">
        <a:xfrm>
          <a:off x="7915275" y="485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0292" name="Text Box 52"/>
        <xdr:cNvSpPr txBox="1">
          <a:spLocks noChangeArrowheads="1"/>
        </xdr:cNvSpPr>
      </xdr:nvSpPr>
      <xdr:spPr bwMode="auto">
        <a:xfrm>
          <a:off x="7915275" y="485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0293" name="Text Box 53"/>
        <xdr:cNvSpPr txBox="1">
          <a:spLocks noChangeArrowheads="1"/>
        </xdr:cNvSpPr>
      </xdr:nvSpPr>
      <xdr:spPr bwMode="auto">
        <a:xfrm>
          <a:off x="7915275" y="485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0294" name="Text Box 54"/>
        <xdr:cNvSpPr txBox="1">
          <a:spLocks noChangeArrowheads="1"/>
        </xdr:cNvSpPr>
      </xdr:nvSpPr>
      <xdr:spPr bwMode="auto">
        <a:xfrm>
          <a:off x="7915275" y="485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0295" name="Text Box 55"/>
        <xdr:cNvSpPr txBox="1">
          <a:spLocks noChangeArrowheads="1"/>
        </xdr:cNvSpPr>
      </xdr:nvSpPr>
      <xdr:spPr bwMode="auto">
        <a:xfrm>
          <a:off x="7915275" y="485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0296" name="Text Box 56"/>
        <xdr:cNvSpPr txBox="1">
          <a:spLocks noChangeArrowheads="1"/>
        </xdr:cNvSpPr>
      </xdr:nvSpPr>
      <xdr:spPr bwMode="auto">
        <a:xfrm>
          <a:off x="7915275" y="485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0297" name="Text Box 57"/>
        <xdr:cNvSpPr txBox="1">
          <a:spLocks noChangeArrowheads="1"/>
        </xdr:cNvSpPr>
      </xdr:nvSpPr>
      <xdr:spPr bwMode="auto">
        <a:xfrm>
          <a:off x="7915275" y="485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0298" name="Text Box 58"/>
        <xdr:cNvSpPr txBox="1">
          <a:spLocks noChangeArrowheads="1"/>
        </xdr:cNvSpPr>
      </xdr:nvSpPr>
      <xdr:spPr bwMode="auto">
        <a:xfrm>
          <a:off x="7915275" y="485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0299" name="Text Box 59"/>
        <xdr:cNvSpPr txBox="1">
          <a:spLocks noChangeArrowheads="1"/>
        </xdr:cNvSpPr>
      </xdr:nvSpPr>
      <xdr:spPr bwMode="auto">
        <a:xfrm>
          <a:off x="7915275" y="485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0300" name="Text Box 60"/>
        <xdr:cNvSpPr txBox="1">
          <a:spLocks noChangeArrowheads="1"/>
        </xdr:cNvSpPr>
      </xdr:nvSpPr>
      <xdr:spPr bwMode="auto">
        <a:xfrm>
          <a:off x="7915275" y="485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0301" name="Text Box 61"/>
        <xdr:cNvSpPr txBox="1">
          <a:spLocks noChangeArrowheads="1"/>
        </xdr:cNvSpPr>
      </xdr:nvSpPr>
      <xdr:spPr bwMode="auto">
        <a:xfrm>
          <a:off x="7915275" y="485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0302" name="Text Box 62"/>
        <xdr:cNvSpPr txBox="1">
          <a:spLocks noChangeArrowheads="1"/>
        </xdr:cNvSpPr>
      </xdr:nvSpPr>
      <xdr:spPr bwMode="auto">
        <a:xfrm>
          <a:off x="7915275" y="485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0303" name="Text Box 63"/>
        <xdr:cNvSpPr txBox="1">
          <a:spLocks noChangeArrowheads="1"/>
        </xdr:cNvSpPr>
      </xdr:nvSpPr>
      <xdr:spPr bwMode="auto">
        <a:xfrm>
          <a:off x="7915275" y="485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0304" name="Text Box 64"/>
        <xdr:cNvSpPr txBox="1">
          <a:spLocks noChangeArrowheads="1"/>
        </xdr:cNvSpPr>
      </xdr:nvSpPr>
      <xdr:spPr bwMode="auto">
        <a:xfrm>
          <a:off x="7915275" y="485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0305" name="Text Box 65"/>
        <xdr:cNvSpPr txBox="1">
          <a:spLocks noChangeArrowheads="1"/>
        </xdr:cNvSpPr>
      </xdr:nvSpPr>
      <xdr:spPr bwMode="auto">
        <a:xfrm>
          <a:off x="7915275" y="647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0306" name="Text Box 66"/>
        <xdr:cNvSpPr txBox="1">
          <a:spLocks noChangeArrowheads="1"/>
        </xdr:cNvSpPr>
      </xdr:nvSpPr>
      <xdr:spPr bwMode="auto">
        <a:xfrm>
          <a:off x="7915275" y="647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0307" name="Text Box 67"/>
        <xdr:cNvSpPr txBox="1">
          <a:spLocks noChangeArrowheads="1"/>
        </xdr:cNvSpPr>
      </xdr:nvSpPr>
      <xdr:spPr bwMode="auto">
        <a:xfrm>
          <a:off x="7915275" y="647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0308" name="Text Box 68"/>
        <xdr:cNvSpPr txBox="1">
          <a:spLocks noChangeArrowheads="1"/>
        </xdr:cNvSpPr>
      </xdr:nvSpPr>
      <xdr:spPr bwMode="auto">
        <a:xfrm>
          <a:off x="7915275" y="647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0309" name="Text Box 69"/>
        <xdr:cNvSpPr txBox="1">
          <a:spLocks noChangeArrowheads="1"/>
        </xdr:cNvSpPr>
      </xdr:nvSpPr>
      <xdr:spPr bwMode="auto">
        <a:xfrm>
          <a:off x="7915275" y="647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0310" name="Text Box 70"/>
        <xdr:cNvSpPr txBox="1">
          <a:spLocks noChangeArrowheads="1"/>
        </xdr:cNvSpPr>
      </xdr:nvSpPr>
      <xdr:spPr bwMode="auto">
        <a:xfrm>
          <a:off x="7915275" y="647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0311" name="Text Box 71"/>
        <xdr:cNvSpPr txBox="1">
          <a:spLocks noChangeArrowheads="1"/>
        </xdr:cNvSpPr>
      </xdr:nvSpPr>
      <xdr:spPr bwMode="auto">
        <a:xfrm>
          <a:off x="7915275" y="647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0312" name="Text Box 72"/>
        <xdr:cNvSpPr txBox="1">
          <a:spLocks noChangeArrowheads="1"/>
        </xdr:cNvSpPr>
      </xdr:nvSpPr>
      <xdr:spPr bwMode="auto">
        <a:xfrm>
          <a:off x="7915275" y="647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0313" name="Text Box 73"/>
        <xdr:cNvSpPr txBox="1">
          <a:spLocks noChangeArrowheads="1"/>
        </xdr:cNvSpPr>
      </xdr:nvSpPr>
      <xdr:spPr bwMode="auto">
        <a:xfrm>
          <a:off x="7915275" y="647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0314" name="Text Box 74"/>
        <xdr:cNvSpPr txBox="1">
          <a:spLocks noChangeArrowheads="1"/>
        </xdr:cNvSpPr>
      </xdr:nvSpPr>
      <xdr:spPr bwMode="auto">
        <a:xfrm>
          <a:off x="7915275" y="647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0315" name="Text Box 75"/>
        <xdr:cNvSpPr txBox="1">
          <a:spLocks noChangeArrowheads="1"/>
        </xdr:cNvSpPr>
      </xdr:nvSpPr>
      <xdr:spPr bwMode="auto">
        <a:xfrm>
          <a:off x="7915275" y="647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0316" name="Text Box 76"/>
        <xdr:cNvSpPr txBox="1">
          <a:spLocks noChangeArrowheads="1"/>
        </xdr:cNvSpPr>
      </xdr:nvSpPr>
      <xdr:spPr bwMode="auto">
        <a:xfrm>
          <a:off x="7915275" y="647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0317" name="Text Box 77"/>
        <xdr:cNvSpPr txBox="1">
          <a:spLocks noChangeArrowheads="1"/>
        </xdr:cNvSpPr>
      </xdr:nvSpPr>
      <xdr:spPr bwMode="auto">
        <a:xfrm>
          <a:off x="7915275" y="647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0318" name="Text Box 78"/>
        <xdr:cNvSpPr txBox="1">
          <a:spLocks noChangeArrowheads="1"/>
        </xdr:cNvSpPr>
      </xdr:nvSpPr>
      <xdr:spPr bwMode="auto">
        <a:xfrm>
          <a:off x="7915275" y="647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0319" name="Text Box 79"/>
        <xdr:cNvSpPr txBox="1">
          <a:spLocks noChangeArrowheads="1"/>
        </xdr:cNvSpPr>
      </xdr:nvSpPr>
      <xdr:spPr bwMode="auto">
        <a:xfrm>
          <a:off x="7915275" y="647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0320" name="Text Box 80"/>
        <xdr:cNvSpPr txBox="1">
          <a:spLocks noChangeArrowheads="1"/>
        </xdr:cNvSpPr>
      </xdr:nvSpPr>
      <xdr:spPr bwMode="auto">
        <a:xfrm>
          <a:off x="7915275" y="647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0321" name="Text Box 81"/>
        <xdr:cNvSpPr txBox="1">
          <a:spLocks noChangeArrowheads="1"/>
        </xdr:cNvSpPr>
      </xdr:nvSpPr>
      <xdr:spPr bwMode="auto">
        <a:xfrm>
          <a:off x="7915275" y="809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0322" name="Text Box 82"/>
        <xdr:cNvSpPr txBox="1">
          <a:spLocks noChangeArrowheads="1"/>
        </xdr:cNvSpPr>
      </xdr:nvSpPr>
      <xdr:spPr bwMode="auto">
        <a:xfrm>
          <a:off x="7915275" y="809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0323" name="Text Box 83"/>
        <xdr:cNvSpPr txBox="1">
          <a:spLocks noChangeArrowheads="1"/>
        </xdr:cNvSpPr>
      </xdr:nvSpPr>
      <xdr:spPr bwMode="auto">
        <a:xfrm>
          <a:off x="7915275" y="809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0324" name="Text Box 84"/>
        <xdr:cNvSpPr txBox="1">
          <a:spLocks noChangeArrowheads="1"/>
        </xdr:cNvSpPr>
      </xdr:nvSpPr>
      <xdr:spPr bwMode="auto">
        <a:xfrm>
          <a:off x="7915275" y="809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0325" name="Text Box 85"/>
        <xdr:cNvSpPr txBox="1">
          <a:spLocks noChangeArrowheads="1"/>
        </xdr:cNvSpPr>
      </xdr:nvSpPr>
      <xdr:spPr bwMode="auto">
        <a:xfrm>
          <a:off x="7915275" y="809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0326" name="Text Box 86"/>
        <xdr:cNvSpPr txBox="1">
          <a:spLocks noChangeArrowheads="1"/>
        </xdr:cNvSpPr>
      </xdr:nvSpPr>
      <xdr:spPr bwMode="auto">
        <a:xfrm>
          <a:off x="7915275" y="809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0327" name="Text Box 87"/>
        <xdr:cNvSpPr txBox="1">
          <a:spLocks noChangeArrowheads="1"/>
        </xdr:cNvSpPr>
      </xdr:nvSpPr>
      <xdr:spPr bwMode="auto">
        <a:xfrm>
          <a:off x="7915275" y="809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0328" name="Text Box 88"/>
        <xdr:cNvSpPr txBox="1">
          <a:spLocks noChangeArrowheads="1"/>
        </xdr:cNvSpPr>
      </xdr:nvSpPr>
      <xdr:spPr bwMode="auto">
        <a:xfrm>
          <a:off x="7915275" y="809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0329" name="Text Box 89"/>
        <xdr:cNvSpPr txBox="1">
          <a:spLocks noChangeArrowheads="1"/>
        </xdr:cNvSpPr>
      </xdr:nvSpPr>
      <xdr:spPr bwMode="auto">
        <a:xfrm>
          <a:off x="7915275" y="809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0330" name="Text Box 90"/>
        <xdr:cNvSpPr txBox="1">
          <a:spLocks noChangeArrowheads="1"/>
        </xdr:cNvSpPr>
      </xdr:nvSpPr>
      <xdr:spPr bwMode="auto">
        <a:xfrm>
          <a:off x="7915275" y="809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0331" name="Text Box 91"/>
        <xdr:cNvSpPr txBox="1">
          <a:spLocks noChangeArrowheads="1"/>
        </xdr:cNvSpPr>
      </xdr:nvSpPr>
      <xdr:spPr bwMode="auto">
        <a:xfrm>
          <a:off x="7915275" y="809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0332" name="Text Box 92"/>
        <xdr:cNvSpPr txBox="1">
          <a:spLocks noChangeArrowheads="1"/>
        </xdr:cNvSpPr>
      </xdr:nvSpPr>
      <xdr:spPr bwMode="auto">
        <a:xfrm>
          <a:off x="7915275" y="809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0333" name="Text Box 93"/>
        <xdr:cNvSpPr txBox="1">
          <a:spLocks noChangeArrowheads="1"/>
        </xdr:cNvSpPr>
      </xdr:nvSpPr>
      <xdr:spPr bwMode="auto">
        <a:xfrm>
          <a:off x="7915275" y="809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0334" name="Text Box 94"/>
        <xdr:cNvSpPr txBox="1">
          <a:spLocks noChangeArrowheads="1"/>
        </xdr:cNvSpPr>
      </xdr:nvSpPr>
      <xdr:spPr bwMode="auto">
        <a:xfrm>
          <a:off x="7915275" y="809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0335" name="Text Box 95"/>
        <xdr:cNvSpPr txBox="1">
          <a:spLocks noChangeArrowheads="1"/>
        </xdr:cNvSpPr>
      </xdr:nvSpPr>
      <xdr:spPr bwMode="auto">
        <a:xfrm>
          <a:off x="7915275" y="809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0336" name="Text Box 96"/>
        <xdr:cNvSpPr txBox="1">
          <a:spLocks noChangeArrowheads="1"/>
        </xdr:cNvSpPr>
      </xdr:nvSpPr>
      <xdr:spPr bwMode="auto">
        <a:xfrm>
          <a:off x="7915275" y="809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0337" name="Text Box 97"/>
        <xdr:cNvSpPr txBox="1">
          <a:spLocks noChangeArrowheads="1"/>
        </xdr:cNvSpPr>
      </xdr:nvSpPr>
      <xdr:spPr bwMode="auto">
        <a:xfrm>
          <a:off x="7915275" y="971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0338" name="Text Box 98"/>
        <xdr:cNvSpPr txBox="1">
          <a:spLocks noChangeArrowheads="1"/>
        </xdr:cNvSpPr>
      </xdr:nvSpPr>
      <xdr:spPr bwMode="auto">
        <a:xfrm>
          <a:off x="7915275" y="971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0339" name="Text Box 99"/>
        <xdr:cNvSpPr txBox="1">
          <a:spLocks noChangeArrowheads="1"/>
        </xdr:cNvSpPr>
      </xdr:nvSpPr>
      <xdr:spPr bwMode="auto">
        <a:xfrm>
          <a:off x="7915275" y="971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0340" name="Text Box 100"/>
        <xdr:cNvSpPr txBox="1">
          <a:spLocks noChangeArrowheads="1"/>
        </xdr:cNvSpPr>
      </xdr:nvSpPr>
      <xdr:spPr bwMode="auto">
        <a:xfrm>
          <a:off x="7915275" y="971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0341" name="Text Box 101"/>
        <xdr:cNvSpPr txBox="1">
          <a:spLocks noChangeArrowheads="1"/>
        </xdr:cNvSpPr>
      </xdr:nvSpPr>
      <xdr:spPr bwMode="auto">
        <a:xfrm>
          <a:off x="7915275" y="971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0342" name="Text Box 102"/>
        <xdr:cNvSpPr txBox="1">
          <a:spLocks noChangeArrowheads="1"/>
        </xdr:cNvSpPr>
      </xdr:nvSpPr>
      <xdr:spPr bwMode="auto">
        <a:xfrm>
          <a:off x="7915275" y="971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0343" name="Text Box 103"/>
        <xdr:cNvSpPr txBox="1">
          <a:spLocks noChangeArrowheads="1"/>
        </xdr:cNvSpPr>
      </xdr:nvSpPr>
      <xdr:spPr bwMode="auto">
        <a:xfrm>
          <a:off x="7915275" y="971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0344" name="Text Box 104"/>
        <xdr:cNvSpPr txBox="1">
          <a:spLocks noChangeArrowheads="1"/>
        </xdr:cNvSpPr>
      </xdr:nvSpPr>
      <xdr:spPr bwMode="auto">
        <a:xfrm>
          <a:off x="7915275" y="971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0345" name="Text Box 105"/>
        <xdr:cNvSpPr txBox="1">
          <a:spLocks noChangeArrowheads="1"/>
        </xdr:cNvSpPr>
      </xdr:nvSpPr>
      <xdr:spPr bwMode="auto">
        <a:xfrm>
          <a:off x="7915275" y="971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0346" name="Text Box 106"/>
        <xdr:cNvSpPr txBox="1">
          <a:spLocks noChangeArrowheads="1"/>
        </xdr:cNvSpPr>
      </xdr:nvSpPr>
      <xdr:spPr bwMode="auto">
        <a:xfrm>
          <a:off x="7915275" y="971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0347" name="Text Box 107"/>
        <xdr:cNvSpPr txBox="1">
          <a:spLocks noChangeArrowheads="1"/>
        </xdr:cNvSpPr>
      </xdr:nvSpPr>
      <xdr:spPr bwMode="auto">
        <a:xfrm>
          <a:off x="7915275" y="971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0348" name="Text Box 108"/>
        <xdr:cNvSpPr txBox="1">
          <a:spLocks noChangeArrowheads="1"/>
        </xdr:cNvSpPr>
      </xdr:nvSpPr>
      <xdr:spPr bwMode="auto">
        <a:xfrm>
          <a:off x="7915275" y="971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0349" name="Text Box 109"/>
        <xdr:cNvSpPr txBox="1">
          <a:spLocks noChangeArrowheads="1"/>
        </xdr:cNvSpPr>
      </xdr:nvSpPr>
      <xdr:spPr bwMode="auto">
        <a:xfrm>
          <a:off x="7915275" y="971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0350" name="Text Box 110"/>
        <xdr:cNvSpPr txBox="1">
          <a:spLocks noChangeArrowheads="1"/>
        </xdr:cNvSpPr>
      </xdr:nvSpPr>
      <xdr:spPr bwMode="auto">
        <a:xfrm>
          <a:off x="7915275" y="971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0351" name="Text Box 111"/>
        <xdr:cNvSpPr txBox="1">
          <a:spLocks noChangeArrowheads="1"/>
        </xdr:cNvSpPr>
      </xdr:nvSpPr>
      <xdr:spPr bwMode="auto">
        <a:xfrm>
          <a:off x="7915275" y="971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0352" name="Text Box 112"/>
        <xdr:cNvSpPr txBox="1">
          <a:spLocks noChangeArrowheads="1"/>
        </xdr:cNvSpPr>
      </xdr:nvSpPr>
      <xdr:spPr bwMode="auto">
        <a:xfrm>
          <a:off x="7915275" y="971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0353" name="Text Box 113"/>
        <xdr:cNvSpPr txBox="1">
          <a:spLocks noChangeArrowheads="1"/>
        </xdr:cNvSpPr>
      </xdr:nvSpPr>
      <xdr:spPr bwMode="auto">
        <a:xfrm>
          <a:off x="7915275" y="1133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0354" name="Text Box 114"/>
        <xdr:cNvSpPr txBox="1">
          <a:spLocks noChangeArrowheads="1"/>
        </xdr:cNvSpPr>
      </xdr:nvSpPr>
      <xdr:spPr bwMode="auto">
        <a:xfrm>
          <a:off x="7915275" y="1133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0355" name="Text Box 115"/>
        <xdr:cNvSpPr txBox="1">
          <a:spLocks noChangeArrowheads="1"/>
        </xdr:cNvSpPr>
      </xdr:nvSpPr>
      <xdr:spPr bwMode="auto">
        <a:xfrm>
          <a:off x="7915275" y="1133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0356" name="Text Box 116"/>
        <xdr:cNvSpPr txBox="1">
          <a:spLocks noChangeArrowheads="1"/>
        </xdr:cNvSpPr>
      </xdr:nvSpPr>
      <xdr:spPr bwMode="auto">
        <a:xfrm>
          <a:off x="7915275" y="1133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0357" name="Text Box 117"/>
        <xdr:cNvSpPr txBox="1">
          <a:spLocks noChangeArrowheads="1"/>
        </xdr:cNvSpPr>
      </xdr:nvSpPr>
      <xdr:spPr bwMode="auto">
        <a:xfrm>
          <a:off x="7915275" y="1133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0358" name="Text Box 118"/>
        <xdr:cNvSpPr txBox="1">
          <a:spLocks noChangeArrowheads="1"/>
        </xdr:cNvSpPr>
      </xdr:nvSpPr>
      <xdr:spPr bwMode="auto">
        <a:xfrm>
          <a:off x="7915275" y="1133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0359" name="Text Box 119"/>
        <xdr:cNvSpPr txBox="1">
          <a:spLocks noChangeArrowheads="1"/>
        </xdr:cNvSpPr>
      </xdr:nvSpPr>
      <xdr:spPr bwMode="auto">
        <a:xfrm>
          <a:off x="7915275" y="1133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0360" name="Text Box 120"/>
        <xdr:cNvSpPr txBox="1">
          <a:spLocks noChangeArrowheads="1"/>
        </xdr:cNvSpPr>
      </xdr:nvSpPr>
      <xdr:spPr bwMode="auto">
        <a:xfrm>
          <a:off x="7915275" y="1133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0361" name="Text Box 121"/>
        <xdr:cNvSpPr txBox="1">
          <a:spLocks noChangeArrowheads="1"/>
        </xdr:cNvSpPr>
      </xdr:nvSpPr>
      <xdr:spPr bwMode="auto">
        <a:xfrm>
          <a:off x="7915275" y="1133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0362" name="Text Box 122"/>
        <xdr:cNvSpPr txBox="1">
          <a:spLocks noChangeArrowheads="1"/>
        </xdr:cNvSpPr>
      </xdr:nvSpPr>
      <xdr:spPr bwMode="auto">
        <a:xfrm>
          <a:off x="7915275" y="1133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0363" name="Text Box 123"/>
        <xdr:cNvSpPr txBox="1">
          <a:spLocks noChangeArrowheads="1"/>
        </xdr:cNvSpPr>
      </xdr:nvSpPr>
      <xdr:spPr bwMode="auto">
        <a:xfrm>
          <a:off x="7915275" y="1133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0364" name="Text Box 124"/>
        <xdr:cNvSpPr txBox="1">
          <a:spLocks noChangeArrowheads="1"/>
        </xdr:cNvSpPr>
      </xdr:nvSpPr>
      <xdr:spPr bwMode="auto">
        <a:xfrm>
          <a:off x="7915275" y="1133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0365" name="Text Box 125"/>
        <xdr:cNvSpPr txBox="1">
          <a:spLocks noChangeArrowheads="1"/>
        </xdr:cNvSpPr>
      </xdr:nvSpPr>
      <xdr:spPr bwMode="auto">
        <a:xfrm>
          <a:off x="7915275" y="1133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0366" name="Text Box 126"/>
        <xdr:cNvSpPr txBox="1">
          <a:spLocks noChangeArrowheads="1"/>
        </xdr:cNvSpPr>
      </xdr:nvSpPr>
      <xdr:spPr bwMode="auto">
        <a:xfrm>
          <a:off x="7915275" y="1133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0367" name="Text Box 127"/>
        <xdr:cNvSpPr txBox="1">
          <a:spLocks noChangeArrowheads="1"/>
        </xdr:cNvSpPr>
      </xdr:nvSpPr>
      <xdr:spPr bwMode="auto">
        <a:xfrm>
          <a:off x="7915275" y="1133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0368" name="Text Box 128"/>
        <xdr:cNvSpPr txBox="1">
          <a:spLocks noChangeArrowheads="1"/>
        </xdr:cNvSpPr>
      </xdr:nvSpPr>
      <xdr:spPr bwMode="auto">
        <a:xfrm>
          <a:off x="7915275" y="1133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69" name="Text Box 12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70" name="Text Box 13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71" name="Text Box 13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72" name="Text Box 13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73" name="Text Box 13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74" name="Text Box 13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75" name="Text Box 13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76" name="Text Box 13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77" name="Text Box 13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78" name="Text Box 13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79" name="Text Box 13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80" name="Text Box 14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81" name="Text Box 14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82" name="Text Box 14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83" name="Text Box 14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84" name="Text Box 14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85" name="Text Box 14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86" name="Text Box 14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87" name="Text Box 14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88" name="Text Box 14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89" name="Text Box 14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90" name="Text Box 15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91" name="Text Box 15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92" name="Text Box 15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93" name="Text Box 15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94" name="Text Box 15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95" name="Text Box 15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96" name="Text Box 15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97" name="Text Box 15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98" name="Text Box 15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399" name="Text Box 15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00" name="Text Box 16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01" name="Text Box 16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02" name="Text Box 16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03" name="Text Box 16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04" name="Text Box 16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05" name="Text Box 16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06" name="Text Box 16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07" name="Text Box 16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08" name="Text Box 16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09" name="Text Box 16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10" name="Text Box 17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11" name="Text Box 17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12" name="Text Box 17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13" name="Text Box 17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14" name="Text Box 17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15" name="Text Box 17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16" name="Text Box 17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17" name="Text Box 17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18" name="Text Box 17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19" name="Text Box 17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20" name="Text Box 18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21" name="Text Box 18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22" name="Text Box 18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23" name="Text Box 18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24" name="Text Box 18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25" name="Text Box 18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26" name="Text Box 18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27" name="Text Box 18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28" name="Text Box 18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29" name="Text Box 18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30" name="Text Box 19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31" name="Text Box 19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32" name="Text Box 19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33" name="Text Box 19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34" name="Text Box 19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35" name="Text Box 19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36" name="Text Box 19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37" name="Text Box 19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38" name="Text Box 19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39" name="Text Box 19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40" name="Text Box 20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41" name="Text Box 20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42" name="Text Box 20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43" name="Text Box 20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44" name="Text Box 20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45" name="Text Box 20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46" name="Text Box 20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47" name="Text Box 20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48" name="Text Box 20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49" name="Text Box 20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50" name="Text Box 21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51" name="Text Box 21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52" name="Text Box 21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53" name="Text Box 21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54" name="Text Box 21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55" name="Text Box 21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56" name="Text Box 21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57" name="Text Box 21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58" name="Text Box 21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59" name="Text Box 21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60" name="Text Box 22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61" name="Text Box 22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62" name="Text Box 22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63" name="Text Box 22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64" name="Text Box 22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65" name="Text Box 22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66" name="Text Box 22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67" name="Text Box 22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68" name="Text Box 22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69" name="Text Box 22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70" name="Text Box 23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71" name="Text Box 23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72" name="Text Box 23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73" name="Text Box 23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74" name="Text Box 23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75" name="Text Box 23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76" name="Text Box 23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77" name="Text Box 23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78" name="Text Box 23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79" name="Text Box 23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80" name="Text Box 24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81" name="Text Box 24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82" name="Text Box 24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83" name="Text Box 24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84" name="Text Box 24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85" name="Text Box 24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86" name="Text Box 24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87" name="Text Box 24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88" name="Text Box 24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89" name="Text Box 24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90" name="Text Box 25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91" name="Text Box 25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92" name="Text Box 25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93" name="Text Box 25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94" name="Text Box 25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95" name="Text Box 25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96" name="Text Box 25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97" name="Text Box 25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98" name="Text Box 25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499" name="Text Box 25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00" name="Text Box 26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01" name="Text Box 26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02" name="Text Box 26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03" name="Text Box 26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04" name="Text Box 26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05" name="Text Box 26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06" name="Text Box 26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07" name="Text Box 26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08" name="Text Box 26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09" name="Text Box 26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10" name="Text Box 27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11" name="Text Box 27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12" name="Text Box 27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13" name="Text Box 27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14" name="Text Box 27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15" name="Text Box 27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16" name="Text Box 27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17" name="Text Box 27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18" name="Text Box 27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19" name="Text Box 27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20" name="Text Box 28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21" name="Text Box 28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22" name="Text Box 28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23" name="Text Box 28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24" name="Text Box 28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25" name="Text Box 28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26" name="Text Box 28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27" name="Text Box 28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28" name="Text Box 28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29" name="Text Box 28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30" name="Text Box 29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31" name="Text Box 29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32" name="Text Box 29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33" name="Text Box 29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34" name="Text Box 29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35" name="Text Box 29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36" name="Text Box 29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37" name="Text Box 29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38" name="Text Box 29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39" name="Text Box 29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40" name="Text Box 30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41" name="Text Box 30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42" name="Text Box 30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43" name="Text Box 30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44" name="Text Box 30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45" name="Text Box 30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46" name="Text Box 30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47" name="Text Box 30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48" name="Text Box 30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49" name="Text Box 30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50" name="Text Box 31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51" name="Text Box 31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52" name="Text Box 31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53" name="Text Box 31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54" name="Text Box 31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55" name="Text Box 31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56" name="Text Box 31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57" name="Text Box 31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58" name="Text Box 31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59" name="Text Box 31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60" name="Text Box 32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61" name="Text Box 32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62" name="Text Box 32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63" name="Text Box 32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64" name="Text Box 32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65" name="Text Box 32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66" name="Text Box 32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67" name="Text Box 32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68" name="Text Box 32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69" name="Text Box 32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70" name="Text Box 33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71" name="Text Box 33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72" name="Text Box 33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73" name="Text Box 33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74" name="Text Box 33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75" name="Text Box 33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76" name="Text Box 33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77" name="Text Box 33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78" name="Text Box 33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79" name="Text Box 33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80" name="Text Box 34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81" name="Text Box 34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82" name="Text Box 34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83" name="Text Box 34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84" name="Text Box 34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85" name="Text Box 34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86" name="Text Box 34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87" name="Text Box 34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88" name="Text Box 34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89" name="Text Box 34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90" name="Text Box 35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91" name="Text Box 35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92" name="Text Box 35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93" name="Text Box 35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94" name="Text Box 35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95" name="Text Box 35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96" name="Text Box 35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97" name="Text Box 35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98" name="Text Box 35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599" name="Text Box 35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00" name="Text Box 36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01" name="Text Box 36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02" name="Text Box 36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03" name="Text Box 36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04" name="Text Box 36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05" name="Text Box 36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06" name="Text Box 36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07" name="Text Box 36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08" name="Text Box 36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09" name="Text Box 36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10" name="Text Box 37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11" name="Text Box 37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12" name="Text Box 37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13" name="Text Box 37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14" name="Text Box 37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15" name="Text Box 37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16" name="Text Box 37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17" name="Text Box 37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18" name="Text Box 37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19" name="Text Box 37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20" name="Text Box 38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21" name="Text Box 38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22" name="Text Box 38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23" name="Text Box 38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24" name="Text Box 38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25" name="Text Box 38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26" name="Text Box 38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27" name="Text Box 38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28" name="Text Box 38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29" name="Text Box 38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30" name="Text Box 39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31" name="Text Box 39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32" name="Text Box 39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33" name="Text Box 39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34" name="Text Box 39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35" name="Text Box 39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36" name="Text Box 39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37" name="Text Box 39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38" name="Text Box 39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39" name="Text Box 39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40" name="Text Box 40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41" name="Text Box 40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42" name="Text Box 40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43" name="Text Box 40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44" name="Text Box 40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45" name="Text Box 40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46" name="Text Box 40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47" name="Text Box 40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48" name="Text Box 40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49" name="Text Box 40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50" name="Text Box 41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51" name="Text Box 41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52" name="Text Box 41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53" name="Text Box 41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54" name="Text Box 41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55" name="Text Box 41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56" name="Text Box 41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57" name="Text Box 41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58" name="Text Box 41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59" name="Text Box 41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60" name="Text Box 42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61" name="Text Box 42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62" name="Text Box 42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63" name="Text Box 42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64" name="Text Box 42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65" name="Text Box 42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66" name="Text Box 42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67" name="Text Box 42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68" name="Text Box 42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69" name="Text Box 42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70" name="Text Box 43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71" name="Text Box 43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72" name="Text Box 43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73" name="Text Box 43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74" name="Text Box 43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75" name="Text Box 43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76" name="Text Box 43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77" name="Text Box 43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78" name="Text Box 43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79" name="Text Box 43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80" name="Text Box 44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81" name="Text Box 44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82" name="Text Box 44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83" name="Text Box 44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84" name="Text Box 44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85" name="Text Box 44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86" name="Text Box 44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87" name="Text Box 44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88" name="Text Box 44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89" name="Text Box 44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90" name="Text Box 45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91" name="Text Box 45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92" name="Text Box 45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93" name="Text Box 45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94" name="Text Box 45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95" name="Text Box 45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96" name="Text Box 45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97" name="Text Box 45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98" name="Text Box 45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699" name="Text Box 45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00" name="Text Box 46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01" name="Text Box 46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02" name="Text Box 46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03" name="Text Box 46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04" name="Text Box 46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05" name="Text Box 46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06" name="Text Box 46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07" name="Text Box 46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08" name="Text Box 46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09" name="Text Box 46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10" name="Text Box 47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11" name="Text Box 47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12" name="Text Box 47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13" name="Text Box 47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14" name="Text Box 47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15" name="Text Box 47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16" name="Text Box 47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17" name="Text Box 47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18" name="Text Box 47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19" name="Text Box 47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20" name="Text Box 48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21" name="Text Box 48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22" name="Text Box 48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23" name="Text Box 48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24" name="Text Box 48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25" name="Text Box 48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26" name="Text Box 48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27" name="Text Box 48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28" name="Text Box 48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29" name="Text Box 48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30" name="Text Box 49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31" name="Text Box 49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32" name="Text Box 49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33" name="Text Box 49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34" name="Text Box 49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35" name="Text Box 49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36" name="Text Box 49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37" name="Text Box 49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38" name="Text Box 49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39" name="Text Box 49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40" name="Text Box 50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41" name="Text Box 50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42" name="Text Box 50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43" name="Text Box 50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44" name="Text Box 50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45" name="Text Box 50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46" name="Text Box 50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47" name="Text Box 50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48" name="Text Box 50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49" name="Text Box 50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50" name="Text Box 51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51" name="Text Box 51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52" name="Text Box 51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53" name="Text Box 51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54" name="Text Box 51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55" name="Text Box 51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56" name="Text Box 51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57" name="Text Box 51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58" name="Text Box 51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59" name="Text Box 51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60" name="Text Box 52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61" name="Text Box 52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62" name="Text Box 52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63" name="Text Box 52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64" name="Text Box 52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65" name="Text Box 52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66" name="Text Box 52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67" name="Text Box 52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68" name="Text Box 52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69" name="Text Box 52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70" name="Text Box 53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71" name="Text Box 53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72" name="Text Box 53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73" name="Text Box 53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74" name="Text Box 53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75" name="Text Box 535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76" name="Text Box 536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77" name="Text Box 537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78" name="Text Box 538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79" name="Text Box 539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80" name="Text Box 540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81" name="Text Box 541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82" name="Text Box 542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83" name="Text Box 543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0784" name="Text Box 544"/>
        <xdr:cNvSpPr txBox="1">
          <a:spLocks noChangeArrowheads="1"/>
        </xdr:cNvSpPr>
      </xdr:nvSpPr>
      <xdr:spPr bwMode="auto">
        <a:xfrm>
          <a:off x="7915275" y="129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0785" name="Text Box 545"/>
        <xdr:cNvSpPr txBox="1">
          <a:spLocks noChangeArrowheads="1"/>
        </xdr:cNvSpPr>
      </xdr:nvSpPr>
      <xdr:spPr bwMode="auto">
        <a:xfrm>
          <a:off x="7915275" y="1457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0786" name="Text Box 546"/>
        <xdr:cNvSpPr txBox="1">
          <a:spLocks noChangeArrowheads="1"/>
        </xdr:cNvSpPr>
      </xdr:nvSpPr>
      <xdr:spPr bwMode="auto">
        <a:xfrm>
          <a:off x="7915275" y="1457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0787" name="Text Box 547"/>
        <xdr:cNvSpPr txBox="1">
          <a:spLocks noChangeArrowheads="1"/>
        </xdr:cNvSpPr>
      </xdr:nvSpPr>
      <xdr:spPr bwMode="auto">
        <a:xfrm>
          <a:off x="7915275" y="1457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0788" name="Text Box 548"/>
        <xdr:cNvSpPr txBox="1">
          <a:spLocks noChangeArrowheads="1"/>
        </xdr:cNvSpPr>
      </xdr:nvSpPr>
      <xdr:spPr bwMode="auto">
        <a:xfrm>
          <a:off x="7915275" y="1457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0789" name="Text Box 549"/>
        <xdr:cNvSpPr txBox="1">
          <a:spLocks noChangeArrowheads="1"/>
        </xdr:cNvSpPr>
      </xdr:nvSpPr>
      <xdr:spPr bwMode="auto">
        <a:xfrm>
          <a:off x="7915275" y="1457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0790" name="Text Box 550"/>
        <xdr:cNvSpPr txBox="1">
          <a:spLocks noChangeArrowheads="1"/>
        </xdr:cNvSpPr>
      </xdr:nvSpPr>
      <xdr:spPr bwMode="auto">
        <a:xfrm>
          <a:off x="7915275" y="1457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0791" name="Text Box 551"/>
        <xdr:cNvSpPr txBox="1">
          <a:spLocks noChangeArrowheads="1"/>
        </xdr:cNvSpPr>
      </xdr:nvSpPr>
      <xdr:spPr bwMode="auto">
        <a:xfrm>
          <a:off x="7915275" y="1457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0792" name="Text Box 552"/>
        <xdr:cNvSpPr txBox="1">
          <a:spLocks noChangeArrowheads="1"/>
        </xdr:cNvSpPr>
      </xdr:nvSpPr>
      <xdr:spPr bwMode="auto">
        <a:xfrm>
          <a:off x="7915275" y="1457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0793" name="Text Box 553"/>
        <xdr:cNvSpPr txBox="1">
          <a:spLocks noChangeArrowheads="1"/>
        </xdr:cNvSpPr>
      </xdr:nvSpPr>
      <xdr:spPr bwMode="auto">
        <a:xfrm>
          <a:off x="7915275" y="1457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0794" name="Text Box 554"/>
        <xdr:cNvSpPr txBox="1">
          <a:spLocks noChangeArrowheads="1"/>
        </xdr:cNvSpPr>
      </xdr:nvSpPr>
      <xdr:spPr bwMode="auto">
        <a:xfrm>
          <a:off x="7915275" y="1457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0795" name="Text Box 555"/>
        <xdr:cNvSpPr txBox="1">
          <a:spLocks noChangeArrowheads="1"/>
        </xdr:cNvSpPr>
      </xdr:nvSpPr>
      <xdr:spPr bwMode="auto">
        <a:xfrm>
          <a:off x="7915275" y="1457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0796" name="Text Box 556"/>
        <xdr:cNvSpPr txBox="1">
          <a:spLocks noChangeArrowheads="1"/>
        </xdr:cNvSpPr>
      </xdr:nvSpPr>
      <xdr:spPr bwMode="auto">
        <a:xfrm>
          <a:off x="7915275" y="1457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0797" name="Text Box 557"/>
        <xdr:cNvSpPr txBox="1">
          <a:spLocks noChangeArrowheads="1"/>
        </xdr:cNvSpPr>
      </xdr:nvSpPr>
      <xdr:spPr bwMode="auto">
        <a:xfrm>
          <a:off x="7915275" y="1457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0798" name="Text Box 558"/>
        <xdr:cNvSpPr txBox="1">
          <a:spLocks noChangeArrowheads="1"/>
        </xdr:cNvSpPr>
      </xdr:nvSpPr>
      <xdr:spPr bwMode="auto">
        <a:xfrm>
          <a:off x="7915275" y="1457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0799" name="Text Box 559"/>
        <xdr:cNvSpPr txBox="1">
          <a:spLocks noChangeArrowheads="1"/>
        </xdr:cNvSpPr>
      </xdr:nvSpPr>
      <xdr:spPr bwMode="auto">
        <a:xfrm>
          <a:off x="7915275" y="1457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0800" name="Text Box 560"/>
        <xdr:cNvSpPr txBox="1">
          <a:spLocks noChangeArrowheads="1"/>
        </xdr:cNvSpPr>
      </xdr:nvSpPr>
      <xdr:spPr bwMode="auto">
        <a:xfrm>
          <a:off x="7915275" y="1457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0801" name="Text Box 561"/>
        <xdr:cNvSpPr txBox="1">
          <a:spLocks noChangeArrowheads="1"/>
        </xdr:cNvSpPr>
      </xdr:nvSpPr>
      <xdr:spPr bwMode="auto">
        <a:xfrm>
          <a:off x="7915275" y="1619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0802" name="Text Box 562"/>
        <xdr:cNvSpPr txBox="1">
          <a:spLocks noChangeArrowheads="1"/>
        </xdr:cNvSpPr>
      </xdr:nvSpPr>
      <xdr:spPr bwMode="auto">
        <a:xfrm>
          <a:off x="7915275" y="1619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0803" name="Text Box 563"/>
        <xdr:cNvSpPr txBox="1">
          <a:spLocks noChangeArrowheads="1"/>
        </xdr:cNvSpPr>
      </xdr:nvSpPr>
      <xdr:spPr bwMode="auto">
        <a:xfrm>
          <a:off x="7915275" y="1619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0804" name="Text Box 564"/>
        <xdr:cNvSpPr txBox="1">
          <a:spLocks noChangeArrowheads="1"/>
        </xdr:cNvSpPr>
      </xdr:nvSpPr>
      <xdr:spPr bwMode="auto">
        <a:xfrm>
          <a:off x="7915275" y="1619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0805" name="Text Box 565"/>
        <xdr:cNvSpPr txBox="1">
          <a:spLocks noChangeArrowheads="1"/>
        </xdr:cNvSpPr>
      </xdr:nvSpPr>
      <xdr:spPr bwMode="auto">
        <a:xfrm>
          <a:off x="7915275" y="1619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0806" name="Text Box 566"/>
        <xdr:cNvSpPr txBox="1">
          <a:spLocks noChangeArrowheads="1"/>
        </xdr:cNvSpPr>
      </xdr:nvSpPr>
      <xdr:spPr bwMode="auto">
        <a:xfrm>
          <a:off x="7915275" y="1619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0807" name="Text Box 567"/>
        <xdr:cNvSpPr txBox="1">
          <a:spLocks noChangeArrowheads="1"/>
        </xdr:cNvSpPr>
      </xdr:nvSpPr>
      <xdr:spPr bwMode="auto">
        <a:xfrm>
          <a:off x="7915275" y="1619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0808" name="Text Box 568"/>
        <xdr:cNvSpPr txBox="1">
          <a:spLocks noChangeArrowheads="1"/>
        </xdr:cNvSpPr>
      </xdr:nvSpPr>
      <xdr:spPr bwMode="auto">
        <a:xfrm>
          <a:off x="7915275" y="1619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0809" name="Text Box 569"/>
        <xdr:cNvSpPr txBox="1">
          <a:spLocks noChangeArrowheads="1"/>
        </xdr:cNvSpPr>
      </xdr:nvSpPr>
      <xdr:spPr bwMode="auto">
        <a:xfrm>
          <a:off x="7915275" y="1619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0810" name="Text Box 570"/>
        <xdr:cNvSpPr txBox="1">
          <a:spLocks noChangeArrowheads="1"/>
        </xdr:cNvSpPr>
      </xdr:nvSpPr>
      <xdr:spPr bwMode="auto">
        <a:xfrm>
          <a:off x="7915275" y="1619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0811" name="Text Box 571"/>
        <xdr:cNvSpPr txBox="1">
          <a:spLocks noChangeArrowheads="1"/>
        </xdr:cNvSpPr>
      </xdr:nvSpPr>
      <xdr:spPr bwMode="auto">
        <a:xfrm>
          <a:off x="7915275" y="1619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0812" name="Text Box 572"/>
        <xdr:cNvSpPr txBox="1">
          <a:spLocks noChangeArrowheads="1"/>
        </xdr:cNvSpPr>
      </xdr:nvSpPr>
      <xdr:spPr bwMode="auto">
        <a:xfrm>
          <a:off x="7915275" y="1619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0813" name="Text Box 573"/>
        <xdr:cNvSpPr txBox="1">
          <a:spLocks noChangeArrowheads="1"/>
        </xdr:cNvSpPr>
      </xdr:nvSpPr>
      <xdr:spPr bwMode="auto">
        <a:xfrm>
          <a:off x="7915275" y="1619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0814" name="Text Box 574"/>
        <xdr:cNvSpPr txBox="1">
          <a:spLocks noChangeArrowheads="1"/>
        </xdr:cNvSpPr>
      </xdr:nvSpPr>
      <xdr:spPr bwMode="auto">
        <a:xfrm>
          <a:off x="7915275" y="1619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0815" name="Text Box 575"/>
        <xdr:cNvSpPr txBox="1">
          <a:spLocks noChangeArrowheads="1"/>
        </xdr:cNvSpPr>
      </xdr:nvSpPr>
      <xdr:spPr bwMode="auto">
        <a:xfrm>
          <a:off x="7915275" y="1619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0816" name="Text Box 576"/>
        <xdr:cNvSpPr txBox="1">
          <a:spLocks noChangeArrowheads="1"/>
        </xdr:cNvSpPr>
      </xdr:nvSpPr>
      <xdr:spPr bwMode="auto">
        <a:xfrm>
          <a:off x="7915275" y="1619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0817" name="Text Box 577"/>
        <xdr:cNvSpPr txBox="1">
          <a:spLocks noChangeArrowheads="1"/>
        </xdr:cNvSpPr>
      </xdr:nvSpPr>
      <xdr:spPr bwMode="auto">
        <a:xfrm>
          <a:off x="7915275" y="1781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0818" name="Text Box 578"/>
        <xdr:cNvSpPr txBox="1">
          <a:spLocks noChangeArrowheads="1"/>
        </xdr:cNvSpPr>
      </xdr:nvSpPr>
      <xdr:spPr bwMode="auto">
        <a:xfrm>
          <a:off x="7915275" y="1781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0819" name="Text Box 579"/>
        <xdr:cNvSpPr txBox="1">
          <a:spLocks noChangeArrowheads="1"/>
        </xdr:cNvSpPr>
      </xdr:nvSpPr>
      <xdr:spPr bwMode="auto">
        <a:xfrm>
          <a:off x="7915275" y="1781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0820" name="Text Box 580"/>
        <xdr:cNvSpPr txBox="1">
          <a:spLocks noChangeArrowheads="1"/>
        </xdr:cNvSpPr>
      </xdr:nvSpPr>
      <xdr:spPr bwMode="auto">
        <a:xfrm>
          <a:off x="7915275" y="1781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0821" name="Text Box 581"/>
        <xdr:cNvSpPr txBox="1">
          <a:spLocks noChangeArrowheads="1"/>
        </xdr:cNvSpPr>
      </xdr:nvSpPr>
      <xdr:spPr bwMode="auto">
        <a:xfrm>
          <a:off x="7915275" y="1781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0822" name="Text Box 582"/>
        <xdr:cNvSpPr txBox="1">
          <a:spLocks noChangeArrowheads="1"/>
        </xdr:cNvSpPr>
      </xdr:nvSpPr>
      <xdr:spPr bwMode="auto">
        <a:xfrm>
          <a:off x="7915275" y="1781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0823" name="Text Box 583"/>
        <xdr:cNvSpPr txBox="1">
          <a:spLocks noChangeArrowheads="1"/>
        </xdr:cNvSpPr>
      </xdr:nvSpPr>
      <xdr:spPr bwMode="auto">
        <a:xfrm>
          <a:off x="7915275" y="1781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0824" name="Text Box 584"/>
        <xdr:cNvSpPr txBox="1">
          <a:spLocks noChangeArrowheads="1"/>
        </xdr:cNvSpPr>
      </xdr:nvSpPr>
      <xdr:spPr bwMode="auto">
        <a:xfrm>
          <a:off x="7915275" y="1781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0825" name="Text Box 585"/>
        <xdr:cNvSpPr txBox="1">
          <a:spLocks noChangeArrowheads="1"/>
        </xdr:cNvSpPr>
      </xdr:nvSpPr>
      <xdr:spPr bwMode="auto">
        <a:xfrm>
          <a:off x="7915275" y="1781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0826" name="Text Box 586"/>
        <xdr:cNvSpPr txBox="1">
          <a:spLocks noChangeArrowheads="1"/>
        </xdr:cNvSpPr>
      </xdr:nvSpPr>
      <xdr:spPr bwMode="auto">
        <a:xfrm>
          <a:off x="7915275" y="1781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0827" name="Text Box 587"/>
        <xdr:cNvSpPr txBox="1">
          <a:spLocks noChangeArrowheads="1"/>
        </xdr:cNvSpPr>
      </xdr:nvSpPr>
      <xdr:spPr bwMode="auto">
        <a:xfrm>
          <a:off x="7915275" y="1781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0828" name="Text Box 588"/>
        <xdr:cNvSpPr txBox="1">
          <a:spLocks noChangeArrowheads="1"/>
        </xdr:cNvSpPr>
      </xdr:nvSpPr>
      <xdr:spPr bwMode="auto">
        <a:xfrm>
          <a:off x="7915275" y="1781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0829" name="Text Box 589"/>
        <xdr:cNvSpPr txBox="1">
          <a:spLocks noChangeArrowheads="1"/>
        </xdr:cNvSpPr>
      </xdr:nvSpPr>
      <xdr:spPr bwMode="auto">
        <a:xfrm>
          <a:off x="7915275" y="1781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0830" name="Text Box 590"/>
        <xdr:cNvSpPr txBox="1">
          <a:spLocks noChangeArrowheads="1"/>
        </xdr:cNvSpPr>
      </xdr:nvSpPr>
      <xdr:spPr bwMode="auto">
        <a:xfrm>
          <a:off x="7915275" y="1781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0831" name="Text Box 591"/>
        <xdr:cNvSpPr txBox="1">
          <a:spLocks noChangeArrowheads="1"/>
        </xdr:cNvSpPr>
      </xdr:nvSpPr>
      <xdr:spPr bwMode="auto">
        <a:xfrm>
          <a:off x="7915275" y="1781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0832" name="Text Box 592"/>
        <xdr:cNvSpPr txBox="1">
          <a:spLocks noChangeArrowheads="1"/>
        </xdr:cNvSpPr>
      </xdr:nvSpPr>
      <xdr:spPr bwMode="auto">
        <a:xfrm>
          <a:off x="7915275" y="1781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0833" name="Text Box 593"/>
        <xdr:cNvSpPr txBox="1">
          <a:spLocks noChangeArrowheads="1"/>
        </xdr:cNvSpPr>
      </xdr:nvSpPr>
      <xdr:spPr bwMode="auto">
        <a:xfrm>
          <a:off x="7915275" y="1943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0834" name="Text Box 594"/>
        <xdr:cNvSpPr txBox="1">
          <a:spLocks noChangeArrowheads="1"/>
        </xdr:cNvSpPr>
      </xdr:nvSpPr>
      <xdr:spPr bwMode="auto">
        <a:xfrm>
          <a:off x="7915275" y="1943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0835" name="Text Box 595"/>
        <xdr:cNvSpPr txBox="1">
          <a:spLocks noChangeArrowheads="1"/>
        </xdr:cNvSpPr>
      </xdr:nvSpPr>
      <xdr:spPr bwMode="auto">
        <a:xfrm>
          <a:off x="7915275" y="1943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0836" name="Text Box 596"/>
        <xdr:cNvSpPr txBox="1">
          <a:spLocks noChangeArrowheads="1"/>
        </xdr:cNvSpPr>
      </xdr:nvSpPr>
      <xdr:spPr bwMode="auto">
        <a:xfrm>
          <a:off x="7915275" y="1943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0837" name="Text Box 597"/>
        <xdr:cNvSpPr txBox="1">
          <a:spLocks noChangeArrowheads="1"/>
        </xdr:cNvSpPr>
      </xdr:nvSpPr>
      <xdr:spPr bwMode="auto">
        <a:xfrm>
          <a:off x="7915275" y="1943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0838" name="Text Box 598"/>
        <xdr:cNvSpPr txBox="1">
          <a:spLocks noChangeArrowheads="1"/>
        </xdr:cNvSpPr>
      </xdr:nvSpPr>
      <xdr:spPr bwMode="auto">
        <a:xfrm>
          <a:off x="7915275" y="1943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0839" name="Text Box 599"/>
        <xdr:cNvSpPr txBox="1">
          <a:spLocks noChangeArrowheads="1"/>
        </xdr:cNvSpPr>
      </xdr:nvSpPr>
      <xdr:spPr bwMode="auto">
        <a:xfrm>
          <a:off x="7915275" y="1943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0840" name="Text Box 600"/>
        <xdr:cNvSpPr txBox="1">
          <a:spLocks noChangeArrowheads="1"/>
        </xdr:cNvSpPr>
      </xdr:nvSpPr>
      <xdr:spPr bwMode="auto">
        <a:xfrm>
          <a:off x="7915275" y="1943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0841" name="Text Box 601"/>
        <xdr:cNvSpPr txBox="1">
          <a:spLocks noChangeArrowheads="1"/>
        </xdr:cNvSpPr>
      </xdr:nvSpPr>
      <xdr:spPr bwMode="auto">
        <a:xfrm>
          <a:off x="7915275" y="1943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0842" name="Text Box 602"/>
        <xdr:cNvSpPr txBox="1">
          <a:spLocks noChangeArrowheads="1"/>
        </xdr:cNvSpPr>
      </xdr:nvSpPr>
      <xdr:spPr bwMode="auto">
        <a:xfrm>
          <a:off x="7915275" y="1943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0843" name="Text Box 603"/>
        <xdr:cNvSpPr txBox="1">
          <a:spLocks noChangeArrowheads="1"/>
        </xdr:cNvSpPr>
      </xdr:nvSpPr>
      <xdr:spPr bwMode="auto">
        <a:xfrm>
          <a:off x="7915275" y="1943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0844" name="Text Box 604"/>
        <xdr:cNvSpPr txBox="1">
          <a:spLocks noChangeArrowheads="1"/>
        </xdr:cNvSpPr>
      </xdr:nvSpPr>
      <xdr:spPr bwMode="auto">
        <a:xfrm>
          <a:off x="7915275" y="1943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0845" name="Text Box 605"/>
        <xdr:cNvSpPr txBox="1">
          <a:spLocks noChangeArrowheads="1"/>
        </xdr:cNvSpPr>
      </xdr:nvSpPr>
      <xdr:spPr bwMode="auto">
        <a:xfrm>
          <a:off x="7915275" y="1943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0846" name="Text Box 606"/>
        <xdr:cNvSpPr txBox="1">
          <a:spLocks noChangeArrowheads="1"/>
        </xdr:cNvSpPr>
      </xdr:nvSpPr>
      <xdr:spPr bwMode="auto">
        <a:xfrm>
          <a:off x="7915275" y="1943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0847" name="Text Box 607"/>
        <xdr:cNvSpPr txBox="1">
          <a:spLocks noChangeArrowheads="1"/>
        </xdr:cNvSpPr>
      </xdr:nvSpPr>
      <xdr:spPr bwMode="auto">
        <a:xfrm>
          <a:off x="7915275" y="1943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0848" name="Text Box 608"/>
        <xdr:cNvSpPr txBox="1">
          <a:spLocks noChangeArrowheads="1"/>
        </xdr:cNvSpPr>
      </xdr:nvSpPr>
      <xdr:spPr bwMode="auto">
        <a:xfrm>
          <a:off x="7915275" y="1943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0849" name="Text Box 609"/>
        <xdr:cNvSpPr txBox="1">
          <a:spLocks noChangeArrowheads="1"/>
        </xdr:cNvSpPr>
      </xdr:nvSpPr>
      <xdr:spPr bwMode="auto">
        <a:xfrm>
          <a:off x="7915275" y="2105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0850" name="Text Box 610"/>
        <xdr:cNvSpPr txBox="1">
          <a:spLocks noChangeArrowheads="1"/>
        </xdr:cNvSpPr>
      </xdr:nvSpPr>
      <xdr:spPr bwMode="auto">
        <a:xfrm>
          <a:off x="7915275" y="2105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0851" name="Text Box 611"/>
        <xdr:cNvSpPr txBox="1">
          <a:spLocks noChangeArrowheads="1"/>
        </xdr:cNvSpPr>
      </xdr:nvSpPr>
      <xdr:spPr bwMode="auto">
        <a:xfrm>
          <a:off x="7915275" y="2105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0852" name="Text Box 612"/>
        <xdr:cNvSpPr txBox="1">
          <a:spLocks noChangeArrowheads="1"/>
        </xdr:cNvSpPr>
      </xdr:nvSpPr>
      <xdr:spPr bwMode="auto">
        <a:xfrm>
          <a:off x="7915275" y="2105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0853" name="Text Box 613"/>
        <xdr:cNvSpPr txBox="1">
          <a:spLocks noChangeArrowheads="1"/>
        </xdr:cNvSpPr>
      </xdr:nvSpPr>
      <xdr:spPr bwMode="auto">
        <a:xfrm>
          <a:off x="7915275" y="2105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0854" name="Text Box 614"/>
        <xdr:cNvSpPr txBox="1">
          <a:spLocks noChangeArrowheads="1"/>
        </xdr:cNvSpPr>
      </xdr:nvSpPr>
      <xdr:spPr bwMode="auto">
        <a:xfrm>
          <a:off x="7915275" y="2105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0855" name="Text Box 615"/>
        <xdr:cNvSpPr txBox="1">
          <a:spLocks noChangeArrowheads="1"/>
        </xdr:cNvSpPr>
      </xdr:nvSpPr>
      <xdr:spPr bwMode="auto">
        <a:xfrm>
          <a:off x="7915275" y="2105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0856" name="Text Box 616"/>
        <xdr:cNvSpPr txBox="1">
          <a:spLocks noChangeArrowheads="1"/>
        </xdr:cNvSpPr>
      </xdr:nvSpPr>
      <xdr:spPr bwMode="auto">
        <a:xfrm>
          <a:off x="7915275" y="2105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0857" name="Text Box 617"/>
        <xdr:cNvSpPr txBox="1">
          <a:spLocks noChangeArrowheads="1"/>
        </xdr:cNvSpPr>
      </xdr:nvSpPr>
      <xdr:spPr bwMode="auto">
        <a:xfrm>
          <a:off x="7915275" y="2105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0858" name="Text Box 618"/>
        <xdr:cNvSpPr txBox="1">
          <a:spLocks noChangeArrowheads="1"/>
        </xdr:cNvSpPr>
      </xdr:nvSpPr>
      <xdr:spPr bwMode="auto">
        <a:xfrm>
          <a:off x="7915275" y="2105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0859" name="Text Box 619"/>
        <xdr:cNvSpPr txBox="1">
          <a:spLocks noChangeArrowheads="1"/>
        </xdr:cNvSpPr>
      </xdr:nvSpPr>
      <xdr:spPr bwMode="auto">
        <a:xfrm>
          <a:off x="7915275" y="2105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0860" name="Text Box 620"/>
        <xdr:cNvSpPr txBox="1">
          <a:spLocks noChangeArrowheads="1"/>
        </xdr:cNvSpPr>
      </xdr:nvSpPr>
      <xdr:spPr bwMode="auto">
        <a:xfrm>
          <a:off x="7915275" y="2105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0861" name="Text Box 621"/>
        <xdr:cNvSpPr txBox="1">
          <a:spLocks noChangeArrowheads="1"/>
        </xdr:cNvSpPr>
      </xdr:nvSpPr>
      <xdr:spPr bwMode="auto">
        <a:xfrm>
          <a:off x="7915275" y="2105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0862" name="Text Box 622"/>
        <xdr:cNvSpPr txBox="1">
          <a:spLocks noChangeArrowheads="1"/>
        </xdr:cNvSpPr>
      </xdr:nvSpPr>
      <xdr:spPr bwMode="auto">
        <a:xfrm>
          <a:off x="7915275" y="2105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0863" name="Text Box 623"/>
        <xdr:cNvSpPr txBox="1">
          <a:spLocks noChangeArrowheads="1"/>
        </xdr:cNvSpPr>
      </xdr:nvSpPr>
      <xdr:spPr bwMode="auto">
        <a:xfrm>
          <a:off x="7915275" y="2105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0864" name="Text Box 624"/>
        <xdr:cNvSpPr txBox="1">
          <a:spLocks noChangeArrowheads="1"/>
        </xdr:cNvSpPr>
      </xdr:nvSpPr>
      <xdr:spPr bwMode="auto">
        <a:xfrm>
          <a:off x="7915275" y="2105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0865" name="Text Box 625"/>
        <xdr:cNvSpPr txBox="1">
          <a:spLocks noChangeArrowheads="1"/>
        </xdr:cNvSpPr>
      </xdr:nvSpPr>
      <xdr:spPr bwMode="auto">
        <a:xfrm>
          <a:off x="7915275" y="22669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0866" name="Text Box 626"/>
        <xdr:cNvSpPr txBox="1">
          <a:spLocks noChangeArrowheads="1"/>
        </xdr:cNvSpPr>
      </xdr:nvSpPr>
      <xdr:spPr bwMode="auto">
        <a:xfrm>
          <a:off x="7915275" y="22669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0867" name="Text Box 627"/>
        <xdr:cNvSpPr txBox="1">
          <a:spLocks noChangeArrowheads="1"/>
        </xdr:cNvSpPr>
      </xdr:nvSpPr>
      <xdr:spPr bwMode="auto">
        <a:xfrm>
          <a:off x="7915275" y="22669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0868" name="Text Box 628"/>
        <xdr:cNvSpPr txBox="1">
          <a:spLocks noChangeArrowheads="1"/>
        </xdr:cNvSpPr>
      </xdr:nvSpPr>
      <xdr:spPr bwMode="auto">
        <a:xfrm>
          <a:off x="7915275" y="22669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0869" name="Text Box 629"/>
        <xdr:cNvSpPr txBox="1">
          <a:spLocks noChangeArrowheads="1"/>
        </xdr:cNvSpPr>
      </xdr:nvSpPr>
      <xdr:spPr bwMode="auto">
        <a:xfrm>
          <a:off x="7915275" y="22669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0870" name="Text Box 630"/>
        <xdr:cNvSpPr txBox="1">
          <a:spLocks noChangeArrowheads="1"/>
        </xdr:cNvSpPr>
      </xdr:nvSpPr>
      <xdr:spPr bwMode="auto">
        <a:xfrm>
          <a:off x="7915275" y="22669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0871" name="Text Box 631"/>
        <xdr:cNvSpPr txBox="1">
          <a:spLocks noChangeArrowheads="1"/>
        </xdr:cNvSpPr>
      </xdr:nvSpPr>
      <xdr:spPr bwMode="auto">
        <a:xfrm>
          <a:off x="7915275" y="22669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0872" name="Text Box 632"/>
        <xdr:cNvSpPr txBox="1">
          <a:spLocks noChangeArrowheads="1"/>
        </xdr:cNvSpPr>
      </xdr:nvSpPr>
      <xdr:spPr bwMode="auto">
        <a:xfrm>
          <a:off x="7915275" y="22669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0873" name="Text Box 633"/>
        <xdr:cNvSpPr txBox="1">
          <a:spLocks noChangeArrowheads="1"/>
        </xdr:cNvSpPr>
      </xdr:nvSpPr>
      <xdr:spPr bwMode="auto">
        <a:xfrm>
          <a:off x="7915275" y="22669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0874" name="Text Box 634"/>
        <xdr:cNvSpPr txBox="1">
          <a:spLocks noChangeArrowheads="1"/>
        </xdr:cNvSpPr>
      </xdr:nvSpPr>
      <xdr:spPr bwMode="auto">
        <a:xfrm>
          <a:off x="7915275" y="22669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0875" name="Text Box 635"/>
        <xdr:cNvSpPr txBox="1">
          <a:spLocks noChangeArrowheads="1"/>
        </xdr:cNvSpPr>
      </xdr:nvSpPr>
      <xdr:spPr bwMode="auto">
        <a:xfrm>
          <a:off x="7915275" y="22669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0876" name="Text Box 636"/>
        <xdr:cNvSpPr txBox="1">
          <a:spLocks noChangeArrowheads="1"/>
        </xdr:cNvSpPr>
      </xdr:nvSpPr>
      <xdr:spPr bwMode="auto">
        <a:xfrm>
          <a:off x="7915275" y="22669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0877" name="Text Box 637"/>
        <xdr:cNvSpPr txBox="1">
          <a:spLocks noChangeArrowheads="1"/>
        </xdr:cNvSpPr>
      </xdr:nvSpPr>
      <xdr:spPr bwMode="auto">
        <a:xfrm>
          <a:off x="7915275" y="22669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0878" name="Text Box 638"/>
        <xdr:cNvSpPr txBox="1">
          <a:spLocks noChangeArrowheads="1"/>
        </xdr:cNvSpPr>
      </xdr:nvSpPr>
      <xdr:spPr bwMode="auto">
        <a:xfrm>
          <a:off x="7915275" y="22669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0879" name="Text Box 639"/>
        <xdr:cNvSpPr txBox="1">
          <a:spLocks noChangeArrowheads="1"/>
        </xdr:cNvSpPr>
      </xdr:nvSpPr>
      <xdr:spPr bwMode="auto">
        <a:xfrm>
          <a:off x="7915275" y="22669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0880" name="Text Box 640"/>
        <xdr:cNvSpPr txBox="1">
          <a:spLocks noChangeArrowheads="1"/>
        </xdr:cNvSpPr>
      </xdr:nvSpPr>
      <xdr:spPr bwMode="auto">
        <a:xfrm>
          <a:off x="7915275" y="22669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6981825" y="333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6981825" y="333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1267" name="Text Box 3"/>
        <xdr:cNvSpPr txBox="1">
          <a:spLocks noChangeArrowheads="1"/>
        </xdr:cNvSpPr>
      </xdr:nvSpPr>
      <xdr:spPr bwMode="auto">
        <a:xfrm>
          <a:off x="6981825" y="333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1268" name="Text Box 4"/>
        <xdr:cNvSpPr txBox="1">
          <a:spLocks noChangeArrowheads="1"/>
        </xdr:cNvSpPr>
      </xdr:nvSpPr>
      <xdr:spPr bwMode="auto">
        <a:xfrm>
          <a:off x="6981825" y="333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1269" name="Text Box 5"/>
        <xdr:cNvSpPr txBox="1">
          <a:spLocks noChangeArrowheads="1"/>
        </xdr:cNvSpPr>
      </xdr:nvSpPr>
      <xdr:spPr bwMode="auto">
        <a:xfrm>
          <a:off x="6981825" y="333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1270" name="Text Box 6"/>
        <xdr:cNvSpPr txBox="1">
          <a:spLocks noChangeArrowheads="1"/>
        </xdr:cNvSpPr>
      </xdr:nvSpPr>
      <xdr:spPr bwMode="auto">
        <a:xfrm>
          <a:off x="6981825" y="333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1271" name="Text Box 7"/>
        <xdr:cNvSpPr txBox="1">
          <a:spLocks noChangeArrowheads="1"/>
        </xdr:cNvSpPr>
      </xdr:nvSpPr>
      <xdr:spPr bwMode="auto">
        <a:xfrm>
          <a:off x="6981825" y="333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1272" name="Text Box 8"/>
        <xdr:cNvSpPr txBox="1">
          <a:spLocks noChangeArrowheads="1"/>
        </xdr:cNvSpPr>
      </xdr:nvSpPr>
      <xdr:spPr bwMode="auto">
        <a:xfrm>
          <a:off x="6981825" y="333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273" name="Text Box 9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274" name="Text Box 10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275" name="Text Box 11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276" name="Text Box 12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277" name="Text Box 13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278" name="Text Box 14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279" name="Text Box 15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280" name="Text Box 16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281" name="Text Box 17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283" name="Text Box 19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284" name="Text Box 20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285" name="Text Box 21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286" name="Text Box 22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287" name="Text Box 23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288" name="Text Box 24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289" name="Text Box 25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290" name="Text Box 26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291" name="Text Box 27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292" name="Text Box 28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293" name="Text Box 29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294" name="Text Box 30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295" name="Text Box 31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296" name="Text Box 32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297" name="Text Box 33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298" name="Text Box 34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299" name="Text Box 35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300" name="Text Box 36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301" name="Text Box 37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302" name="Text Box 38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303" name="Text Box 39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304" name="Text Box 40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305" name="Text Box 41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306" name="Text Box 42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307" name="Text Box 43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308" name="Text Box 44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309" name="Text Box 45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310" name="Text Box 46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311" name="Text Box 47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312" name="Text Box 48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313" name="Text Box 49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314" name="Text Box 50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315" name="Text Box 51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316" name="Text Box 52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317" name="Text Box 53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318" name="Text Box 54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319" name="Text Box 55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320" name="Text Box 56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321" name="Text Box 57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322" name="Text Box 58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323" name="Text Box 59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324" name="Text Box 60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325" name="Text Box 61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326" name="Text Box 62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327" name="Text Box 63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328" name="Text Box 64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329" name="Text Box 65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330" name="Text Box 66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331" name="Text Box 67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332" name="Text Box 68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333" name="Text Box 69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334" name="Text Box 70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335" name="Text Box 71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336" name="Text Box 72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337" name="Text Box 73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338" name="Text Box 74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339" name="Text Box 75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340" name="Text Box 76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341" name="Text Box 77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342" name="Text Box 78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343" name="Text Box 79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344" name="Text Box 80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345" name="Text Box 81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346" name="Text Box 82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347" name="Text Box 83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348" name="Text Box 84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349" name="Text Box 85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350" name="Text Box 86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351" name="Text Box 87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352" name="Text Box 88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53" name="Text Box 8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54" name="Text Box 9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55" name="Text Box 9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56" name="Text Box 9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57" name="Text Box 9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58" name="Text Box 9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59" name="Text Box 9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60" name="Text Box 9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61" name="Text Box 9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62" name="Text Box 9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63" name="Text Box 9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64" name="Text Box 10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65" name="Text Box 10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66" name="Text Box 10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67" name="Text Box 10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68" name="Text Box 10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69" name="Text Box 10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70" name="Text Box 10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71" name="Text Box 10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72" name="Text Box 10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73" name="Text Box 10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74" name="Text Box 11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75" name="Text Box 11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76" name="Text Box 11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77" name="Text Box 11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78" name="Text Box 11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79" name="Text Box 11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80" name="Text Box 11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81" name="Text Box 11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82" name="Text Box 11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83" name="Text Box 11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84" name="Text Box 12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85" name="Text Box 12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86" name="Text Box 12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87" name="Text Box 12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88" name="Text Box 12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89" name="Text Box 12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90" name="Text Box 12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91" name="Text Box 12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92" name="Text Box 12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93" name="Text Box 12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94" name="Text Box 13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95" name="Text Box 13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96" name="Text Box 13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97" name="Text Box 13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98" name="Text Box 13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399" name="Text Box 13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00" name="Text Box 13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01" name="Text Box 13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02" name="Text Box 13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03" name="Text Box 13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04" name="Text Box 14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05" name="Text Box 14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06" name="Text Box 14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07" name="Text Box 14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08" name="Text Box 14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09" name="Text Box 14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10" name="Text Box 14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11" name="Text Box 14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12" name="Text Box 14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13" name="Text Box 14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14" name="Text Box 15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15" name="Text Box 15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16" name="Text Box 15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17" name="Text Box 15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18" name="Text Box 15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19" name="Text Box 15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20" name="Text Box 15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21" name="Text Box 15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22" name="Text Box 15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23" name="Text Box 15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24" name="Text Box 16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25" name="Text Box 16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26" name="Text Box 16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27" name="Text Box 16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28" name="Text Box 16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29" name="Text Box 16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30" name="Text Box 16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31" name="Text Box 16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32" name="Text Box 16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33" name="Text Box 16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34" name="Text Box 17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35" name="Text Box 17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36" name="Text Box 17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37" name="Text Box 17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38" name="Text Box 17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39" name="Text Box 17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40" name="Text Box 17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41" name="Text Box 17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42" name="Text Box 17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43" name="Text Box 17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44" name="Text Box 18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45" name="Text Box 18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46" name="Text Box 18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47" name="Text Box 18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48" name="Text Box 18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49" name="Text Box 18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50" name="Text Box 18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51" name="Text Box 18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52" name="Text Box 18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53" name="Text Box 18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54" name="Text Box 19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55" name="Text Box 19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56" name="Text Box 19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57" name="Text Box 19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58" name="Text Box 19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59" name="Text Box 19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60" name="Text Box 19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61" name="Text Box 19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62" name="Text Box 19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63" name="Text Box 19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64" name="Text Box 20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65" name="Text Box 20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66" name="Text Box 20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67" name="Text Box 20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68" name="Text Box 20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69" name="Text Box 20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70" name="Text Box 20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71" name="Text Box 20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72" name="Text Box 20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73" name="Text Box 20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74" name="Text Box 21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75" name="Text Box 21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76" name="Text Box 21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77" name="Text Box 21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78" name="Text Box 21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79" name="Text Box 21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80" name="Text Box 21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81" name="Text Box 21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82" name="Text Box 21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83" name="Text Box 21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84" name="Text Box 22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85" name="Text Box 22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86" name="Text Box 22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87" name="Text Box 22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88" name="Text Box 22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89" name="Text Box 22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90" name="Text Box 22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91" name="Text Box 22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92" name="Text Box 22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93" name="Text Box 22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94" name="Text Box 23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95" name="Text Box 23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96" name="Text Box 23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97" name="Text Box 23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98" name="Text Box 23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499" name="Text Box 23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00" name="Text Box 23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01" name="Text Box 23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02" name="Text Box 23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03" name="Text Box 23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04" name="Text Box 24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05" name="Text Box 24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06" name="Text Box 24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07" name="Text Box 24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08" name="Text Box 24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09" name="Text Box 24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10" name="Text Box 24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11" name="Text Box 24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12" name="Text Box 24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13" name="Text Box 24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14" name="Text Box 25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15" name="Text Box 25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16" name="Text Box 25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17" name="Text Box 25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18" name="Text Box 25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19" name="Text Box 25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20" name="Text Box 25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21" name="Text Box 25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22" name="Text Box 25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23" name="Text Box 25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24" name="Text Box 26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25" name="Text Box 26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26" name="Text Box 26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27" name="Text Box 26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28" name="Text Box 26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29" name="Text Box 26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30" name="Text Box 26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31" name="Text Box 26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32" name="Text Box 26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33" name="Text Box 26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34" name="Text Box 27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35" name="Text Box 27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36" name="Text Box 27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37" name="Text Box 27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38" name="Text Box 27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39" name="Text Box 27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40" name="Text Box 27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41" name="Text Box 27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42" name="Text Box 27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43" name="Text Box 27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44" name="Text Box 28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45" name="Text Box 28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46" name="Text Box 28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47" name="Text Box 28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48" name="Text Box 28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49" name="Text Box 28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50" name="Text Box 28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51" name="Text Box 28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52" name="Text Box 28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53" name="Text Box 28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54" name="Text Box 29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55" name="Text Box 29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56" name="Text Box 29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57" name="Text Box 29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58" name="Text Box 29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59" name="Text Box 29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60" name="Text Box 29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61" name="Text Box 29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62" name="Text Box 29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63" name="Text Box 29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64" name="Text Box 30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65" name="Text Box 30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66" name="Text Box 30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67" name="Text Box 30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568" name="Text Box 30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1569" name="Text Box 305"/>
        <xdr:cNvSpPr txBox="1">
          <a:spLocks noChangeArrowheads="1"/>
        </xdr:cNvSpPr>
      </xdr:nvSpPr>
      <xdr:spPr bwMode="auto">
        <a:xfrm>
          <a:off x="6981825" y="333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1570" name="Text Box 306"/>
        <xdr:cNvSpPr txBox="1">
          <a:spLocks noChangeArrowheads="1"/>
        </xdr:cNvSpPr>
      </xdr:nvSpPr>
      <xdr:spPr bwMode="auto">
        <a:xfrm>
          <a:off x="6981825" y="333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1571" name="Text Box 307"/>
        <xdr:cNvSpPr txBox="1">
          <a:spLocks noChangeArrowheads="1"/>
        </xdr:cNvSpPr>
      </xdr:nvSpPr>
      <xdr:spPr bwMode="auto">
        <a:xfrm>
          <a:off x="6981825" y="333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1572" name="Text Box 308"/>
        <xdr:cNvSpPr txBox="1">
          <a:spLocks noChangeArrowheads="1"/>
        </xdr:cNvSpPr>
      </xdr:nvSpPr>
      <xdr:spPr bwMode="auto">
        <a:xfrm>
          <a:off x="6981825" y="333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1573" name="Text Box 309"/>
        <xdr:cNvSpPr txBox="1">
          <a:spLocks noChangeArrowheads="1"/>
        </xdr:cNvSpPr>
      </xdr:nvSpPr>
      <xdr:spPr bwMode="auto">
        <a:xfrm>
          <a:off x="6981825" y="333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1574" name="Text Box 310"/>
        <xdr:cNvSpPr txBox="1">
          <a:spLocks noChangeArrowheads="1"/>
        </xdr:cNvSpPr>
      </xdr:nvSpPr>
      <xdr:spPr bwMode="auto">
        <a:xfrm>
          <a:off x="6981825" y="333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1575" name="Text Box 311"/>
        <xdr:cNvSpPr txBox="1">
          <a:spLocks noChangeArrowheads="1"/>
        </xdr:cNvSpPr>
      </xdr:nvSpPr>
      <xdr:spPr bwMode="auto">
        <a:xfrm>
          <a:off x="6981825" y="333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1576" name="Text Box 312"/>
        <xdr:cNvSpPr txBox="1">
          <a:spLocks noChangeArrowheads="1"/>
        </xdr:cNvSpPr>
      </xdr:nvSpPr>
      <xdr:spPr bwMode="auto">
        <a:xfrm>
          <a:off x="6981825" y="333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577" name="Text Box 313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578" name="Text Box 314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579" name="Text Box 315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580" name="Text Box 316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581" name="Text Box 317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582" name="Text Box 318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583" name="Text Box 319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584" name="Text Box 320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585" name="Text Box 321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586" name="Text Box 322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587" name="Text Box 323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588" name="Text Box 324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589" name="Text Box 325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590" name="Text Box 326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591" name="Text Box 327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1592" name="Text Box 328"/>
        <xdr:cNvSpPr txBox="1">
          <a:spLocks noChangeArrowheads="1"/>
        </xdr:cNvSpPr>
      </xdr:nvSpPr>
      <xdr:spPr bwMode="auto">
        <a:xfrm>
          <a:off x="6981825" y="657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593" name="Text Box 329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594" name="Text Box 330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595" name="Text Box 331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596" name="Text Box 332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597" name="Text Box 333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598" name="Text Box 334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599" name="Text Box 335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600" name="Text Box 336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601" name="Text Box 337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602" name="Text Box 338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603" name="Text Box 339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604" name="Text Box 340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605" name="Text Box 341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606" name="Text Box 342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607" name="Text Box 343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1608" name="Text Box 344"/>
        <xdr:cNvSpPr txBox="1">
          <a:spLocks noChangeArrowheads="1"/>
        </xdr:cNvSpPr>
      </xdr:nvSpPr>
      <xdr:spPr bwMode="auto">
        <a:xfrm>
          <a:off x="6981825" y="819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609" name="Text Box 345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610" name="Text Box 346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611" name="Text Box 347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612" name="Text Box 348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613" name="Text Box 349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614" name="Text Box 350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615" name="Text Box 351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616" name="Text Box 352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617" name="Text Box 353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618" name="Text Box 354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619" name="Text Box 355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620" name="Text Box 356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621" name="Text Box 357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622" name="Text Box 358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623" name="Text Box 359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1624" name="Text Box 360"/>
        <xdr:cNvSpPr txBox="1">
          <a:spLocks noChangeArrowheads="1"/>
        </xdr:cNvSpPr>
      </xdr:nvSpPr>
      <xdr:spPr bwMode="auto">
        <a:xfrm>
          <a:off x="6981825" y="981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625" name="Text Box 361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626" name="Text Box 362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627" name="Text Box 363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628" name="Text Box 364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629" name="Text Box 365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630" name="Text Box 366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631" name="Text Box 367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632" name="Text Box 368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633" name="Text Box 369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634" name="Text Box 370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635" name="Text Box 371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636" name="Text Box 372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637" name="Text Box 373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638" name="Text Box 374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639" name="Text Box 375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1640" name="Text Box 376"/>
        <xdr:cNvSpPr txBox="1">
          <a:spLocks noChangeArrowheads="1"/>
        </xdr:cNvSpPr>
      </xdr:nvSpPr>
      <xdr:spPr bwMode="auto">
        <a:xfrm>
          <a:off x="6981825" y="114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641" name="Text Box 377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642" name="Text Box 378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643" name="Text Box 379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644" name="Text Box 380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645" name="Text Box 381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646" name="Text Box 382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647" name="Text Box 383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648" name="Text Box 384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649" name="Text Box 385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650" name="Text Box 386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651" name="Text Box 387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652" name="Text Box 388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653" name="Text Box 389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654" name="Text Box 390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655" name="Text Box 391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1656" name="Text Box 392"/>
        <xdr:cNvSpPr txBox="1">
          <a:spLocks noChangeArrowheads="1"/>
        </xdr:cNvSpPr>
      </xdr:nvSpPr>
      <xdr:spPr bwMode="auto">
        <a:xfrm>
          <a:off x="6981825" y="130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57" name="Text Box 39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58" name="Text Box 39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59" name="Text Box 39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60" name="Text Box 39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61" name="Text Box 39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62" name="Text Box 39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63" name="Text Box 39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64" name="Text Box 40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65" name="Text Box 40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66" name="Text Box 40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67" name="Text Box 40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68" name="Text Box 40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69" name="Text Box 40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70" name="Text Box 40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71" name="Text Box 40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72" name="Text Box 40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73" name="Text Box 40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74" name="Text Box 41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75" name="Text Box 41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76" name="Text Box 41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77" name="Text Box 41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78" name="Text Box 41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79" name="Text Box 41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80" name="Text Box 41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81" name="Text Box 41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82" name="Text Box 41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83" name="Text Box 41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84" name="Text Box 42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85" name="Text Box 42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86" name="Text Box 42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87" name="Text Box 42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88" name="Text Box 42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89" name="Text Box 42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90" name="Text Box 42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91" name="Text Box 42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92" name="Text Box 42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93" name="Text Box 42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94" name="Text Box 43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95" name="Text Box 43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96" name="Text Box 43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97" name="Text Box 43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98" name="Text Box 43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699" name="Text Box 43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00" name="Text Box 43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01" name="Text Box 43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02" name="Text Box 43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03" name="Text Box 43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04" name="Text Box 44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05" name="Text Box 44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06" name="Text Box 44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07" name="Text Box 44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08" name="Text Box 44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09" name="Text Box 44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10" name="Text Box 44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11" name="Text Box 44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12" name="Text Box 44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13" name="Text Box 44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14" name="Text Box 45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15" name="Text Box 45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16" name="Text Box 45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17" name="Text Box 45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18" name="Text Box 45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19" name="Text Box 45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20" name="Text Box 45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21" name="Text Box 45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22" name="Text Box 45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23" name="Text Box 45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24" name="Text Box 46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25" name="Text Box 46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26" name="Text Box 46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27" name="Text Box 46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28" name="Text Box 46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29" name="Text Box 46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30" name="Text Box 46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31" name="Text Box 46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32" name="Text Box 46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33" name="Text Box 46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34" name="Text Box 47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35" name="Text Box 47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36" name="Text Box 47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37" name="Text Box 47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38" name="Text Box 47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39" name="Text Box 47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40" name="Text Box 47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41" name="Text Box 47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42" name="Text Box 47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43" name="Text Box 47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44" name="Text Box 48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45" name="Text Box 48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46" name="Text Box 48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47" name="Text Box 48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48" name="Text Box 48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49" name="Text Box 48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50" name="Text Box 48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51" name="Text Box 48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52" name="Text Box 48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53" name="Text Box 48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54" name="Text Box 49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55" name="Text Box 49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56" name="Text Box 49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57" name="Text Box 49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58" name="Text Box 49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59" name="Text Box 49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60" name="Text Box 49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61" name="Text Box 49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62" name="Text Box 49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63" name="Text Box 49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64" name="Text Box 50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65" name="Text Box 50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66" name="Text Box 50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67" name="Text Box 50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68" name="Text Box 50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69" name="Text Box 50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70" name="Text Box 50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71" name="Text Box 50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72" name="Text Box 50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73" name="Text Box 50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74" name="Text Box 51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75" name="Text Box 51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76" name="Text Box 51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77" name="Text Box 51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78" name="Text Box 51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79" name="Text Box 51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80" name="Text Box 51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81" name="Text Box 51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82" name="Text Box 51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83" name="Text Box 51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84" name="Text Box 52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85" name="Text Box 52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86" name="Text Box 52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87" name="Text Box 52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88" name="Text Box 52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89" name="Text Box 52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90" name="Text Box 52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91" name="Text Box 52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92" name="Text Box 52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93" name="Text Box 52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94" name="Text Box 53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95" name="Text Box 53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96" name="Text Box 53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97" name="Text Box 53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98" name="Text Box 53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799" name="Text Box 53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00" name="Text Box 53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01" name="Text Box 53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02" name="Text Box 53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03" name="Text Box 53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04" name="Text Box 54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05" name="Text Box 54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06" name="Text Box 54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07" name="Text Box 54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08" name="Text Box 54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09" name="Text Box 54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10" name="Text Box 54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11" name="Text Box 54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12" name="Text Box 54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13" name="Text Box 54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14" name="Text Box 55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15" name="Text Box 55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16" name="Text Box 55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17" name="Text Box 55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18" name="Text Box 55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19" name="Text Box 55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20" name="Text Box 55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21" name="Text Box 55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22" name="Text Box 55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23" name="Text Box 55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24" name="Text Box 56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25" name="Text Box 56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26" name="Text Box 56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27" name="Text Box 56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28" name="Text Box 56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29" name="Text Box 56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30" name="Text Box 56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31" name="Text Box 56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32" name="Text Box 56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33" name="Text Box 56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34" name="Text Box 57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35" name="Text Box 57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36" name="Text Box 57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37" name="Text Box 57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38" name="Text Box 57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39" name="Text Box 57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40" name="Text Box 57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41" name="Text Box 57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42" name="Text Box 57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43" name="Text Box 57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44" name="Text Box 58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45" name="Text Box 58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46" name="Text Box 58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47" name="Text Box 58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48" name="Text Box 58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49" name="Text Box 58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50" name="Text Box 58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51" name="Text Box 58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52" name="Text Box 58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53" name="Text Box 58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54" name="Text Box 59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55" name="Text Box 59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56" name="Text Box 59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57" name="Text Box 59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58" name="Text Box 59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59" name="Text Box 59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60" name="Text Box 59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61" name="Text Box 59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62" name="Text Box 59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63" name="Text Box 599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64" name="Text Box 600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65" name="Text Box 601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66" name="Text Box 602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67" name="Text Box 603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68" name="Text Box 604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69" name="Text Box 605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70" name="Text Box 606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71" name="Text Box 607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1872" name="Text Box 608"/>
        <xdr:cNvSpPr txBox="1">
          <a:spLocks noChangeArrowheads="1"/>
        </xdr:cNvSpPr>
      </xdr:nvSpPr>
      <xdr:spPr bwMode="auto">
        <a:xfrm>
          <a:off x="6981825" y="1466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289" name="Text Box 1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290" name="Text Box 2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291" name="Text Box 3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292" name="Text Box 4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293" name="Text Box 5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294" name="Text Box 6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295" name="Text Box 7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296" name="Text Box 8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297" name="Text Box 9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298" name="Text Box 10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299" name="Text Box 11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300" name="Text Box 12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301" name="Text Box 13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302" name="Text Box 14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303" name="Text Box 15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304" name="Text Box 16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305" name="Text Box 17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306" name="Text Box 18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307" name="Text Box 19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308" name="Text Box 20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309" name="Text Box 21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310" name="Text Box 22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311" name="Text Box 23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312" name="Text Box 24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313" name="Text Box 25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314" name="Text Box 26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315" name="Text Box 27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316" name="Text Box 28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317" name="Text Box 29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318" name="Text Box 30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319" name="Text Box 31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00025"/>
    <xdr:sp macro="" textlink="">
      <xdr:nvSpPr>
        <xdr:cNvPr id="12320" name="Text Box 32"/>
        <xdr:cNvSpPr txBox="1">
          <a:spLocks noChangeArrowheads="1"/>
        </xdr:cNvSpPr>
      </xdr:nvSpPr>
      <xdr:spPr bwMode="auto">
        <a:xfrm>
          <a:off x="6829425" y="219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2321" name="Text Box 33"/>
        <xdr:cNvSpPr txBox="1">
          <a:spLocks noChangeArrowheads="1"/>
        </xdr:cNvSpPr>
      </xdr:nvSpPr>
      <xdr:spPr bwMode="auto">
        <a:xfrm>
          <a:off x="6829425" y="381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2322" name="Text Box 34"/>
        <xdr:cNvSpPr txBox="1">
          <a:spLocks noChangeArrowheads="1"/>
        </xdr:cNvSpPr>
      </xdr:nvSpPr>
      <xdr:spPr bwMode="auto">
        <a:xfrm>
          <a:off x="6829425" y="381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2323" name="Text Box 35"/>
        <xdr:cNvSpPr txBox="1">
          <a:spLocks noChangeArrowheads="1"/>
        </xdr:cNvSpPr>
      </xdr:nvSpPr>
      <xdr:spPr bwMode="auto">
        <a:xfrm>
          <a:off x="6829425" y="381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2324" name="Text Box 36"/>
        <xdr:cNvSpPr txBox="1">
          <a:spLocks noChangeArrowheads="1"/>
        </xdr:cNvSpPr>
      </xdr:nvSpPr>
      <xdr:spPr bwMode="auto">
        <a:xfrm>
          <a:off x="6829425" y="381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2325" name="Text Box 37"/>
        <xdr:cNvSpPr txBox="1">
          <a:spLocks noChangeArrowheads="1"/>
        </xdr:cNvSpPr>
      </xdr:nvSpPr>
      <xdr:spPr bwMode="auto">
        <a:xfrm>
          <a:off x="6829425" y="381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2326" name="Text Box 38"/>
        <xdr:cNvSpPr txBox="1">
          <a:spLocks noChangeArrowheads="1"/>
        </xdr:cNvSpPr>
      </xdr:nvSpPr>
      <xdr:spPr bwMode="auto">
        <a:xfrm>
          <a:off x="6829425" y="381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2327" name="Text Box 39"/>
        <xdr:cNvSpPr txBox="1">
          <a:spLocks noChangeArrowheads="1"/>
        </xdr:cNvSpPr>
      </xdr:nvSpPr>
      <xdr:spPr bwMode="auto">
        <a:xfrm>
          <a:off x="6829425" y="381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2328" name="Text Box 40"/>
        <xdr:cNvSpPr txBox="1">
          <a:spLocks noChangeArrowheads="1"/>
        </xdr:cNvSpPr>
      </xdr:nvSpPr>
      <xdr:spPr bwMode="auto">
        <a:xfrm>
          <a:off x="6829425" y="381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2329" name="Text Box 41"/>
        <xdr:cNvSpPr txBox="1">
          <a:spLocks noChangeArrowheads="1"/>
        </xdr:cNvSpPr>
      </xdr:nvSpPr>
      <xdr:spPr bwMode="auto">
        <a:xfrm>
          <a:off x="6829425" y="381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2330" name="Text Box 42"/>
        <xdr:cNvSpPr txBox="1">
          <a:spLocks noChangeArrowheads="1"/>
        </xdr:cNvSpPr>
      </xdr:nvSpPr>
      <xdr:spPr bwMode="auto">
        <a:xfrm>
          <a:off x="6829425" y="381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2331" name="Text Box 43"/>
        <xdr:cNvSpPr txBox="1">
          <a:spLocks noChangeArrowheads="1"/>
        </xdr:cNvSpPr>
      </xdr:nvSpPr>
      <xdr:spPr bwMode="auto">
        <a:xfrm>
          <a:off x="6829425" y="381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2332" name="Text Box 44"/>
        <xdr:cNvSpPr txBox="1">
          <a:spLocks noChangeArrowheads="1"/>
        </xdr:cNvSpPr>
      </xdr:nvSpPr>
      <xdr:spPr bwMode="auto">
        <a:xfrm>
          <a:off x="6829425" y="381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2333" name="Text Box 45"/>
        <xdr:cNvSpPr txBox="1">
          <a:spLocks noChangeArrowheads="1"/>
        </xdr:cNvSpPr>
      </xdr:nvSpPr>
      <xdr:spPr bwMode="auto">
        <a:xfrm>
          <a:off x="6829425" y="381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2334" name="Text Box 46"/>
        <xdr:cNvSpPr txBox="1">
          <a:spLocks noChangeArrowheads="1"/>
        </xdr:cNvSpPr>
      </xdr:nvSpPr>
      <xdr:spPr bwMode="auto">
        <a:xfrm>
          <a:off x="6829425" y="381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2335" name="Text Box 47"/>
        <xdr:cNvSpPr txBox="1">
          <a:spLocks noChangeArrowheads="1"/>
        </xdr:cNvSpPr>
      </xdr:nvSpPr>
      <xdr:spPr bwMode="auto">
        <a:xfrm>
          <a:off x="6829425" y="381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200025"/>
    <xdr:sp macro="" textlink="">
      <xdr:nvSpPr>
        <xdr:cNvPr id="12336" name="Text Box 48"/>
        <xdr:cNvSpPr txBox="1">
          <a:spLocks noChangeArrowheads="1"/>
        </xdr:cNvSpPr>
      </xdr:nvSpPr>
      <xdr:spPr bwMode="auto">
        <a:xfrm>
          <a:off x="6829425" y="381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2337" name="Text Box 49"/>
        <xdr:cNvSpPr txBox="1">
          <a:spLocks noChangeArrowheads="1"/>
        </xdr:cNvSpPr>
      </xdr:nvSpPr>
      <xdr:spPr bwMode="auto">
        <a:xfrm>
          <a:off x="6829425" y="542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2338" name="Text Box 50"/>
        <xdr:cNvSpPr txBox="1">
          <a:spLocks noChangeArrowheads="1"/>
        </xdr:cNvSpPr>
      </xdr:nvSpPr>
      <xdr:spPr bwMode="auto">
        <a:xfrm>
          <a:off x="6829425" y="542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2339" name="Text Box 51"/>
        <xdr:cNvSpPr txBox="1">
          <a:spLocks noChangeArrowheads="1"/>
        </xdr:cNvSpPr>
      </xdr:nvSpPr>
      <xdr:spPr bwMode="auto">
        <a:xfrm>
          <a:off x="6829425" y="542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2340" name="Text Box 52"/>
        <xdr:cNvSpPr txBox="1">
          <a:spLocks noChangeArrowheads="1"/>
        </xdr:cNvSpPr>
      </xdr:nvSpPr>
      <xdr:spPr bwMode="auto">
        <a:xfrm>
          <a:off x="6829425" y="542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2341" name="Text Box 53"/>
        <xdr:cNvSpPr txBox="1">
          <a:spLocks noChangeArrowheads="1"/>
        </xdr:cNvSpPr>
      </xdr:nvSpPr>
      <xdr:spPr bwMode="auto">
        <a:xfrm>
          <a:off x="6829425" y="542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2342" name="Text Box 54"/>
        <xdr:cNvSpPr txBox="1">
          <a:spLocks noChangeArrowheads="1"/>
        </xdr:cNvSpPr>
      </xdr:nvSpPr>
      <xdr:spPr bwMode="auto">
        <a:xfrm>
          <a:off x="6829425" y="542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2343" name="Text Box 55"/>
        <xdr:cNvSpPr txBox="1">
          <a:spLocks noChangeArrowheads="1"/>
        </xdr:cNvSpPr>
      </xdr:nvSpPr>
      <xdr:spPr bwMode="auto">
        <a:xfrm>
          <a:off x="6829425" y="542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2344" name="Text Box 56"/>
        <xdr:cNvSpPr txBox="1">
          <a:spLocks noChangeArrowheads="1"/>
        </xdr:cNvSpPr>
      </xdr:nvSpPr>
      <xdr:spPr bwMode="auto">
        <a:xfrm>
          <a:off x="6829425" y="542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2345" name="Text Box 57"/>
        <xdr:cNvSpPr txBox="1">
          <a:spLocks noChangeArrowheads="1"/>
        </xdr:cNvSpPr>
      </xdr:nvSpPr>
      <xdr:spPr bwMode="auto">
        <a:xfrm>
          <a:off x="6829425" y="542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2346" name="Text Box 58"/>
        <xdr:cNvSpPr txBox="1">
          <a:spLocks noChangeArrowheads="1"/>
        </xdr:cNvSpPr>
      </xdr:nvSpPr>
      <xdr:spPr bwMode="auto">
        <a:xfrm>
          <a:off x="6829425" y="542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2347" name="Text Box 59"/>
        <xdr:cNvSpPr txBox="1">
          <a:spLocks noChangeArrowheads="1"/>
        </xdr:cNvSpPr>
      </xdr:nvSpPr>
      <xdr:spPr bwMode="auto">
        <a:xfrm>
          <a:off x="6829425" y="542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2348" name="Text Box 60"/>
        <xdr:cNvSpPr txBox="1">
          <a:spLocks noChangeArrowheads="1"/>
        </xdr:cNvSpPr>
      </xdr:nvSpPr>
      <xdr:spPr bwMode="auto">
        <a:xfrm>
          <a:off x="6829425" y="542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2349" name="Text Box 61"/>
        <xdr:cNvSpPr txBox="1">
          <a:spLocks noChangeArrowheads="1"/>
        </xdr:cNvSpPr>
      </xdr:nvSpPr>
      <xdr:spPr bwMode="auto">
        <a:xfrm>
          <a:off x="6829425" y="542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2350" name="Text Box 62"/>
        <xdr:cNvSpPr txBox="1">
          <a:spLocks noChangeArrowheads="1"/>
        </xdr:cNvSpPr>
      </xdr:nvSpPr>
      <xdr:spPr bwMode="auto">
        <a:xfrm>
          <a:off x="6829425" y="542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2351" name="Text Box 63"/>
        <xdr:cNvSpPr txBox="1">
          <a:spLocks noChangeArrowheads="1"/>
        </xdr:cNvSpPr>
      </xdr:nvSpPr>
      <xdr:spPr bwMode="auto">
        <a:xfrm>
          <a:off x="6829425" y="542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200025"/>
    <xdr:sp macro="" textlink="">
      <xdr:nvSpPr>
        <xdr:cNvPr id="12352" name="Text Box 64"/>
        <xdr:cNvSpPr txBox="1">
          <a:spLocks noChangeArrowheads="1"/>
        </xdr:cNvSpPr>
      </xdr:nvSpPr>
      <xdr:spPr bwMode="auto">
        <a:xfrm>
          <a:off x="6829425" y="542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2353" name="Text Box 65"/>
        <xdr:cNvSpPr txBox="1">
          <a:spLocks noChangeArrowheads="1"/>
        </xdr:cNvSpPr>
      </xdr:nvSpPr>
      <xdr:spPr bwMode="auto">
        <a:xfrm>
          <a:off x="6829425" y="704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2354" name="Text Box 66"/>
        <xdr:cNvSpPr txBox="1">
          <a:spLocks noChangeArrowheads="1"/>
        </xdr:cNvSpPr>
      </xdr:nvSpPr>
      <xdr:spPr bwMode="auto">
        <a:xfrm>
          <a:off x="6829425" y="704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2355" name="Text Box 67"/>
        <xdr:cNvSpPr txBox="1">
          <a:spLocks noChangeArrowheads="1"/>
        </xdr:cNvSpPr>
      </xdr:nvSpPr>
      <xdr:spPr bwMode="auto">
        <a:xfrm>
          <a:off x="6829425" y="704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2356" name="Text Box 68"/>
        <xdr:cNvSpPr txBox="1">
          <a:spLocks noChangeArrowheads="1"/>
        </xdr:cNvSpPr>
      </xdr:nvSpPr>
      <xdr:spPr bwMode="auto">
        <a:xfrm>
          <a:off x="6829425" y="704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2357" name="Text Box 69"/>
        <xdr:cNvSpPr txBox="1">
          <a:spLocks noChangeArrowheads="1"/>
        </xdr:cNvSpPr>
      </xdr:nvSpPr>
      <xdr:spPr bwMode="auto">
        <a:xfrm>
          <a:off x="6829425" y="704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2358" name="Text Box 70"/>
        <xdr:cNvSpPr txBox="1">
          <a:spLocks noChangeArrowheads="1"/>
        </xdr:cNvSpPr>
      </xdr:nvSpPr>
      <xdr:spPr bwMode="auto">
        <a:xfrm>
          <a:off x="6829425" y="704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2359" name="Text Box 71"/>
        <xdr:cNvSpPr txBox="1">
          <a:spLocks noChangeArrowheads="1"/>
        </xdr:cNvSpPr>
      </xdr:nvSpPr>
      <xdr:spPr bwMode="auto">
        <a:xfrm>
          <a:off x="6829425" y="704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2360" name="Text Box 72"/>
        <xdr:cNvSpPr txBox="1">
          <a:spLocks noChangeArrowheads="1"/>
        </xdr:cNvSpPr>
      </xdr:nvSpPr>
      <xdr:spPr bwMode="auto">
        <a:xfrm>
          <a:off x="6829425" y="704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2361" name="Text Box 73"/>
        <xdr:cNvSpPr txBox="1">
          <a:spLocks noChangeArrowheads="1"/>
        </xdr:cNvSpPr>
      </xdr:nvSpPr>
      <xdr:spPr bwMode="auto">
        <a:xfrm>
          <a:off x="6829425" y="704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2362" name="Text Box 74"/>
        <xdr:cNvSpPr txBox="1">
          <a:spLocks noChangeArrowheads="1"/>
        </xdr:cNvSpPr>
      </xdr:nvSpPr>
      <xdr:spPr bwMode="auto">
        <a:xfrm>
          <a:off x="6829425" y="704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2363" name="Text Box 75"/>
        <xdr:cNvSpPr txBox="1">
          <a:spLocks noChangeArrowheads="1"/>
        </xdr:cNvSpPr>
      </xdr:nvSpPr>
      <xdr:spPr bwMode="auto">
        <a:xfrm>
          <a:off x="6829425" y="704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2364" name="Text Box 76"/>
        <xdr:cNvSpPr txBox="1">
          <a:spLocks noChangeArrowheads="1"/>
        </xdr:cNvSpPr>
      </xdr:nvSpPr>
      <xdr:spPr bwMode="auto">
        <a:xfrm>
          <a:off x="6829425" y="704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2365" name="Text Box 77"/>
        <xdr:cNvSpPr txBox="1">
          <a:spLocks noChangeArrowheads="1"/>
        </xdr:cNvSpPr>
      </xdr:nvSpPr>
      <xdr:spPr bwMode="auto">
        <a:xfrm>
          <a:off x="6829425" y="704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2366" name="Text Box 78"/>
        <xdr:cNvSpPr txBox="1">
          <a:spLocks noChangeArrowheads="1"/>
        </xdr:cNvSpPr>
      </xdr:nvSpPr>
      <xdr:spPr bwMode="auto">
        <a:xfrm>
          <a:off x="6829425" y="704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2367" name="Text Box 79"/>
        <xdr:cNvSpPr txBox="1">
          <a:spLocks noChangeArrowheads="1"/>
        </xdr:cNvSpPr>
      </xdr:nvSpPr>
      <xdr:spPr bwMode="auto">
        <a:xfrm>
          <a:off x="6829425" y="704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200025"/>
    <xdr:sp macro="" textlink="">
      <xdr:nvSpPr>
        <xdr:cNvPr id="12368" name="Text Box 80"/>
        <xdr:cNvSpPr txBox="1">
          <a:spLocks noChangeArrowheads="1"/>
        </xdr:cNvSpPr>
      </xdr:nvSpPr>
      <xdr:spPr bwMode="auto">
        <a:xfrm>
          <a:off x="6829425" y="704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2369" name="Text Box 81"/>
        <xdr:cNvSpPr txBox="1">
          <a:spLocks noChangeArrowheads="1"/>
        </xdr:cNvSpPr>
      </xdr:nvSpPr>
      <xdr:spPr bwMode="auto">
        <a:xfrm>
          <a:off x="6829425" y="86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2370" name="Text Box 82"/>
        <xdr:cNvSpPr txBox="1">
          <a:spLocks noChangeArrowheads="1"/>
        </xdr:cNvSpPr>
      </xdr:nvSpPr>
      <xdr:spPr bwMode="auto">
        <a:xfrm>
          <a:off x="6829425" y="86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2371" name="Text Box 83"/>
        <xdr:cNvSpPr txBox="1">
          <a:spLocks noChangeArrowheads="1"/>
        </xdr:cNvSpPr>
      </xdr:nvSpPr>
      <xdr:spPr bwMode="auto">
        <a:xfrm>
          <a:off x="6829425" y="86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2372" name="Text Box 84"/>
        <xdr:cNvSpPr txBox="1">
          <a:spLocks noChangeArrowheads="1"/>
        </xdr:cNvSpPr>
      </xdr:nvSpPr>
      <xdr:spPr bwMode="auto">
        <a:xfrm>
          <a:off x="6829425" y="86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2373" name="Text Box 85"/>
        <xdr:cNvSpPr txBox="1">
          <a:spLocks noChangeArrowheads="1"/>
        </xdr:cNvSpPr>
      </xdr:nvSpPr>
      <xdr:spPr bwMode="auto">
        <a:xfrm>
          <a:off x="6829425" y="86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2374" name="Text Box 86"/>
        <xdr:cNvSpPr txBox="1">
          <a:spLocks noChangeArrowheads="1"/>
        </xdr:cNvSpPr>
      </xdr:nvSpPr>
      <xdr:spPr bwMode="auto">
        <a:xfrm>
          <a:off x="6829425" y="86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2375" name="Text Box 87"/>
        <xdr:cNvSpPr txBox="1">
          <a:spLocks noChangeArrowheads="1"/>
        </xdr:cNvSpPr>
      </xdr:nvSpPr>
      <xdr:spPr bwMode="auto">
        <a:xfrm>
          <a:off x="6829425" y="86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2376" name="Text Box 88"/>
        <xdr:cNvSpPr txBox="1">
          <a:spLocks noChangeArrowheads="1"/>
        </xdr:cNvSpPr>
      </xdr:nvSpPr>
      <xdr:spPr bwMode="auto">
        <a:xfrm>
          <a:off x="6829425" y="86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2377" name="Text Box 89"/>
        <xdr:cNvSpPr txBox="1">
          <a:spLocks noChangeArrowheads="1"/>
        </xdr:cNvSpPr>
      </xdr:nvSpPr>
      <xdr:spPr bwMode="auto">
        <a:xfrm>
          <a:off x="6829425" y="86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2378" name="Text Box 90"/>
        <xdr:cNvSpPr txBox="1">
          <a:spLocks noChangeArrowheads="1"/>
        </xdr:cNvSpPr>
      </xdr:nvSpPr>
      <xdr:spPr bwMode="auto">
        <a:xfrm>
          <a:off x="6829425" y="86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2379" name="Text Box 91"/>
        <xdr:cNvSpPr txBox="1">
          <a:spLocks noChangeArrowheads="1"/>
        </xdr:cNvSpPr>
      </xdr:nvSpPr>
      <xdr:spPr bwMode="auto">
        <a:xfrm>
          <a:off x="6829425" y="86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2380" name="Text Box 92"/>
        <xdr:cNvSpPr txBox="1">
          <a:spLocks noChangeArrowheads="1"/>
        </xdr:cNvSpPr>
      </xdr:nvSpPr>
      <xdr:spPr bwMode="auto">
        <a:xfrm>
          <a:off x="6829425" y="86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2381" name="Text Box 93"/>
        <xdr:cNvSpPr txBox="1">
          <a:spLocks noChangeArrowheads="1"/>
        </xdr:cNvSpPr>
      </xdr:nvSpPr>
      <xdr:spPr bwMode="auto">
        <a:xfrm>
          <a:off x="6829425" y="86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2382" name="Text Box 94"/>
        <xdr:cNvSpPr txBox="1">
          <a:spLocks noChangeArrowheads="1"/>
        </xdr:cNvSpPr>
      </xdr:nvSpPr>
      <xdr:spPr bwMode="auto">
        <a:xfrm>
          <a:off x="6829425" y="86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2383" name="Text Box 95"/>
        <xdr:cNvSpPr txBox="1">
          <a:spLocks noChangeArrowheads="1"/>
        </xdr:cNvSpPr>
      </xdr:nvSpPr>
      <xdr:spPr bwMode="auto">
        <a:xfrm>
          <a:off x="6829425" y="86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200025"/>
    <xdr:sp macro="" textlink="">
      <xdr:nvSpPr>
        <xdr:cNvPr id="12384" name="Text Box 96"/>
        <xdr:cNvSpPr txBox="1">
          <a:spLocks noChangeArrowheads="1"/>
        </xdr:cNvSpPr>
      </xdr:nvSpPr>
      <xdr:spPr bwMode="auto">
        <a:xfrm>
          <a:off x="6829425" y="86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2385" name="Text Box 97"/>
        <xdr:cNvSpPr txBox="1">
          <a:spLocks noChangeArrowheads="1"/>
        </xdr:cNvSpPr>
      </xdr:nvSpPr>
      <xdr:spPr bwMode="auto">
        <a:xfrm>
          <a:off x="6829425" y="1028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2386" name="Text Box 98"/>
        <xdr:cNvSpPr txBox="1">
          <a:spLocks noChangeArrowheads="1"/>
        </xdr:cNvSpPr>
      </xdr:nvSpPr>
      <xdr:spPr bwMode="auto">
        <a:xfrm>
          <a:off x="6829425" y="1028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2387" name="Text Box 99"/>
        <xdr:cNvSpPr txBox="1">
          <a:spLocks noChangeArrowheads="1"/>
        </xdr:cNvSpPr>
      </xdr:nvSpPr>
      <xdr:spPr bwMode="auto">
        <a:xfrm>
          <a:off x="6829425" y="1028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2388" name="Text Box 100"/>
        <xdr:cNvSpPr txBox="1">
          <a:spLocks noChangeArrowheads="1"/>
        </xdr:cNvSpPr>
      </xdr:nvSpPr>
      <xdr:spPr bwMode="auto">
        <a:xfrm>
          <a:off x="6829425" y="1028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2389" name="Text Box 101"/>
        <xdr:cNvSpPr txBox="1">
          <a:spLocks noChangeArrowheads="1"/>
        </xdr:cNvSpPr>
      </xdr:nvSpPr>
      <xdr:spPr bwMode="auto">
        <a:xfrm>
          <a:off x="6829425" y="1028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2390" name="Text Box 102"/>
        <xdr:cNvSpPr txBox="1">
          <a:spLocks noChangeArrowheads="1"/>
        </xdr:cNvSpPr>
      </xdr:nvSpPr>
      <xdr:spPr bwMode="auto">
        <a:xfrm>
          <a:off x="6829425" y="1028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2391" name="Text Box 103"/>
        <xdr:cNvSpPr txBox="1">
          <a:spLocks noChangeArrowheads="1"/>
        </xdr:cNvSpPr>
      </xdr:nvSpPr>
      <xdr:spPr bwMode="auto">
        <a:xfrm>
          <a:off x="6829425" y="1028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2392" name="Text Box 104"/>
        <xdr:cNvSpPr txBox="1">
          <a:spLocks noChangeArrowheads="1"/>
        </xdr:cNvSpPr>
      </xdr:nvSpPr>
      <xdr:spPr bwMode="auto">
        <a:xfrm>
          <a:off x="6829425" y="1028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2393" name="Text Box 105"/>
        <xdr:cNvSpPr txBox="1">
          <a:spLocks noChangeArrowheads="1"/>
        </xdr:cNvSpPr>
      </xdr:nvSpPr>
      <xdr:spPr bwMode="auto">
        <a:xfrm>
          <a:off x="6829425" y="1028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2394" name="Text Box 106"/>
        <xdr:cNvSpPr txBox="1">
          <a:spLocks noChangeArrowheads="1"/>
        </xdr:cNvSpPr>
      </xdr:nvSpPr>
      <xdr:spPr bwMode="auto">
        <a:xfrm>
          <a:off x="6829425" y="1028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2395" name="Text Box 107"/>
        <xdr:cNvSpPr txBox="1">
          <a:spLocks noChangeArrowheads="1"/>
        </xdr:cNvSpPr>
      </xdr:nvSpPr>
      <xdr:spPr bwMode="auto">
        <a:xfrm>
          <a:off x="6829425" y="1028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2396" name="Text Box 108"/>
        <xdr:cNvSpPr txBox="1">
          <a:spLocks noChangeArrowheads="1"/>
        </xdr:cNvSpPr>
      </xdr:nvSpPr>
      <xdr:spPr bwMode="auto">
        <a:xfrm>
          <a:off x="6829425" y="1028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2397" name="Text Box 109"/>
        <xdr:cNvSpPr txBox="1">
          <a:spLocks noChangeArrowheads="1"/>
        </xdr:cNvSpPr>
      </xdr:nvSpPr>
      <xdr:spPr bwMode="auto">
        <a:xfrm>
          <a:off x="6829425" y="1028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2398" name="Text Box 110"/>
        <xdr:cNvSpPr txBox="1">
          <a:spLocks noChangeArrowheads="1"/>
        </xdr:cNvSpPr>
      </xdr:nvSpPr>
      <xdr:spPr bwMode="auto">
        <a:xfrm>
          <a:off x="6829425" y="1028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2399" name="Text Box 111"/>
        <xdr:cNvSpPr txBox="1">
          <a:spLocks noChangeArrowheads="1"/>
        </xdr:cNvSpPr>
      </xdr:nvSpPr>
      <xdr:spPr bwMode="auto">
        <a:xfrm>
          <a:off x="6829425" y="1028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12400" name="Text Box 112"/>
        <xdr:cNvSpPr txBox="1">
          <a:spLocks noChangeArrowheads="1"/>
        </xdr:cNvSpPr>
      </xdr:nvSpPr>
      <xdr:spPr bwMode="auto">
        <a:xfrm>
          <a:off x="6829425" y="1028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2401" name="Text Box 113"/>
        <xdr:cNvSpPr txBox="1">
          <a:spLocks noChangeArrowheads="1"/>
        </xdr:cNvSpPr>
      </xdr:nvSpPr>
      <xdr:spPr bwMode="auto">
        <a:xfrm>
          <a:off x="6829425" y="1190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2402" name="Text Box 114"/>
        <xdr:cNvSpPr txBox="1">
          <a:spLocks noChangeArrowheads="1"/>
        </xdr:cNvSpPr>
      </xdr:nvSpPr>
      <xdr:spPr bwMode="auto">
        <a:xfrm>
          <a:off x="6829425" y="1190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2403" name="Text Box 115"/>
        <xdr:cNvSpPr txBox="1">
          <a:spLocks noChangeArrowheads="1"/>
        </xdr:cNvSpPr>
      </xdr:nvSpPr>
      <xdr:spPr bwMode="auto">
        <a:xfrm>
          <a:off x="6829425" y="1190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2404" name="Text Box 116"/>
        <xdr:cNvSpPr txBox="1">
          <a:spLocks noChangeArrowheads="1"/>
        </xdr:cNvSpPr>
      </xdr:nvSpPr>
      <xdr:spPr bwMode="auto">
        <a:xfrm>
          <a:off x="6829425" y="1190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2405" name="Text Box 117"/>
        <xdr:cNvSpPr txBox="1">
          <a:spLocks noChangeArrowheads="1"/>
        </xdr:cNvSpPr>
      </xdr:nvSpPr>
      <xdr:spPr bwMode="auto">
        <a:xfrm>
          <a:off x="6829425" y="1190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2406" name="Text Box 118"/>
        <xdr:cNvSpPr txBox="1">
          <a:spLocks noChangeArrowheads="1"/>
        </xdr:cNvSpPr>
      </xdr:nvSpPr>
      <xdr:spPr bwMode="auto">
        <a:xfrm>
          <a:off x="6829425" y="1190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2407" name="Text Box 119"/>
        <xdr:cNvSpPr txBox="1">
          <a:spLocks noChangeArrowheads="1"/>
        </xdr:cNvSpPr>
      </xdr:nvSpPr>
      <xdr:spPr bwMode="auto">
        <a:xfrm>
          <a:off x="6829425" y="1190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2408" name="Text Box 120"/>
        <xdr:cNvSpPr txBox="1">
          <a:spLocks noChangeArrowheads="1"/>
        </xdr:cNvSpPr>
      </xdr:nvSpPr>
      <xdr:spPr bwMode="auto">
        <a:xfrm>
          <a:off x="6829425" y="1190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2409" name="Text Box 121"/>
        <xdr:cNvSpPr txBox="1">
          <a:spLocks noChangeArrowheads="1"/>
        </xdr:cNvSpPr>
      </xdr:nvSpPr>
      <xdr:spPr bwMode="auto">
        <a:xfrm>
          <a:off x="6829425" y="1190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2410" name="Text Box 122"/>
        <xdr:cNvSpPr txBox="1">
          <a:spLocks noChangeArrowheads="1"/>
        </xdr:cNvSpPr>
      </xdr:nvSpPr>
      <xdr:spPr bwMode="auto">
        <a:xfrm>
          <a:off x="6829425" y="1190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2411" name="Text Box 123"/>
        <xdr:cNvSpPr txBox="1">
          <a:spLocks noChangeArrowheads="1"/>
        </xdr:cNvSpPr>
      </xdr:nvSpPr>
      <xdr:spPr bwMode="auto">
        <a:xfrm>
          <a:off x="6829425" y="1190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2412" name="Text Box 124"/>
        <xdr:cNvSpPr txBox="1">
          <a:spLocks noChangeArrowheads="1"/>
        </xdr:cNvSpPr>
      </xdr:nvSpPr>
      <xdr:spPr bwMode="auto">
        <a:xfrm>
          <a:off x="6829425" y="1190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2413" name="Text Box 125"/>
        <xdr:cNvSpPr txBox="1">
          <a:spLocks noChangeArrowheads="1"/>
        </xdr:cNvSpPr>
      </xdr:nvSpPr>
      <xdr:spPr bwMode="auto">
        <a:xfrm>
          <a:off x="6829425" y="1190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2414" name="Text Box 126"/>
        <xdr:cNvSpPr txBox="1">
          <a:spLocks noChangeArrowheads="1"/>
        </xdr:cNvSpPr>
      </xdr:nvSpPr>
      <xdr:spPr bwMode="auto">
        <a:xfrm>
          <a:off x="6829425" y="1190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2415" name="Text Box 127"/>
        <xdr:cNvSpPr txBox="1">
          <a:spLocks noChangeArrowheads="1"/>
        </xdr:cNvSpPr>
      </xdr:nvSpPr>
      <xdr:spPr bwMode="auto">
        <a:xfrm>
          <a:off x="6829425" y="1190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12416" name="Text Box 128"/>
        <xdr:cNvSpPr txBox="1">
          <a:spLocks noChangeArrowheads="1"/>
        </xdr:cNvSpPr>
      </xdr:nvSpPr>
      <xdr:spPr bwMode="auto">
        <a:xfrm>
          <a:off x="6829425" y="1190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17" name="Text Box 12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18" name="Text Box 13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19" name="Text Box 13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20" name="Text Box 13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21" name="Text Box 13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22" name="Text Box 13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23" name="Text Box 13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24" name="Text Box 13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25" name="Text Box 13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26" name="Text Box 13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27" name="Text Box 13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28" name="Text Box 14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29" name="Text Box 14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30" name="Text Box 14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31" name="Text Box 14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32" name="Text Box 14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33" name="Text Box 14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34" name="Text Box 14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35" name="Text Box 14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36" name="Text Box 14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37" name="Text Box 14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38" name="Text Box 15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39" name="Text Box 15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40" name="Text Box 15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41" name="Text Box 15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42" name="Text Box 15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43" name="Text Box 15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44" name="Text Box 15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45" name="Text Box 15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46" name="Text Box 15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47" name="Text Box 15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48" name="Text Box 16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49" name="Text Box 16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50" name="Text Box 16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51" name="Text Box 16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52" name="Text Box 16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53" name="Text Box 16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54" name="Text Box 16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55" name="Text Box 16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56" name="Text Box 16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57" name="Text Box 16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58" name="Text Box 17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59" name="Text Box 17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60" name="Text Box 17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61" name="Text Box 17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62" name="Text Box 17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63" name="Text Box 17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64" name="Text Box 17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65" name="Text Box 17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66" name="Text Box 17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67" name="Text Box 17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68" name="Text Box 18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69" name="Text Box 18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70" name="Text Box 18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71" name="Text Box 18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72" name="Text Box 18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73" name="Text Box 18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74" name="Text Box 18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75" name="Text Box 18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76" name="Text Box 18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77" name="Text Box 18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78" name="Text Box 19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79" name="Text Box 19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80" name="Text Box 19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81" name="Text Box 19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82" name="Text Box 19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83" name="Text Box 19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84" name="Text Box 19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85" name="Text Box 19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86" name="Text Box 19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87" name="Text Box 19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88" name="Text Box 20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89" name="Text Box 20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90" name="Text Box 20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91" name="Text Box 20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92" name="Text Box 20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93" name="Text Box 20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94" name="Text Box 20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95" name="Text Box 20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96" name="Text Box 20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97" name="Text Box 20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98" name="Text Box 21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499" name="Text Box 21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00" name="Text Box 21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01" name="Text Box 21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02" name="Text Box 21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03" name="Text Box 21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04" name="Text Box 21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05" name="Text Box 21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06" name="Text Box 21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07" name="Text Box 21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08" name="Text Box 22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09" name="Text Box 22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10" name="Text Box 22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11" name="Text Box 22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12" name="Text Box 22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13" name="Text Box 22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14" name="Text Box 22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15" name="Text Box 22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16" name="Text Box 22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17" name="Text Box 22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18" name="Text Box 23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19" name="Text Box 23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20" name="Text Box 23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21" name="Text Box 23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22" name="Text Box 23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23" name="Text Box 23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24" name="Text Box 23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25" name="Text Box 23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26" name="Text Box 23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27" name="Text Box 23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28" name="Text Box 24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29" name="Text Box 24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30" name="Text Box 24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31" name="Text Box 24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32" name="Text Box 24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33" name="Text Box 24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34" name="Text Box 24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35" name="Text Box 24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36" name="Text Box 24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37" name="Text Box 24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38" name="Text Box 25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39" name="Text Box 25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40" name="Text Box 25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41" name="Text Box 25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42" name="Text Box 25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43" name="Text Box 25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44" name="Text Box 25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45" name="Text Box 25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46" name="Text Box 25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47" name="Text Box 25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48" name="Text Box 26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49" name="Text Box 26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50" name="Text Box 26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51" name="Text Box 26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52" name="Text Box 26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53" name="Text Box 26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54" name="Text Box 26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55" name="Text Box 26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56" name="Text Box 26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57" name="Text Box 26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58" name="Text Box 27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59" name="Text Box 27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60" name="Text Box 27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61" name="Text Box 27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62" name="Text Box 27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63" name="Text Box 27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64" name="Text Box 27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65" name="Text Box 27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66" name="Text Box 27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67" name="Text Box 27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68" name="Text Box 28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69" name="Text Box 28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70" name="Text Box 28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71" name="Text Box 28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72" name="Text Box 28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73" name="Text Box 28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74" name="Text Box 28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75" name="Text Box 28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76" name="Text Box 28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77" name="Text Box 28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78" name="Text Box 29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79" name="Text Box 29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80" name="Text Box 29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81" name="Text Box 29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82" name="Text Box 29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83" name="Text Box 29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84" name="Text Box 29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85" name="Text Box 29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86" name="Text Box 29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87" name="Text Box 29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88" name="Text Box 30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89" name="Text Box 30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90" name="Text Box 30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91" name="Text Box 30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92" name="Text Box 30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93" name="Text Box 30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94" name="Text Box 30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95" name="Text Box 30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96" name="Text Box 30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97" name="Text Box 30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98" name="Text Box 31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599" name="Text Box 31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00" name="Text Box 31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01" name="Text Box 31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02" name="Text Box 31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03" name="Text Box 31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04" name="Text Box 31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05" name="Text Box 31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06" name="Text Box 31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07" name="Text Box 31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08" name="Text Box 32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09" name="Text Box 32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10" name="Text Box 32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11" name="Text Box 32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12" name="Text Box 32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13" name="Text Box 32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14" name="Text Box 32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15" name="Text Box 32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16" name="Text Box 32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17" name="Text Box 32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18" name="Text Box 33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19" name="Text Box 33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20" name="Text Box 33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21" name="Text Box 33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22" name="Text Box 33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23" name="Text Box 33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24" name="Text Box 33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25" name="Text Box 33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26" name="Text Box 33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27" name="Text Box 33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28" name="Text Box 34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29" name="Text Box 34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30" name="Text Box 34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31" name="Text Box 34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32" name="Text Box 34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33" name="Text Box 34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34" name="Text Box 34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35" name="Text Box 34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36" name="Text Box 34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37" name="Text Box 34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38" name="Text Box 35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39" name="Text Box 35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40" name="Text Box 35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41" name="Text Box 35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42" name="Text Box 35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43" name="Text Box 35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44" name="Text Box 35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45" name="Text Box 35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46" name="Text Box 35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47" name="Text Box 35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48" name="Text Box 36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49" name="Text Box 36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50" name="Text Box 36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51" name="Text Box 36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52" name="Text Box 36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53" name="Text Box 36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54" name="Text Box 36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55" name="Text Box 36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56" name="Text Box 36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57" name="Text Box 36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58" name="Text Box 37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59" name="Text Box 37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60" name="Text Box 37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61" name="Text Box 37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62" name="Text Box 37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63" name="Text Box 37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64" name="Text Box 37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65" name="Text Box 37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66" name="Text Box 37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67" name="Text Box 37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68" name="Text Box 38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69" name="Text Box 38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70" name="Text Box 38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71" name="Text Box 38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72" name="Text Box 38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73" name="Text Box 38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74" name="Text Box 38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75" name="Text Box 38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76" name="Text Box 38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77" name="Text Box 38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78" name="Text Box 39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79" name="Text Box 39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80" name="Text Box 39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81" name="Text Box 39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82" name="Text Box 39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83" name="Text Box 39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84" name="Text Box 39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85" name="Text Box 39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86" name="Text Box 39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87" name="Text Box 39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88" name="Text Box 40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89" name="Text Box 40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90" name="Text Box 40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91" name="Text Box 40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92" name="Text Box 40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93" name="Text Box 40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94" name="Text Box 40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95" name="Text Box 40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96" name="Text Box 40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97" name="Text Box 40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98" name="Text Box 41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699" name="Text Box 41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00" name="Text Box 41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01" name="Text Box 41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02" name="Text Box 41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03" name="Text Box 41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04" name="Text Box 41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05" name="Text Box 41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06" name="Text Box 41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07" name="Text Box 41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08" name="Text Box 42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09" name="Text Box 42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10" name="Text Box 42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11" name="Text Box 42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12" name="Text Box 42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13" name="Text Box 42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14" name="Text Box 42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15" name="Text Box 42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16" name="Text Box 42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17" name="Text Box 42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18" name="Text Box 43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19" name="Text Box 43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20" name="Text Box 43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21" name="Text Box 43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22" name="Text Box 43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23" name="Text Box 43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24" name="Text Box 43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25" name="Text Box 43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26" name="Text Box 43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27" name="Text Box 43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28" name="Text Box 44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29" name="Text Box 44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30" name="Text Box 44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31" name="Text Box 44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32" name="Text Box 44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33" name="Text Box 44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34" name="Text Box 44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35" name="Text Box 44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36" name="Text Box 44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37" name="Text Box 44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38" name="Text Box 45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39" name="Text Box 45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40" name="Text Box 45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41" name="Text Box 45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42" name="Text Box 45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43" name="Text Box 45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44" name="Text Box 45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45" name="Text Box 45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46" name="Text Box 45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47" name="Text Box 45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48" name="Text Box 46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49" name="Text Box 46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50" name="Text Box 46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51" name="Text Box 46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52" name="Text Box 46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53" name="Text Box 46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54" name="Text Box 46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55" name="Text Box 46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56" name="Text Box 46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57" name="Text Box 46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58" name="Text Box 47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59" name="Text Box 47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60" name="Text Box 47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61" name="Text Box 47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62" name="Text Box 47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63" name="Text Box 47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64" name="Text Box 47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65" name="Text Box 47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66" name="Text Box 47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67" name="Text Box 47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68" name="Text Box 48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69" name="Text Box 48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70" name="Text Box 48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71" name="Text Box 48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72" name="Text Box 48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73" name="Text Box 48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74" name="Text Box 48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75" name="Text Box 48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76" name="Text Box 48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77" name="Text Box 48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78" name="Text Box 49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79" name="Text Box 49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80" name="Text Box 49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81" name="Text Box 49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82" name="Text Box 49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83" name="Text Box 49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84" name="Text Box 49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85" name="Text Box 49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86" name="Text Box 49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87" name="Text Box 49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88" name="Text Box 50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89" name="Text Box 50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90" name="Text Box 50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91" name="Text Box 50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92" name="Text Box 50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93" name="Text Box 50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94" name="Text Box 50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95" name="Text Box 50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96" name="Text Box 50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97" name="Text Box 50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98" name="Text Box 51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799" name="Text Box 51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00" name="Text Box 51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01" name="Text Box 51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02" name="Text Box 51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03" name="Text Box 51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04" name="Text Box 51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05" name="Text Box 51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06" name="Text Box 51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07" name="Text Box 51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08" name="Text Box 52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09" name="Text Box 52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10" name="Text Box 52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11" name="Text Box 52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12" name="Text Box 52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13" name="Text Box 52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14" name="Text Box 52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15" name="Text Box 52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16" name="Text Box 52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17" name="Text Box 52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18" name="Text Box 53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19" name="Text Box 53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20" name="Text Box 53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21" name="Text Box 53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22" name="Text Box 53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23" name="Text Box 535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24" name="Text Box 536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25" name="Text Box 537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26" name="Text Box 538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27" name="Text Box 539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28" name="Text Box 540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29" name="Text Box 541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30" name="Text Box 542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31" name="Text Box 543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12832" name="Text Box 544"/>
        <xdr:cNvSpPr txBox="1">
          <a:spLocks noChangeArrowheads="1"/>
        </xdr:cNvSpPr>
      </xdr:nvSpPr>
      <xdr:spPr bwMode="auto">
        <a:xfrm>
          <a:off x="6829425" y="13525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2833" name="Text Box 545"/>
        <xdr:cNvSpPr txBox="1">
          <a:spLocks noChangeArrowheads="1"/>
        </xdr:cNvSpPr>
      </xdr:nvSpPr>
      <xdr:spPr bwMode="auto">
        <a:xfrm>
          <a:off x="6829425" y="1514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2834" name="Text Box 546"/>
        <xdr:cNvSpPr txBox="1">
          <a:spLocks noChangeArrowheads="1"/>
        </xdr:cNvSpPr>
      </xdr:nvSpPr>
      <xdr:spPr bwMode="auto">
        <a:xfrm>
          <a:off x="6829425" y="1514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2835" name="Text Box 547"/>
        <xdr:cNvSpPr txBox="1">
          <a:spLocks noChangeArrowheads="1"/>
        </xdr:cNvSpPr>
      </xdr:nvSpPr>
      <xdr:spPr bwMode="auto">
        <a:xfrm>
          <a:off x="6829425" y="1514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2836" name="Text Box 548"/>
        <xdr:cNvSpPr txBox="1">
          <a:spLocks noChangeArrowheads="1"/>
        </xdr:cNvSpPr>
      </xdr:nvSpPr>
      <xdr:spPr bwMode="auto">
        <a:xfrm>
          <a:off x="6829425" y="1514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2837" name="Text Box 549"/>
        <xdr:cNvSpPr txBox="1">
          <a:spLocks noChangeArrowheads="1"/>
        </xdr:cNvSpPr>
      </xdr:nvSpPr>
      <xdr:spPr bwMode="auto">
        <a:xfrm>
          <a:off x="6829425" y="1514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2838" name="Text Box 550"/>
        <xdr:cNvSpPr txBox="1">
          <a:spLocks noChangeArrowheads="1"/>
        </xdr:cNvSpPr>
      </xdr:nvSpPr>
      <xdr:spPr bwMode="auto">
        <a:xfrm>
          <a:off x="6829425" y="1514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2839" name="Text Box 551"/>
        <xdr:cNvSpPr txBox="1">
          <a:spLocks noChangeArrowheads="1"/>
        </xdr:cNvSpPr>
      </xdr:nvSpPr>
      <xdr:spPr bwMode="auto">
        <a:xfrm>
          <a:off x="6829425" y="1514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2840" name="Text Box 552"/>
        <xdr:cNvSpPr txBox="1">
          <a:spLocks noChangeArrowheads="1"/>
        </xdr:cNvSpPr>
      </xdr:nvSpPr>
      <xdr:spPr bwMode="auto">
        <a:xfrm>
          <a:off x="6829425" y="1514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2841" name="Text Box 553"/>
        <xdr:cNvSpPr txBox="1">
          <a:spLocks noChangeArrowheads="1"/>
        </xdr:cNvSpPr>
      </xdr:nvSpPr>
      <xdr:spPr bwMode="auto">
        <a:xfrm>
          <a:off x="6829425" y="1514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2842" name="Text Box 554"/>
        <xdr:cNvSpPr txBox="1">
          <a:spLocks noChangeArrowheads="1"/>
        </xdr:cNvSpPr>
      </xdr:nvSpPr>
      <xdr:spPr bwMode="auto">
        <a:xfrm>
          <a:off x="6829425" y="1514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2843" name="Text Box 555"/>
        <xdr:cNvSpPr txBox="1">
          <a:spLocks noChangeArrowheads="1"/>
        </xdr:cNvSpPr>
      </xdr:nvSpPr>
      <xdr:spPr bwMode="auto">
        <a:xfrm>
          <a:off x="6829425" y="1514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2844" name="Text Box 556"/>
        <xdr:cNvSpPr txBox="1">
          <a:spLocks noChangeArrowheads="1"/>
        </xdr:cNvSpPr>
      </xdr:nvSpPr>
      <xdr:spPr bwMode="auto">
        <a:xfrm>
          <a:off x="6829425" y="1514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2845" name="Text Box 557"/>
        <xdr:cNvSpPr txBox="1">
          <a:spLocks noChangeArrowheads="1"/>
        </xdr:cNvSpPr>
      </xdr:nvSpPr>
      <xdr:spPr bwMode="auto">
        <a:xfrm>
          <a:off x="6829425" y="1514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2846" name="Text Box 558"/>
        <xdr:cNvSpPr txBox="1">
          <a:spLocks noChangeArrowheads="1"/>
        </xdr:cNvSpPr>
      </xdr:nvSpPr>
      <xdr:spPr bwMode="auto">
        <a:xfrm>
          <a:off x="6829425" y="1514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2847" name="Text Box 559"/>
        <xdr:cNvSpPr txBox="1">
          <a:spLocks noChangeArrowheads="1"/>
        </xdr:cNvSpPr>
      </xdr:nvSpPr>
      <xdr:spPr bwMode="auto">
        <a:xfrm>
          <a:off x="6829425" y="1514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12848" name="Text Box 560"/>
        <xdr:cNvSpPr txBox="1">
          <a:spLocks noChangeArrowheads="1"/>
        </xdr:cNvSpPr>
      </xdr:nvSpPr>
      <xdr:spPr bwMode="auto">
        <a:xfrm>
          <a:off x="6829425" y="1514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2849" name="Text Box 561"/>
        <xdr:cNvSpPr txBox="1">
          <a:spLocks noChangeArrowheads="1"/>
        </xdr:cNvSpPr>
      </xdr:nvSpPr>
      <xdr:spPr bwMode="auto">
        <a:xfrm>
          <a:off x="6829425" y="1676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2850" name="Text Box 562"/>
        <xdr:cNvSpPr txBox="1">
          <a:spLocks noChangeArrowheads="1"/>
        </xdr:cNvSpPr>
      </xdr:nvSpPr>
      <xdr:spPr bwMode="auto">
        <a:xfrm>
          <a:off x="6829425" y="1676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2851" name="Text Box 563"/>
        <xdr:cNvSpPr txBox="1">
          <a:spLocks noChangeArrowheads="1"/>
        </xdr:cNvSpPr>
      </xdr:nvSpPr>
      <xdr:spPr bwMode="auto">
        <a:xfrm>
          <a:off x="6829425" y="1676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2852" name="Text Box 564"/>
        <xdr:cNvSpPr txBox="1">
          <a:spLocks noChangeArrowheads="1"/>
        </xdr:cNvSpPr>
      </xdr:nvSpPr>
      <xdr:spPr bwMode="auto">
        <a:xfrm>
          <a:off x="6829425" y="1676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2853" name="Text Box 565"/>
        <xdr:cNvSpPr txBox="1">
          <a:spLocks noChangeArrowheads="1"/>
        </xdr:cNvSpPr>
      </xdr:nvSpPr>
      <xdr:spPr bwMode="auto">
        <a:xfrm>
          <a:off x="6829425" y="1676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2854" name="Text Box 566"/>
        <xdr:cNvSpPr txBox="1">
          <a:spLocks noChangeArrowheads="1"/>
        </xdr:cNvSpPr>
      </xdr:nvSpPr>
      <xdr:spPr bwMode="auto">
        <a:xfrm>
          <a:off x="6829425" y="1676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2855" name="Text Box 567"/>
        <xdr:cNvSpPr txBox="1">
          <a:spLocks noChangeArrowheads="1"/>
        </xdr:cNvSpPr>
      </xdr:nvSpPr>
      <xdr:spPr bwMode="auto">
        <a:xfrm>
          <a:off x="6829425" y="1676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2856" name="Text Box 568"/>
        <xdr:cNvSpPr txBox="1">
          <a:spLocks noChangeArrowheads="1"/>
        </xdr:cNvSpPr>
      </xdr:nvSpPr>
      <xdr:spPr bwMode="auto">
        <a:xfrm>
          <a:off x="6829425" y="1676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2857" name="Text Box 569"/>
        <xdr:cNvSpPr txBox="1">
          <a:spLocks noChangeArrowheads="1"/>
        </xdr:cNvSpPr>
      </xdr:nvSpPr>
      <xdr:spPr bwMode="auto">
        <a:xfrm>
          <a:off x="6829425" y="1676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2858" name="Text Box 570"/>
        <xdr:cNvSpPr txBox="1">
          <a:spLocks noChangeArrowheads="1"/>
        </xdr:cNvSpPr>
      </xdr:nvSpPr>
      <xdr:spPr bwMode="auto">
        <a:xfrm>
          <a:off x="6829425" y="1676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2859" name="Text Box 571"/>
        <xdr:cNvSpPr txBox="1">
          <a:spLocks noChangeArrowheads="1"/>
        </xdr:cNvSpPr>
      </xdr:nvSpPr>
      <xdr:spPr bwMode="auto">
        <a:xfrm>
          <a:off x="6829425" y="1676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2860" name="Text Box 572"/>
        <xdr:cNvSpPr txBox="1">
          <a:spLocks noChangeArrowheads="1"/>
        </xdr:cNvSpPr>
      </xdr:nvSpPr>
      <xdr:spPr bwMode="auto">
        <a:xfrm>
          <a:off x="6829425" y="1676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2861" name="Text Box 573"/>
        <xdr:cNvSpPr txBox="1">
          <a:spLocks noChangeArrowheads="1"/>
        </xdr:cNvSpPr>
      </xdr:nvSpPr>
      <xdr:spPr bwMode="auto">
        <a:xfrm>
          <a:off x="6829425" y="1676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2862" name="Text Box 574"/>
        <xdr:cNvSpPr txBox="1">
          <a:spLocks noChangeArrowheads="1"/>
        </xdr:cNvSpPr>
      </xdr:nvSpPr>
      <xdr:spPr bwMode="auto">
        <a:xfrm>
          <a:off x="6829425" y="1676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2863" name="Text Box 575"/>
        <xdr:cNvSpPr txBox="1">
          <a:spLocks noChangeArrowheads="1"/>
        </xdr:cNvSpPr>
      </xdr:nvSpPr>
      <xdr:spPr bwMode="auto">
        <a:xfrm>
          <a:off x="6829425" y="1676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12864" name="Text Box 576"/>
        <xdr:cNvSpPr txBox="1">
          <a:spLocks noChangeArrowheads="1"/>
        </xdr:cNvSpPr>
      </xdr:nvSpPr>
      <xdr:spPr bwMode="auto">
        <a:xfrm>
          <a:off x="6829425" y="1676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2865" name="Text Box 577"/>
        <xdr:cNvSpPr txBox="1">
          <a:spLocks noChangeArrowheads="1"/>
        </xdr:cNvSpPr>
      </xdr:nvSpPr>
      <xdr:spPr bwMode="auto">
        <a:xfrm>
          <a:off x="6829425" y="1838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2866" name="Text Box 578"/>
        <xdr:cNvSpPr txBox="1">
          <a:spLocks noChangeArrowheads="1"/>
        </xdr:cNvSpPr>
      </xdr:nvSpPr>
      <xdr:spPr bwMode="auto">
        <a:xfrm>
          <a:off x="6829425" y="1838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2867" name="Text Box 579"/>
        <xdr:cNvSpPr txBox="1">
          <a:spLocks noChangeArrowheads="1"/>
        </xdr:cNvSpPr>
      </xdr:nvSpPr>
      <xdr:spPr bwMode="auto">
        <a:xfrm>
          <a:off x="6829425" y="1838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2868" name="Text Box 580"/>
        <xdr:cNvSpPr txBox="1">
          <a:spLocks noChangeArrowheads="1"/>
        </xdr:cNvSpPr>
      </xdr:nvSpPr>
      <xdr:spPr bwMode="auto">
        <a:xfrm>
          <a:off x="6829425" y="1838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2869" name="Text Box 581"/>
        <xdr:cNvSpPr txBox="1">
          <a:spLocks noChangeArrowheads="1"/>
        </xdr:cNvSpPr>
      </xdr:nvSpPr>
      <xdr:spPr bwMode="auto">
        <a:xfrm>
          <a:off x="6829425" y="1838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2870" name="Text Box 582"/>
        <xdr:cNvSpPr txBox="1">
          <a:spLocks noChangeArrowheads="1"/>
        </xdr:cNvSpPr>
      </xdr:nvSpPr>
      <xdr:spPr bwMode="auto">
        <a:xfrm>
          <a:off x="6829425" y="1838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2871" name="Text Box 583"/>
        <xdr:cNvSpPr txBox="1">
          <a:spLocks noChangeArrowheads="1"/>
        </xdr:cNvSpPr>
      </xdr:nvSpPr>
      <xdr:spPr bwMode="auto">
        <a:xfrm>
          <a:off x="6829425" y="1838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2872" name="Text Box 584"/>
        <xdr:cNvSpPr txBox="1">
          <a:spLocks noChangeArrowheads="1"/>
        </xdr:cNvSpPr>
      </xdr:nvSpPr>
      <xdr:spPr bwMode="auto">
        <a:xfrm>
          <a:off x="6829425" y="1838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2873" name="Text Box 585"/>
        <xdr:cNvSpPr txBox="1">
          <a:spLocks noChangeArrowheads="1"/>
        </xdr:cNvSpPr>
      </xdr:nvSpPr>
      <xdr:spPr bwMode="auto">
        <a:xfrm>
          <a:off x="6829425" y="1838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2874" name="Text Box 586"/>
        <xdr:cNvSpPr txBox="1">
          <a:spLocks noChangeArrowheads="1"/>
        </xdr:cNvSpPr>
      </xdr:nvSpPr>
      <xdr:spPr bwMode="auto">
        <a:xfrm>
          <a:off x="6829425" y="1838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2875" name="Text Box 587"/>
        <xdr:cNvSpPr txBox="1">
          <a:spLocks noChangeArrowheads="1"/>
        </xdr:cNvSpPr>
      </xdr:nvSpPr>
      <xdr:spPr bwMode="auto">
        <a:xfrm>
          <a:off x="6829425" y="1838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2876" name="Text Box 588"/>
        <xdr:cNvSpPr txBox="1">
          <a:spLocks noChangeArrowheads="1"/>
        </xdr:cNvSpPr>
      </xdr:nvSpPr>
      <xdr:spPr bwMode="auto">
        <a:xfrm>
          <a:off x="6829425" y="1838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2877" name="Text Box 589"/>
        <xdr:cNvSpPr txBox="1">
          <a:spLocks noChangeArrowheads="1"/>
        </xdr:cNvSpPr>
      </xdr:nvSpPr>
      <xdr:spPr bwMode="auto">
        <a:xfrm>
          <a:off x="6829425" y="1838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2878" name="Text Box 590"/>
        <xdr:cNvSpPr txBox="1">
          <a:spLocks noChangeArrowheads="1"/>
        </xdr:cNvSpPr>
      </xdr:nvSpPr>
      <xdr:spPr bwMode="auto">
        <a:xfrm>
          <a:off x="6829425" y="1838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2879" name="Text Box 591"/>
        <xdr:cNvSpPr txBox="1">
          <a:spLocks noChangeArrowheads="1"/>
        </xdr:cNvSpPr>
      </xdr:nvSpPr>
      <xdr:spPr bwMode="auto">
        <a:xfrm>
          <a:off x="6829425" y="1838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12880" name="Text Box 592"/>
        <xdr:cNvSpPr txBox="1">
          <a:spLocks noChangeArrowheads="1"/>
        </xdr:cNvSpPr>
      </xdr:nvSpPr>
      <xdr:spPr bwMode="auto">
        <a:xfrm>
          <a:off x="6829425" y="1838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2881" name="Text Box 593"/>
        <xdr:cNvSpPr txBox="1">
          <a:spLocks noChangeArrowheads="1"/>
        </xdr:cNvSpPr>
      </xdr:nvSpPr>
      <xdr:spPr bwMode="auto">
        <a:xfrm>
          <a:off x="6829425" y="2000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2882" name="Text Box 594"/>
        <xdr:cNvSpPr txBox="1">
          <a:spLocks noChangeArrowheads="1"/>
        </xdr:cNvSpPr>
      </xdr:nvSpPr>
      <xdr:spPr bwMode="auto">
        <a:xfrm>
          <a:off x="6829425" y="2000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2883" name="Text Box 595"/>
        <xdr:cNvSpPr txBox="1">
          <a:spLocks noChangeArrowheads="1"/>
        </xdr:cNvSpPr>
      </xdr:nvSpPr>
      <xdr:spPr bwMode="auto">
        <a:xfrm>
          <a:off x="6829425" y="2000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2884" name="Text Box 596"/>
        <xdr:cNvSpPr txBox="1">
          <a:spLocks noChangeArrowheads="1"/>
        </xdr:cNvSpPr>
      </xdr:nvSpPr>
      <xdr:spPr bwMode="auto">
        <a:xfrm>
          <a:off x="6829425" y="2000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2885" name="Text Box 597"/>
        <xdr:cNvSpPr txBox="1">
          <a:spLocks noChangeArrowheads="1"/>
        </xdr:cNvSpPr>
      </xdr:nvSpPr>
      <xdr:spPr bwMode="auto">
        <a:xfrm>
          <a:off x="6829425" y="2000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2886" name="Text Box 598"/>
        <xdr:cNvSpPr txBox="1">
          <a:spLocks noChangeArrowheads="1"/>
        </xdr:cNvSpPr>
      </xdr:nvSpPr>
      <xdr:spPr bwMode="auto">
        <a:xfrm>
          <a:off x="6829425" y="2000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2887" name="Text Box 599"/>
        <xdr:cNvSpPr txBox="1">
          <a:spLocks noChangeArrowheads="1"/>
        </xdr:cNvSpPr>
      </xdr:nvSpPr>
      <xdr:spPr bwMode="auto">
        <a:xfrm>
          <a:off x="6829425" y="2000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2888" name="Text Box 600"/>
        <xdr:cNvSpPr txBox="1">
          <a:spLocks noChangeArrowheads="1"/>
        </xdr:cNvSpPr>
      </xdr:nvSpPr>
      <xdr:spPr bwMode="auto">
        <a:xfrm>
          <a:off x="6829425" y="2000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2889" name="Text Box 601"/>
        <xdr:cNvSpPr txBox="1">
          <a:spLocks noChangeArrowheads="1"/>
        </xdr:cNvSpPr>
      </xdr:nvSpPr>
      <xdr:spPr bwMode="auto">
        <a:xfrm>
          <a:off x="6829425" y="2000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2890" name="Text Box 602"/>
        <xdr:cNvSpPr txBox="1">
          <a:spLocks noChangeArrowheads="1"/>
        </xdr:cNvSpPr>
      </xdr:nvSpPr>
      <xdr:spPr bwMode="auto">
        <a:xfrm>
          <a:off x="6829425" y="2000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2891" name="Text Box 603"/>
        <xdr:cNvSpPr txBox="1">
          <a:spLocks noChangeArrowheads="1"/>
        </xdr:cNvSpPr>
      </xdr:nvSpPr>
      <xdr:spPr bwMode="auto">
        <a:xfrm>
          <a:off x="6829425" y="2000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2892" name="Text Box 604"/>
        <xdr:cNvSpPr txBox="1">
          <a:spLocks noChangeArrowheads="1"/>
        </xdr:cNvSpPr>
      </xdr:nvSpPr>
      <xdr:spPr bwMode="auto">
        <a:xfrm>
          <a:off x="6829425" y="2000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2893" name="Text Box 605"/>
        <xdr:cNvSpPr txBox="1">
          <a:spLocks noChangeArrowheads="1"/>
        </xdr:cNvSpPr>
      </xdr:nvSpPr>
      <xdr:spPr bwMode="auto">
        <a:xfrm>
          <a:off x="6829425" y="2000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2894" name="Text Box 606"/>
        <xdr:cNvSpPr txBox="1">
          <a:spLocks noChangeArrowheads="1"/>
        </xdr:cNvSpPr>
      </xdr:nvSpPr>
      <xdr:spPr bwMode="auto">
        <a:xfrm>
          <a:off x="6829425" y="2000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2895" name="Text Box 607"/>
        <xdr:cNvSpPr txBox="1">
          <a:spLocks noChangeArrowheads="1"/>
        </xdr:cNvSpPr>
      </xdr:nvSpPr>
      <xdr:spPr bwMode="auto">
        <a:xfrm>
          <a:off x="6829425" y="2000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12896" name="Text Box 608"/>
        <xdr:cNvSpPr txBox="1">
          <a:spLocks noChangeArrowheads="1"/>
        </xdr:cNvSpPr>
      </xdr:nvSpPr>
      <xdr:spPr bwMode="auto">
        <a:xfrm>
          <a:off x="6829425" y="2000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2897" name="Text Box 609"/>
        <xdr:cNvSpPr txBox="1">
          <a:spLocks noChangeArrowheads="1"/>
        </xdr:cNvSpPr>
      </xdr:nvSpPr>
      <xdr:spPr bwMode="auto">
        <a:xfrm>
          <a:off x="6829425" y="2162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2898" name="Text Box 610"/>
        <xdr:cNvSpPr txBox="1">
          <a:spLocks noChangeArrowheads="1"/>
        </xdr:cNvSpPr>
      </xdr:nvSpPr>
      <xdr:spPr bwMode="auto">
        <a:xfrm>
          <a:off x="6829425" y="2162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2899" name="Text Box 611"/>
        <xdr:cNvSpPr txBox="1">
          <a:spLocks noChangeArrowheads="1"/>
        </xdr:cNvSpPr>
      </xdr:nvSpPr>
      <xdr:spPr bwMode="auto">
        <a:xfrm>
          <a:off x="6829425" y="2162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2900" name="Text Box 612"/>
        <xdr:cNvSpPr txBox="1">
          <a:spLocks noChangeArrowheads="1"/>
        </xdr:cNvSpPr>
      </xdr:nvSpPr>
      <xdr:spPr bwMode="auto">
        <a:xfrm>
          <a:off x="6829425" y="2162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2901" name="Text Box 613"/>
        <xdr:cNvSpPr txBox="1">
          <a:spLocks noChangeArrowheads="1"/>
        </xdr:cNvSpPr>
      </xdr:nvSpPr>
      <xdr:spPr bwMode="auto">
        <a:xfrm>
          <a:off x="6829425" y="2162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2902" name="Text Box 614"/>
        <xdr:cNvSpPr txBox="1">
          <a:spLocks noChangeArrowheads="1"/>
        </xdr:cNvSpPr>
      </xdr:nvSpPr>
      <xdr:spPr bwMode="auto">
        <a:xfrm>
          <a:off x="6829425" y="2162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2903" name="Text Box 615"/>
        <xdr:cNvSpPr txBox="1">
          <a:spLocks noChangeArrowheads="1"/>
        </xdr:cNvSpPr>
      </xdr:nvSpPr>
      <xdr:spPr bwMode="auto">
        <a:xfrm>
          <a:off x="6829425" y="2162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2904" name="Text Box 616"/>
        <xdr:cNvSpPr txBox="1">
          <a:spLocks noChangeArrowheads="1"/>
        </xdr:cNvSpPr>
      </xdr:nvSpPr>
      <xdr:spPr bwMode="auto">
        <a:xfrm>
          <a:off x="6829425" y="2162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2905" name="Text Box 617"/>
        <xdr:cNvSpPr txBox="1">
          <a:spLocks noChangeArrowheads="1"/>
        </xdr:cNvSpPr>
      </xdr:nvSpPr>
      <xdr:spPr bwMode="auto">
        <a:xfrm>
          <a:off x="6829425" y="2162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2906" name="Text Box 618"/>
        <xdr:cNvSpPr txBox="1">
          <a:spLocks noChangeArrowheads="1"/>
        </xdr:cNvSpPr>
      </xdr:nvSpPr>
      <xdr:spPr bwMode="auto">
        <a:xfrm>
          <a:off x="6829425" y="2162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2907" name="Text Box 619"/>
        <xdr:cNvSpPr txBox="1">
          <a:spLocks noChangeArrowheads="1"/>
        </xdr:cNvSpPr>
      </xdr:nvSpPr>
      <xdr:spPr bwMode="auto">
        <a:xfrm>
          <a:off x="6829425" y="2162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2908" name="Text Box 620"/>
        <xdr:cNvSpPr txBox="1">
          <a:spLocks noChangeArrowheads="1"/>
        </xdr:cNvSpPr>
      </xdr:nvSpPr>
      <xdr:spPr bwMode="auto">
        <a:xfrm>
          <a:off x="6829425" y="2162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2909" name="Text Box 621"/>
        <xdr:cNvSpPr txBox="1">
          <a:spLocks noChangeArrowheads="1"/>
        </xdr:cNvSpPr>
      </xdr:nvSpPr>
      <xdr:spPr bwMode="auto">
        <a:xfrm>
          <a:off x="6829425" y="2162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2910" name="Text Box 622"/>
        <xdr:cNvSpPr txBox="1">
          <a:spLocks noChangeArrowheads="1"/>
        </xdr:cNvSpPr>
      </xdr:nvSpPr>
      <xdr:spPr bwMode="auto">
        <a:xfrm>
          <a:off x="6829425" y="2162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2911" name="Text Box 623"/>
        <xdr:cNvSpPr txBox="1">
          <a:spLocks noChangeArrowheads="1"/>
        </xdr:cNvSpPr>
      </xdr:nvSpPr>
      <xdr:spPr bwMode="auto">
        <a:xfrm>
          <a:off x="6829425" y="2162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12912" name="Text Box 624"/>
        <xdr:cNvSpPr txBox="1">
          <a:spLocks noChangeArrowheads="1"/>
        </xdr:cNvSpPr>
      </xdr:nvSpPr>
      <xdr:spPr bwMode="auto">
        <a:xfrm>
          <a:off x="6829425" y="2162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2913" name="Text Box 625"/>
        <xdr:cNvSpPr txBox="1">
          <a:spLocks noChangeArrowheads="1"/>
        </xdr:cNvSpPr>
      </xdr:nvSpPr>
      <xdr:spPr bwMode="auto">
        <a:xfrm>
          <a:off x="6829425" y="2324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2914" name="Text Box 626"/>
        <xdr:cNvSpPr txBox="1">
          <a:spLocks noChangeArrowheads="1"/>
        </xdr:cNvSpPr>
      </xdr:nvSpPr>
      <xdr:spPr bwMode="auto">
        <a:xfrm>
          <a:off x="6829425" y="2324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2915" name="Text Box 627"/>
        <xdr:cNvSpPr txBox="1">
          <a:spLocks noChangeArrowheads="1"/>
        </xdr:cNvSpPr>
      </xdr:nvSpPr>
      <xdr:spPr bwMode="auto">
        <a:xfrm>
          <a:off x="6829425" y="2324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2916" name="Text Box 628"/>
        <xdr:cNvSpPr txBox="1">
          <a:spLocks noChangeArrowheads="1"/>
        </xdr:cNvSpPr>
      </xdr:nvSpPr>
      <xdr:spPr bwMode="auto">
        <a:xfrm>
          <a:off x="6829425" y="2324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2917" name="Text Box 629"/>
        <xdr:cNvSpPr txBox="1">
          <a:spLocks noChangeArrowheads="1"/>
        </xdr:cNvSpPr>
      </xdr:nvSpPr>
      <xdr:spPr bwMode="auto">
        <a:xfrm>
          <a:off x="6829425" y="2324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2918" name="Text Box 630"/>
        <xdr:cNvSpPr txBox="1">
          <a:spLocks noChangeArrowheads="1"/>
        </xdr:cNvSpPr>
      </xdr:nvSpPr>
      <xdr:spPr bwMode="auto">
        <a:xfrm>
          <a:off x="6829425" y="2324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2919" name="Text Box 631"/>
        <xdr:cNvSpPr txBox="1">
          <a:spLocks noChangeArrowheads="1"/>
        </xdr:cNvSpPr>
      </xdr:nvSpPr>
      <xdr:spPr bwMode="auto">
        <a:xfrm>
          <a:off x="6829425" y="2324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2920" name="Text Box 632"/>
        <xdr:cNvSpPr txBox="1">
          <a:spLocks noChangeArrowheads="1"/>
        </xdr:cNvSpPr>
      </xdr:nvSpPr>
      <xdr:spPr bwMode="auto">
        <a:xfrm>
          <a:off x="6829425" y="2324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2921" name="Text Box 633"/>
        <xdr:cNvSpPr txBox="1">
          <a:spLocks noChangeArrowheads="1"/>
        </xdr:cNvSpPr>
      </xdr:nvSpPr>
      <xdr:spPr bwMode="auto">
        <a:xfrm>
          <a:off x="6829425" y="2324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2922" name="Text Box 634"/>
        <xdr:cNvSpPr txBox="1">
          <a:spLocks noChangeArrowheads="1"/>
        </xdr:cNvSpPr>
      </xdr:nvSpPr>
      <xdr:spPr bwMode="auto">
        <a:xfrm>
          <a:off x="6829425" y="2324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2923" name="Text Box 635"/>
        <xdr:cNvSpPr txBox="1">
          <a:spLocks noChangeArrowheads="1"/>
        </xdr:cNvSpPr>
      </xdr:nvSpPr>
      <xdr:spPr bwMode="auto">
        <a:xfrm>
          <a:off x="6829425" y="2324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2924" name="Text Box 636"/>
        <xdr:cNvSpPr txBox="1">
          <a:spLocks noChangeArrowheads="1"/>
        </xdr:cNvSpPr>
      </xdr:nvSpPr>
      <xdr:spPr bwMode="auto">
        <a:xfrm>
          <a:off x="6829425" y="2324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2925" name="Text Box 637"/>
        <xdr:cNvSpPr txBox="1">
          <a:spLocks noChangeArrowheads="1"/>
        </xdr:cNvSpPr>
      </xdr:nvSpPr>
      <xdr:spPr bwMode="auto">
        <a:xfrm>
          <a:off x="6829425" y="2324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2926" name="Text Box 638"/>
        <xdr:cNvSpPr txBox="1">
          <a:spLocks noChangeArrowheads="1"/>
        </xdr:cNvSpPr>
      </xdr:nvSpPr>
      <xdr:spPr bwMode="auto">
        <a:xfrm>
          <a:off x="6829425" y="2324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2927" name="Text Box 639"/>
        <xdr:cNvSpPr txBox="1">
          <a:spLocks noChangeArrowheads="1"/>
        </xdr:cNvSpPr>
      </xdr:nvSpPr>
      <xdr:spPr bwMode="auto">
        <a:xfrm>
          <a:off x="6829425" y="2324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2928" name="Text Box 640"/>
        <xdr:cNvSpPr txBox="1">
          <a:spLocks noChangeArrowheads="1"/>
        </xdr:cNvSpPr>
      </xdr:nvSpPr>
      <xdr:spPr bwMode="auto">
        <a:xfrm>
          <a:off x="6829425" y="2324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276225</xdr:colOff>
          <xdr:row>0</xdr:row>
          <xdr:rowOff>276225</xdr:rowOff>
        </xdr:from>
        <xdr:to>
          <xdr:col>17</xdr:col>
          <xdr:colOff>219075</xdr:colOff>
          <xdr:row>1</xdr:row>
          <xdr:rowOff>266700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Click Here to Sort Hourly Scalars If You Pasted the Regional Power Curve Manually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WR_curv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Pricing\Pwr_strc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146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nada%20Power%20Positions_Sept2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nada%20Power%20Positions_May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anada%20Power%20Positions_Apr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_positions"/>
      <sheetName val="external_curves"/>
      <sheetName val="ROM"/>
      <sheetName val="Fwd_curves"/>
      <sheetName val="swap_model"/>
      <sheetName val="H-rate_model"/>
      <sheetName val="PJM_deal"/>
      <sheetName val="graph_data"/>
      <sheetName val="monthly_mids"/>
      <sheetName val="price_curves"/>
      <sheetName val="c$_midc_swaps"/>
    </sheetNames>
    <sheetDataSet>
      <sheetData sheetId="0" refreshError="1"/>
      <sheetData sheetId="1">
        <row r="15">
          <cell r="J15">
            <v>2.9</v>
          </cell>
        </row>
      </sheetData>
      <sheetData sheetId="2">
        <row r="4">
          <cell r="K4">
            <v>0</v>
          </cell>
          <cell r="L4">
            <v>0</v>
          </cell>
          <cell r="N4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"/>
      <sheetName val="MAIN"/>
      <sheetName val="TAKE"/>
      <sheetName val="CALC"/>
      <sheetName val="Take Function"/>
      <sheetName val="Fetching Macros"/>
      <sheetName val="Pricing Macros"/>
      <sheetName val="Date Functions"/>
    </sheetNames>
    <sheetDataSet>
      <sheetData sheetId="0"/>
      <sheetData sheetId="1">
        <row r="2">
          <cell r="C2">
            <v>36650</v>
          </cell>
        </row>
        <row r="15">
          <cell r="AZ15">
            <v>0</v>
          </cell>
        </row>
        <row r="16">
          <cell r="AZ16">
            <v>1</v>
          </cell>
        </row>
        <row r="19">
          <cell r="AZ19">
            <v>2</v>
          </cell>
        </row>
        <row r="28">
          <cell r="I28">
            <v>8000</v>
          </cell>
        </row>
        <row r="29">
          <cell r="I29">
            <v>1</v>
          </cell>
          <cell r="AZ29">
            <v>1</v>
          </cell>
        </row>
        <row r="30">
          <cell r="I30">
            <v>0</v>
          </cell>
          <cell r="AZ30">
            <v>1</v>
          </cell>
        </row>
        <row r="31">
          <cell r="C31">
            <v>0</v>
          </cell>
          <cell r="I31">
            <v>0</v>
          </cell>
        </row>
        <row r="32">
          <cell r="C32">
            <v>0</v>
          </cell>
          <cell r="F32">
            <v>1</v>
          </cell>
        </row>
        <row r="33">
          <cell r="C33">
            <v>0</v>
          </cell>
          <cell r="F33">
            <v>0</v>
          </cell>
        </row>
        <row r="34">
          <cell r="C34">
            <v>0</v>
          </cell>
          <cell r="F34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erta Curve"/>
    </sheetNames>
    <definedNames>
      <definedName name="SortHourlyScalars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"/>
      <sheetName val="P&amp;L"/>
      <sheetName val="purchases"/>
      <sheetName val="positions"/>
      <sheetName val="price_curves"/>
      <sheetName val="Peak"/>
      <sheetName val="Off-Peak"/>
      <sheetName val="Gas Template"/>
      <sheetName val="All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ref_dt</v>
          </cell>
          <cell r="B1" t="str">
            <v>Book_ID</v>
          </cell>
          <cell r="C1" t="str">
            <v>book_type_cd</v>
          </cell>
          <cell r="D1" t="str">
            <v>reg_cd</v>
          </cell>
          <cell r="E1" t="str">
            <v>instr</v>
          </cell>
          <cell r="F1" t="str">
            <v>commodity</v>
          </cell>
          <cell r="G1" t="str">
            <v>F/P</v>
          </cell>
          <cell r="H1" t="str">
            <v>Location</v>
          </cell>
          <cell r="I1" t="str">
            <v>E/O</v>
          </cell>
          <cell r="J1" t="str">
            <v>ctrparty_cd</v>
          </cell>
          <cell r="K1" t="str">
            <v>Delta</v>
          </cell>
          <cell r="L1" t="str">
            <v>Gamma</v>
          </cell>
          <cell r="M1" t="str">
            <v>Gross_pos</v>
          </cell>
          <cell r="N1" t="str">
            <v>Crv_shift</v>
          </cell>
          <cell r="O1" t="str">
            <v>Baseline P/L</v>
          </cell>
          <cell r="P1" t="str">
            <v>Peakness</v>
          </cell>
        </row>
      </sheetData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Non-Peak"/>
      <sheetName val="Peak"/>
      <sheetName val="summary_P&amp;L"/>
      <sheetName val="Sheet2"/>
      <sheetName val="Trades"/>
      <sheetName val="external_curves"/>
      <sheetName val="ROM_hrs"/>
      <sheetName val="Fwd_curves"/>
      <sheetName val="swap_model"/>
      <sheetName val="H-rate_model"/>
      <sheetName val="ab_gas_deal"/>
      <sheetName val="PJM_deal"/>
    </sheetNames>
    <sheetDataSet>
      <sheetData sheetId="0"/>
      <sheetData sheetId="1">
        <row r="2">
          <cell r="A2">
            <v>36647</v>
          </cell>
          <cell r="B2" t="str">
            <v>FT-CAN-PWRF-HDGI-PRC</v>
          </cell>
          <cell r="C2" t="str">
            <v>P</v>
          </cell>
          <cell r="D2" t="str">
            <v>DESK</v>
          </cell>
          <cell r="E2" t="str">
            <v>S</v>
          </cell>
          <cell r="F2" t="str">
            <v>PWR</v>
          </cell>
          <cell r="G2" t="str">
            <v>P</v>
          </cell>
          <cell r="H2" t="str">
            <v>R9</v>
          </cell>
          <cell r="I2" t="str">
            <v>E</v>
          </cell>
          <cell r="J2" t="str">
            <v>PWRCAN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 t="str">
            <v>O</v>
          </cell>
        </row>
        <row r="3">
          <cell r="A3">
            <v>36678</v>
          </cell>
          <cell r="B3" t="str">
            <v>FT-CAN-PWRF-HDGI-PRC</v>
          </cell>
          <cell r="C3" t="str">
            <v>P</v>
          </cell>
          <cell r="D3" t="str">
            <v>DESK</v>
          </cell>
          <cell r="E3" t="str">
            <v>S</v>
          </cell>
          <cell r="F3" t="str">
            <v>PWR</v>
          </cell>
          <cell r="G3" t="str">
            <v>P</v>
          </cell>
          <cell r="H3" t="str">
            <v>R9</v>
          </cell>
          <cell r="I3" t="str">
            <v>E</v>
          </cell>
          <cell r="J3" t="str">
            <v>PWRCAN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 t="str">
            <v>O</v>
          </cell>
        </row>
        <row r="4">
          <cell r="A4">
            <v>36708</v>
          </cell>
          <cell r="B4" t="str">
            <v>FT-CAN-PWRF-HDGI-PRC</v>
          </cell>
          <cell r="C4" t="str">
            <v>P</v>
          </cell>
          <cell r="D4" t="str">
            <v>DESK</v>
          </cell>
          <cell r="E4" t="str">
            <v>S</v>
          </cell>
          <cell r="F4" t="str">
            <v>PWR</v>
          </cell>
          <cell r="G4" t="str">
            <v>P</v>
          </cell>
          <cell r="H4" t="str">
            <v>R9</v>
          </cell>
          <cell r="I4" t="str">
            <v>E</v>
          </cell>
          <cell r="J4" t="str">
            <v>PWRCAN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 t="str">
            <v>O</v>
          </cell>
        </row>
        <row r="5">
          <cell r="A5">
            <v>36739</v>
          </cell>
          <cell r="B5" t="str">
            <v>FT-CAN-PWRF-HDGI-PRC</v>
          </cell>
          <cell r="C5" t="str">
            <v>P</v>
          </cell>
          <cell r="D5" t="str">
            <v>DESK</v>
          </cell>
          <cell r="E5" t="str">
            <v>S</v>
          </cell>
          <cell r="F5" t="str">
            <v>PWR</v>
          </cell>
          <cell r="G5" t="str">
            <v>P</v>
          </cell>
          <cell r="H5" t="str">
            <v>R9</v>
          </cell>
          <cell r="I5" t="str">
            <v>E</v>
          </cell>
          <cell r="J5" t="str">
            <v>PWRCAN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 t="str">
            <v>O</v>
          </cell>
        </row>
        <row r="6">
          <cell r="A6">
            <v>36770</v>
          </cell>
          <cell r="B6" t="str">
            <v>FT-CAN-PWRF-HDGI-PRC</v>
          </cell>
          <cell r="C6" t="str">
            <v>P</v>
          </cell>
          <cell r="D6" t="str">
            <v>DESK</v>
          </cell>
          <cell r="E6" t="str">
            <v>S</v>
          </cell>
          <cell r="F6" t="str">
            <v>PWR</v>
          </cell>
          <cell r="G6" t="str">
            <v>P</v>
          </cell>
          <cell r="H6" t="str">
            <v>R9</v>
          </cell>
          <cell r="I6" t="str">
            <v>E</v>
          </cell>
          <cell r="J6" t="str">
            <v>PWRCAN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 t="str">
            <v>O</v>
          </cell>
        </row>
        <row r="7">
          <cell r="A7">
            <v>36800</v>
          </cell>
          <cell r="B7" t="str">
            <v>FT-CAN-PWRF-HDGI-PRC</v>
          </cell>
          <cell r="C7" t="str">
            <v>P</v>
          </cell>
          <cell r="D7" t="str">
            <v>DESK</v>
          </cell>
          <cell r="E7" t="str">
            <v>S</v>
          </cell>
          <cell r="F7" t="str">
            <v>PWR</v>
          </cell>
          <cell r="G7" t="str">
            <v>P</v>
          </cell>
          <cell r="H7" t="str">
            <v>R9</v>
          </cell>
          <cell r="I7" t="str">
            <v>E</v>
          </cell>
          <cell r="J7" t="str">
            <v>PWRCAN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 t="str">
            <v>O</v>
          </cell>
        </row>
        <row r="8">
          <cell r="A8">
            <v>36831</v>
          </cell>
          <cell r="B8" t="str">
            <v>FT-CAN-PWRF-HDGI-PRC</v>
          </cell>
          <cell r="C8" t="str">
            <v>P</v>
          </cell>
          <cell r="D8" t="str">
            <v>DESK</v>
          </cell>
          <cell r="E8" t="str">
            <v>S</v>
          </cell>
          <cell r="F8" t="str">
            <v>PWR</v>
          </cell>
          <cell r="G8" t="str">
            <v>P</v>
          </cell>
          <cell r="H8" t="str">
            <v>R9</v>
          </cell>
          <cell r="I8" t="str">
            <v>E</v>
          </cell>
          <cell r="J8" t="str">
            <v>PWRCAN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O</v>
          </cell>
        </row>
        <row r="9">
          <cell r="A9">
            <v>36861</v>
          </cell>
          <cell r="B9" t="str">
            <v>FT-CAN-PWRF-HDGI-PRC</v>
          </cell>
          <cell r="C9" t="str">
            <v>P</v>
          </cell>
          <cell r="D9" t="str">
            <v>DESK</v>
          </cell>
          <cell r="E9" t="str">
            <v>S</v>
          </cell>
          <cell r="F9" t="str">
            <v>PWR</v>
          </cell>
          <cell r="G9" t="str">
            <v>P</v>
          </cell>
          <cell r="H9" t="str">
            <v>R9</v>
          </cell>
          <cell r="I9" t="str">
            <v>E</v>
          </cell>
          <cell r="J9" t="str">
            <v>PWRCAN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O</v>
          </cell>
        </row>
      </sheetData>
      <sheetData sheetId="2">
        <row r="3">
          <cell r="A3">
            <v>36678</v>
          </cell>
          <cell r="C3" t="str">
            <v>P</v>
          </cell>
          <cell r="D3" t="str">
            <v>DESK</v>
          </cell>
          <cell r="E3" t="str">
            <v>S</v>
          </cell>
          <cell r="F3" t="str">
            <v>PWR</v>
          </cell>
          <cell r="G3" t="str">
            <v>P</v>
          </cell>
          <cell r="H3" t="str">
            <v>R9</v>
          </cell>
          <cell r="I3" t="str">
            <v>O</v>
          </cell>
          <cell r="J3" t="str">
            <v>PWRCAN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 t="str">
            <v>P</v>
          </cell>
        </row>
        <row r="4">
          <cell r="A4">
            <v>36708</v>
          </cell>
          <cell r="C4" t="str">
            <v>P</v>
          </cell>
          <cell r="D4" t="str">
            <v>DESK</v>
          </cell>
          <cell r="E4" t="str">
            <v>S</v>
          </cell>
          <cell r="F4" t="str">
            <v>PWR</v>
          </cell>
          <cell r="G4" t="str">
            <v>P</v>
          </cell>
          <cell r="H4" t="str">
            <v>R9</v>
          </cell>
          <cell r="I4" t="str">
            <v>O</v>
          </cell>
          <cell r="J4" t="str">
            <v>PWRCAN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 t="str">
            <v>P</v>
          </cell>
        </row>
        <row r="5">
          <cell r="A5">
            <v>36739</v>
          </cell>
          <cell r="C5" t="str">
            <v>P</v>
          </cell>
          <cell r="D5" t="str">
            <v>DESK</v>
          </cell>
          <cell r="E5" t="str">
            <v>S</v>
          </cell>
          <cell r="F5" t="str">
            <v>PWR</v>
          </cell>
          <cell r="G5" t="str">
            <v>P</v>
          </cell>
          <cell r="H5" t="str">
            <v>R9</v>
          </cell>
          <cell r="I5" t="str">
            <v>O</v>
          </cell>
          <cell r="J5" t="str">
            <v>PWRCAN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 t="str">
            <v>P</v>
          </cell>
        </row>
        <row r="6">
          <cell r="A6">
            <v>36770</v>
          </cell>
          <cell r="C6" t="str">
            <v>P</v>
          </cell>
          <cell r="D6" t="str">
            <v>DESK</v>
          </cell>
          <cell r="E6" t="str">
            <v>S</v>
          </cell>
          <cell r="F6" t="str">
            <v>PWR</v>
          </cell>
          <cell r="G6" t="str">
            <v>P</v>
          </cell>
          <cell r="H6" t="str">
            <v>R9</v>
          </cell>
          <cell r="I6" t="str">
            <v>O</v>
          </cell>
          <cell r="J6" t="str">
            <v>PWRCAN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 t="str">
            <v>P</v>
          </cell>
        </row>
        <row r="7">
          <cell r="A7">
            <v>36800</v>
          </cell>
          <cell r="C7" t="str">
            <v>P</v>
          </cell>
          <cell r="D7" t="str">
            <v>DESK</v>
          </cell>
          <cell r="E7" t="str">
            <v>S</v>
          </cell>
          <cell r="F7" t="str">
            <v>PWR</v>
          </cell>
          <cell r="G7" t="str">
            <v>P</v>
          </cell>
          <cell r="H7" t="str">
            <v>R9</v>
          </cell>
          <cell r="I7" t="str">
            <v>O</v>
          </cell>
          <cell r="J7" t="str">
            <v>PWRCAN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 t="str">
            <v>P</v>
          </cell>
        </row>
        <row r="8">
          <cell r="A8">
            <v>36831</v>
          </cell>
          <cell r="C8" t="str">
            <v>P</v>
          </cell>
          <cell r="D8" t="str">
            <v>DESK</v>
          </cell>
          <cell r="E8" t="str">
            <v>S</v>
          </cell>
          <cell r="F8" t="str">
            <v>PWR</v>
          </cell>
          <cell r="G8" t="str">
            <v>P</v>
          </cell>
          <cell r="H8" t="str">
            <v>R9</v>
          </cell>
          <cell r="I8" t="str">
            <v>O</v>
          </cell>
          <cell r="J8" t="str">
            <v>PWRCAN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P</v>
          </cell>
        </row>
        <row r="9">
          <cell r="A9">
            <v>36861</v>
          </cell>
          <cell r="C9" t="str">
            <v>P</v>
          </cell>
          <cell r="D9" t="str">
            <v>DESK</v>
          </cell>
          <cell r="E9" t="str">
            <v>S</v>
          </cell>
          <cell r="F9" t="str">
            <v>PWR</v>
          </cell>
          <cell r="G9" t="str">
            <v>P</v>
          </cell>
          <cell r="H9" t="str">
            <v>R9</v>
          </cell>
          <cell r="I9" t="str">
            <v>O</v>
          </cell>
          <cell r="J9" t="str">
            <v>PWRCAN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P</v>
          </cell>
        </row>
        <row r="11">
          <cell r="A11">
            <v>36678</v>
          </cell>
          <cell r="C11" t="str">
            <v>P</v>
          </cell>
          <cell r="D11" t="str">
            <v>DESK</v>
          </cell>
          <cell r="E11" t="str">
            <v>S</v>
          </cell>
          <cell r="F11" t="str">
            <v>PWR</v>
          </cell>
          <cell r="G11" t="str">
            <v>P</v>
          </cell>
          <cell r="H11" t="str">
            <v>R9</v>
          </cell>
          <cell r="I11" t="str">
            <v>O</v>
          </cell>
          <cell r="J11" t="str">
            <v>PWRCAN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P</v>
          </cell>
        </row>
        <row r="12">
          <cell r="A12">
            <v>36708</v>
          </cell>
          <cell r="C12" t="str">
            <v>P</v>
          </cell>
          <cell r="D12" t="str">
            <v>DESK</v>
          </cell>
          <cell r="E12" t="str">
            <v>S</v>
          </cell>
          <cell r="F12" t="str">
            <v>PWR</v>
          </cell>
          <cell r="G12" t="str">
            <v>P</v>
          </cell>
          <cell r="H12" t="str">
            <v>R9</v>
          </cell>
          <cell r="I12" t="str">
            <v>O</v>
          </cell>
          <cell r="J12" t="str">
            <v>PWRCAN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 t="str">
            <v>P</v>
          </cell>
        </row>
        <row r="13">
          <cell r="A13">
            <v>36739</v>
          </cell>
          <cell r="C13" t="str">
            <v>P</v>
          </cell>
          <cell r="D13" t="str">
            <v>DESK</v>
          </cell>
          <cell r="E13" t="str">
            <v>S</v>
          </cell>
          <cell r="F13" t="str">
            <v>PWR</v>
          </cell>
          <cell r="G13" t="str">
            <v>P</v>
          </cell>
          <cell r="H13" t="str">
            <v>R9</v>
          </cell>
          <cell r="I13" t="str">
            <v>O</v>
          </cell>
          <cell r="J13" t="str">
            <v>PWRCAN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 t="str">
            <v>P</v>
          </cell>
        </row>
        <row r="14">
          <cell r="A14">
            <v>36770</v>
          </cell>
          <cell r="C14" t="str">
            <v>P</v>
          </cell>
          <cell r="D14" t="str">
            <v>DESK</v>
          </cell>
          <cell r="E14" t="str">
            <v>S</v>
          </cell>
          <cell r="F14" t="str">
            <v>PWR</v>
          </cell>
          <cell r="G14" t="str">
            <v>P</v>
          </cell>
          <cell r="H14" t="str">
            <v>R9</v>
          </cell>
          <cell r="I14" t="str">
            <v>O</v>
          </cell>
          <cell r="J14" t="str">
            <v>PWRCAN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P</v>
          </cell>
        </row>
        <row r="15">
          <cell r="A15">
            <v>36800</v>
          </cell>
          <cell r="C15" t="str">
            <v>P</v>
          </cell>
          <cell r="D15" t="str">
            <v>DESK</v>
          </cell>
          <cell r="E15" t="str">
            <v>S</v>
          </cell>
          <cell r="F15" t="str">
            <v>PWR</v>
          </cell>
          <cell r="G15" t="str">
            <v>P</v>
          </cell>
          <cell r="H15" t="str">
            <v>R9</v>
          </cell>
          <cell r="I15" t="str">
            <v>O</v>
          </cell>
          <cell r="J15" t="str">
            <v>PWRCAN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 t="str">
            <v>P</v>
          </cell>
        </row>
        <row r="16">
          <cell r="A16">
            <v>36831</v>
          </cell>
          <cell r="C16" t="str">
            <v>P</v>
          </cell>
          <cell r="D16" t="str">
            <v>DESK</v>
          </cell>
          <cell r="E16" t="str">
            <v>S</v>
          </cell>
          <cell r="F16" t="str">
            <v>PWR</v>
          </cell>
          <cell r="G16" t="str">
            <v>P</v>
          </cell>
          <cell r="H16" t="str">
            <v>R9</v>
          </cell>
          <cell r="I16" t="str">
            <v>O</v>
          </cell>
          <cell r="J16" t="str">
            <v>PWRCAN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 t="str">
            <v>P</v>
          </cell>
        </row>
        <row r="17">
          <cell r="A17">
            <v>36861</v>
          </cell>
          <cell r="C17" t="str">
            <v>P</v>
          </cell>
          <cell r="D17" t="str">
            <v>DESK</v>
          </cell>
          <cell r="E17" t="str">
            <v>S</v>
          </cell>
          <cell r="F17" t="str">
            <v>PWR</v>
          </cell>
          <cell r="G17" t="str">
            <v>P</v>
          </cell>
          <cell r="H17" t="str">
            <v>R9</v>
          </cell>
          <cell r="I17" t="str">
            <v>O</v>
          </cell>
          <cell r="J17" t="str">
            <v>PWRCAN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 t="str">
            <v>P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ak"/>
      <sheetName val="NonPeak"/>
      <sheetName val="All"/>
      <sheetName val="Trades"/>
      <sheetName val="AB_positions"/>
      <sheetName val="external_curves"/>
      <sheetName val="ROM"/>
      <sheetName val="Fwd_curves"/>
      <sheetName val="swap_model"/>
      <sheetName val="H-rate_model"/>
      <sheetName val="ab_gas_deal"/>
      <sheetName val="PJM_deal"/>
      <sheetName val="graph_data"/>
    </sheetNames>
    <sheetDataSet>
      <sheetData sheetId="0">
        <row r="3">
          <cell r="B3" t="str">
            <v>FT-CAN-PWRF-HDGI-PRC</v>
          </cell>
        </row>
        <row r="4">
          <cell r="B4" t="str">
            <v>FT-CAN-PWRF-HDGI-PRC</v>
          </cell>
        </row>
        <row r="5">
          <cell r="B5" t="str">
            <v>FT-CAN-PWRF-HDGI-PRC</v>
          </cell>
        </row>
        <row r="6">
          <cell r="B6" t="str">
            <v>FT-CAN-PWRF-HDGI-PRC</v>
          </cell>
        </row>
        <row r="7">
          <cell r="B7" t="str">
            <v>FT-CAN-PWRF-HDGI-PRC</v>
          </cell>
        </row>
        <row r="8">
          <cell r="B8" t="str">
            <v>FT-CAN-PWRF-HDGI-PRC</v>
          </cell>
        </row>
        <row r="9">
          <cell r="B9" t="str">
            <v>FT-CAN-PWRF-HDGI-PRC</v>
          </cell>
        </row>
        <row r="11">
          <cell r="B11" t="str">
            <v>FT-CAN-PWRF-HDGI-PRC</v>
          </cell>
        </row>
        <row r="12">
          <cell r="B12" t="str">
            <v>FT-CAN-PWRF-HDGI-PRC</v>
          </cell>
        </row>
        <row r="13">
          <cell r="B13" t="str">
            <v>FT-CAN-PWRF-HDGI-PRC</v>
          </cell>
        </row>
        <row r="14">
          <cell r="B14" t="str">
            <v>FT-CAN-PWRF-HDGI-PRC</v>
          </cell>
        </row>
        <row r="15">
          <cell r="B15" t="str">
            <v>FT-CAN-PWRF-HDGI-PRC</v>
          </cell>
        </row>
        <row r="16">
          <cell r="B16" t="str">
            <v>FT-CAN-PWRF-HDGI-PRC</v>
          </cell>
        </row>
        <row r="17">
          <cell r="B17" t="str">
            <v>FT-CAN-PWRF-HDGI-PRC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25" sqref="A25"/>
    </sheetView>
  </sheetViews>
  <sheetFormatPr defaultRowHeight="12.75" x14ac:dyDescent="0.2"/>
  <cols>
    <col min="1" max="1" width="35.140625" customWidth="1"/>
    <col min="2" max="2" width="12.140625" customWidth="1"/>
  </cols>
  <sheetData>
    <row r="3" spans="1:3" x14ac:dyDescent="0.2">
      <c r="A3" s="30" t="s">
        <v>264</v>
      </c>
    </row>
    <row r="4" spans="1:3" x14ac:dyDescent="0.2">
      <c r="A4" t="s">
        <v>265</v>
      </c>
    </row>
    <row r="7" spans="1:3" x14ac:dyDescent="0.2">
      <c r="A7" t="s">
        <v>103</v>
      </c>
      <c r="B7" s="141">
        <f ca="1">TODAY()</f>
        <v>36696</v>
      </c>
    </row>
    <row r="9" spans="1:3" x14ac:dyDescent="0.2">
      <c r="B9" s="142" t="s">
        <v>268</v>
      </c>
    </row>
    <row r="10" spans="1:3" hidden="1" x14ac:dyDescent="0.2">
      <c r="A10" t="s">
        <v>266</v>
      </c>
      <c r="B10" s="140">
        <f ca="1">Trades!AA56</f>
        <v>1498099.3564143511</v>
      </c>
    </row>
    <row r="11" spans="1:3" hidden="1" x14ac:dyDescent="0.2">
      <c r="A11" t="s">
        <v>365</v>
      </c>
      <c r="B11" s="203">
        <v>347085.75</v>
      </c>
    </row>
    <row r="12" spans="1:3" x14ac:dyDescent="0.2">
      <c r="A12" t="s">
        <v>381</v>
      </c>
      <c r="B12" s="140">
        <f ca="1">B10-B11</f>
        <v>1151013.6064143511</v>
      </c>
    </row>
    <row r="13" spans="1:3" x14ac:dyDescent="0.2">
      <c r="A13" t="s">
        <v>267</v>
      </c>
      <c r="B13" s="143">
        <f ca="1">Sheet2!B54</f>
        <v>1182147</v>
      </c>
    </row>
    <row r="14" spans="1:3" x14ac:dyDescent="0.2">
      <c r="A14" t="s">
        <v>366</v>
      </c>
      <c r="B14" s="140">
        <f ca="1">B12-B13</f>
        <v>-31133.393585648853</v>
      </c>
    </row>
    <row r="15" spans="1:3" x14ac:dyDescent="0.2">
      <c r="A15" t="s">
        <v>289</v>
      </c>
      <c r="B15" s="140">
        <v>-14800</v>
      </c>
    </row>
    <row r="16" spans="1:3" x14ac:dyDescent="0.2">
      <c r="A16" t="s">
        <v>293</v>
      </c>
      <c r="B16" s="143">
        <f ca="1">SUM(Sheet2!F54:F56)</f>
        <v>-34551.259999999995</v>
      </c>
      <c r="C16" t="s">
        <v>398</v>
      </c>
    </row>
    <row r="18" spans="1:2" x14ac:dyDescent="0.2">
      <c r="A18" t="s">
        <v>273</v>
      </c>
      <c r="B18" s="144">
        <f ca="1">B16+B14+B15</f>
        <v>-80484.653585648848</v>
      </c>
    </row>
    <row r="20" spans="1:2" ht="23.25" x14ac:dyDescent="0.35">
      <c r="A20" s="145"/>
    </row>
  </sheetData>
  <pageMargins left="0.75" right="0.75" top="1" bottom="1" header="0.5" footer="0.5"/>
  <pageSetup orientation="portrait" copies="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BR193"/>
  <sheetViews>
    <sheetView showGridLines="0" zoomScale="75" workbookViewId="0">
      <selection activeCell="AM36" sqref="AM36"/>
    </sheetView>
  </sheetViews>
  <sheetFormatPr defaultRowHeight="12.75" x14ac:dyDescent="0.2"/>
  <cols>
    <col min="1" max="1" width="11.7109375" style="89" customWidth="1"/>
    <col min="2" max="2" width="9.42578125" style="89" customWidth="1"/>
    <col min="3" max="3" width="11.42578125" style="158" customWidth="1"/>
    <col min="4" max="4" width="14.85546875" style="193" customWidth="1"/>
    <col min="5" max="7" width="8.7109375" style="157" customWidth="1"/>
    <col min="8" max="8" width="2.140625" style="157" customWidth="1"/>
    <col min="9" max="11" width="8.42578125" style="157" customWidth="1"/>
    <col min="12" max="12" width="2.7109375" style="157" customWidth="1"/>
    <col min="13" max="13" width="8.7109375" style="157" customWidth="1"/>
    <col min="14" max="16" width="8.140625" style="157" customWidth="1"/>
    <col min="17" max="17" width="5" style="157" customWidth="1"/>
    <col min="18" max="20" width="8.42578125" style="157" customWidth="1"/>
    <col min="21" max="21" width="7.7109375" style="157" customWidth="1"/>
    <col min="22" max="22" width="5.5703125" style="157" customWidth="1"/>
    <col min="23" max="23" width="7.28515625" style="157" customWidth="1"/>
    <col min="24" max="24" width="12.42578125" style="157" customWidth="1"/>
    <col min="25" max="27" width="13.140625" style="157" customWidth="1"/>
    <col min="28" max="34" width="7.7109375" style="157" customWidth="1"/>
    <col min="35" max="35" width="10.5703125" style="157" customWidth="1"/>
    <col min="36" max="36" width="8.28515625" style="157" customWidth="1"/>
    <col min="37" max="37" width="9.85546875" style="157" customWidth="1"/>
    <col min="38" max="38" width="9" style="157" customWidth="1"/>
    <col min="39" max="39" width="8.5703125" style="157" customWidth="1"/>
    <col min="40" max="40" width="9.140625" style="89"/>
    <col min="41" max="41" width="10.7109375" customWidth="1"/>
    <col min="43" max="43" width="9.140625" style="89"/>
    <col min="44" max="49" width="9.140625" style="158"/>
    <col min="50" max="65" width="11" customWidth="1"/>
    <col min="66" max="70" width="10.28515625" customWidth="1"/>
  </cols>
  <sheetData>
    <row r="1" spans="1:70" ht="23.25" x14ac:dyDescent="0.35">
      <c r="A1" s="154" t="s">
        <v>300</v>
      </c>
      <c r="C1" s="89"/>
      <c r="D1" s="154" t="s">
        <v>301</v>
      </c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L1" s="156"/>
      <c r="AM1" s="156"/>
      <c r="AR1" s="154"/>
    </row>
    <row r="2" spans="1:70" ht="27" customHeight="1" thickBot="1" x14ac:dyDescent="0.25">
      <c r="B2" s="89" t="s">
        <v>88</v>
      </c>
      <c r="C2" s="159"/>
      <c r="D2" s="160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5"/>
      <c r="P2" s="156"/>
      <c r="Q2" s="156"/>
      <c r="R2" s="156"/>
      <c r="S2" s="161"/>
      <c r="T2" s="162"/>
      <c r="U2" s="162"/>
      <c r="V2" s="156"/>
      <c r="W2" s="156"/>
      <c r="X2" s="156"/>
      <c r="Y2" s="156"/>
      <c r="Z2" s="156"/>
      <c r="AA2" s="156"/>
      <c r="AB2" s="156"/>
      <c r="AC2" s="156"/>
      <c r="AD2" s="163"/>
      <c r="AE2" s="163"/>
      <c r="AF2" s="156"/>
      <c r="AG2" s="156"/>
      <c r="AH2" s="156"/>
      <c r="AI2" s="156"/>
      <c r="AJ2" s="156"/>
      <c r="AL2" s="156"/>
      <c r="AM2" s="156"/>
      <c r="AN2" s="171"/>
      <c r="AO2" s="171"/>
      <c r="AP2" s="171"/>
      <c r="AQ2" s="171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</row>
    <row r="3" spans="1:70" ht="13.5" thickBot="1" x14ac:dyDescent="0.25">
      <c r="A3" s="165">
        <v>36678</v>
      </c>
      <c r="B3" s="127">
        <v>5.7099451499444023E-2</v>
      </c>
      <c r="C3" s="159"/>
      <c r="D3" s="166" t="s">
        <v>302</v>
      </c>
      <c r="E3" s="167"/>
      <c r="F3" s="168"/>
      <c r="G3" s="169">
        <v>36649</v>
      </c>
      <c r="H3" s="170"/>
      <c r="I3" s="171"/>
      <c r="J3" s="171"/>
      <c r="K3" s="171"/>
      <c r="L3" s="172"/>
      <c r="M3" s="173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X3" s="164"/>
      <c r="AY3" s="164"/>
      <c r="AZ3" s="164"/>
      <c r="BA3" s="164"/>
      <c r="BB3" s="164"/>
      <c r="BC3" s="164"/>
      <c r="BD3" s="164"/>
      <c r="BE3" s="164"/>
      <c r="BF3" s="164"/>
      <c r="BG3" s="164"/>
      <c r="BH3" s="164"/>
      <c r="BI3" s="164"/>
      <c r="BJ3" s="164"/>
      <c r="BK3" s="164"/>
      <c r="BL3" s="164"/>
      <c r="BM3" s="164"/>
      <c r="BN3" s="89"/>
      <c r="BO3" s="89"/>
      <c r="BP3" s="89"/>
      <c r="BQ3" s="89"/>
    </row>
    <row r="4" spans="1:70" x14ac:dyDescent="0.2">
      <c r="A4" s="174">
        <f t="shared" ref="A4:A46" si="0">EOMONTH(A3,0)+1</f>
        <v>36708</v>
      </c>
      <c r="B4" s="127">
        <v>5.7545978648645003E-2</v>
      </c>
      <c r="C4" s="164"/>
      <c r="D4" s="175"/>
      <c r="E4" s="168"/>
      <c r="F4" s="168"/>
      <c r="G4" s="168"/>
      <c r="H4" s="172"/>
      <c r="I4" s="171"/>
      <c r="J4" s="171"/>
      <c r="K4" s="171"/>
      <c r="L4" s="172"/>
      <c r="M4" s="173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/>
      <c r="AS4"/>
      <c r="AT4"/>
      <c r="AU4"/>
      <c r="AV4"/>
      <c r="AW4"/>
      <c r="AX4" s="164"/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89"/>
      <c r="BO4" s="89"/>
      <c r="BP4" s="89"/>
      <c r="BQ4" s="89"/>
    </row>
    <row r="5" spans="1:70" x14ac:dyDescent="0.2">
      <c r="A5" s="174">
        <f t="shared" si="0"/>
        <v>36739</v>
      </c>
      <c r="B5" s="127">
        <v>5.8411515678857009E-2</v>
      </c>
      <c r="C5" s="164"/>
      <c r="D5" s="172"/>
      <c r="E5" s="172" t="s">
        <v>315</v>
      </c>
      <c r="G5" s="172"/>
      <c r="H5" s="172"/>
      <c r="I5" s="172" t="s">
        <v>318</v>
      </c>
      <c r="K5" s="172"/>
      <c r="L5" s="172"/>
      <c r="M5" s="173"/>
      <c r="N5" s="172"/>
      <c r="O5" s="172" t="s">
        <v>316</v>
      </c>
      <c r="P5" s="172"/>
      <c r="Q5" s="172"/>
      <c r="R5" s="172"/>
      <c r="S5" s="172" t="s">
        <v>317</v>
      </c>
      <c r="T5" s="172"/>
      <c r="U5" s="172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/>
      <c r="AS5"/>
      <c r="AT5"/>
      <c r="AU5"/>
      <c r="AV5"/>
      <c r="AW5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6"/>
      <c r="BL5" s="176"/>
      <c r="BM5" s="176"/>
      <c r="BN5" s="176"/>
      <c r="BO5" s="176"/>
      <c r="BP5" s="176"/>
      <c r="BQ5" s="176"/>
      <c r="BR5" s="176"/>
    </row>
    <row r="6" spans="1:70" x14ac:dyDescent="0.2">
      <c r="A6" s="174">
        <f t="shared" si="0"/>
        <v>36770</v>
      </c>
      <c r="B6" s="127">
        <v>5.9182765795627014E-2</v>
      </c>
      <c r="C6" s="177"/>
      <c r="D6" s="178"/>
      <c r="E6" s="179" t="s">
        <v>18</v>
      </c>
      <c r="F6" s="179" t="s">
        <v>93</v>
      </c>
      <c r="G6" s="180" t="s">
        <v>17</v>
      </c>
      <c r="H6" s="181"/>
      <c r="I6" s="182" t="s">
        <v>18</v>
      </c>
      <c r="J6" s="182" t="s">
        <v>93</v>
      </c>
      <c r="K6" s="182" t="s">
        <v>17</v>
      </c>
      <c r="L6" s="172"/>
      <c r="M6" s="173"/>
      <c r="N6" s="179" t="s">
        <v>18</v>
      </c>
      <c r="O6" s="179" t="s">
        <v>93</v>
      </c>
      <c r="P6" s="183" t="s">
        <v>17</v>
      </c>
      <c r="Q6" s="180"/>
      <c r="R6" s="179" t="s">
        <v>18</v>
      </c>
      <c r="S6" s="179" t="s">
        <v>93</v>
      </c>
      <c r="T6" s="183" t="s">
        <v>17</v>
      </c>
      <c r="U6" s="180"/>
      <c r="V6" s="171"/>
      <c r="W6" s="172"/>
      <c r="X6" s="172"/>
      <c r="Y6" s="172"/>
      <c r="Z6" s="172"/>
      <c r="AA6" s="172"/>
      <c r="AB6" s="168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1"/>
      <c r="AO6" s="171"/>
      <c r="AP6" s="171"/>
      <c r="AQ6" s="171"/>
      <c r="AR6"/>
      <c r="AS6"/>
      <c r="AT6"/>
      <c r="AU6"/>
      <c r="AV6"/>
      <c r="AW6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184"/>
      <c r="BN6" s="184"/>
      <c r="BO6" s="184"/>
      <c r="BP6" s="184"/>
      <c r="BQ6" s="184"/>
      <c r="BR6" s="184"/>
    </row>
    <row r="7" spans="1:70" x14ac:dyDescent="0.2">
      <c r="A7" s="174">
        <f t="shared" si="0"/>
        <v>36800</v>
      </c>
      <c r="B7" s="127">
        <v>5.9883480172705006E-2</v>
      </c>
      <c r="C7" s="185"/>
      <c r="D7" s="172"/>
      <c r="E7" s="172" t="s">
        <v>303</v>
      </c>
      <c r="F7" s="172" t="s">
        <v>303</v>
      </c>
      <c r="G7" s="172" t="s">
        <v>303</v>
      </c>
      <c r="H7" s="181"/>
      <c r="I7" s="181" t="s">
        <v>303</v>
      </c>
      <c r="J7" s="181" t="s">
        <v>303</v>
      </c>
      <c r="K7" s="181" t="s">
        <v>303</v>
      </c>
      <c r="L7" s="172"/>
      <c r="M7" s="173"/>
      <c r="N7" s="172" t="s">
        <v>303</v>
      </c>
      <c r="O7" s="172" t="s">
        <v>303</v>
      </c>
      <c r="P7" s="172" t="s">
        <v>303</v>
      </c>
      <c r="Q7" s="172"/>
      <c r="R7" s="172" t="s">
        <v>303</v>
      </c>
      <c r="S7" s="172" t="s">
        <v>303</v>
      </c>
      <c r="T7" s="172" t="s">
        <v>303</v>
      </c>
      <c r="U7" s="172"/>
      <c r="V7" s="171"/>
      <c r="W7" s="172"/>
      <c r="X7" s="172"/>
      <c r="Y7" s="172"/>
      <c r="Z7" s="172"/>
      <c r="AA7" s="172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N7" s="171"/>
      <c r="AO7" s="171"/>
      <c r="AP7" s="171"/>
      <c r="AQ7" s="171"/>
      <c r="AR7"/>
      <c r="AS7"/>
      <c r="AT7"/>
      <c r="AU7"/>
      <c r="AV7"/>
      <c r="AW7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158"/>
      <c r="BL7" s="158"/>
      <c r="BM7" s="158"/>
      <c r="BN7" s="158"/>
      <c r="BO7" s="158"/>
      <c r="BP7" s="158"/>
      <c r="BQ7" s="158"/>
      <c r="BR7" s="158"/>
    </row>
    <row r="8" spans="1:70" x14ac:dyDescent="0.2">
      <c r="A8" s="174">
        <f t="shared" si="0"/>
        <v>36831</v>
      </c>
      <c r="B8" s="127">
        <v>6.0533096758536999E-2</v>
      </c>
      <c r="C8" s="185" t="s">
        <v>104</v>
      </c>
      <c r="D8" s="168" t="s">
        <v>319</v>
      </c>
      <c r="E8" s="168"/>
      <c r="F8" s="168"/>
      <c r="G8" s="168"/>
      <c r="H8" s="183"/>
      <c r="I8" s="168"/>
      <c r="J8" s="183"/>
      <c r="K8" s="183"/>
      <c r="L8" s="172"/>
      <c r="M8" s="173" t="s">
        <v>16</v>
      </c>
      <c r="N8" s="171"/>
      <c r="O8" s="171"/>
      <c r="P8" s="171"/>
      <c r="Q8" s="171"/>
      <c r="R8" s="171"/>
      <c r="S8" s="171"/>
      <c r="T8" s="171"/>
      <c r="U8" s="171"/>
      <c r="V8" s="171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1"/>
      <c r="AO8" s="171"/>
      <c r="AP8" s="171"/>
      <c r="AQ8" s="171"/>
      <c r="AR8"/>
      <c r="AS8"/>
      <c r="AT8"/>
      <c r="AU8"/>
      <c r="AV8"/>
      <c r="AW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158"/>
      <c r="BL8" s="158"/>
      <c r="BM8" s="158"/>
      <c r="BN8" s="158"/>
      <c r="BO8" s="158"/>
      <c r="BP8" s="158"/>
      <c r="BQ8" s="158"/>
      <c r="BR8" s="158"/>
    </row>
    <row r="9" spans="1:70" x14ac:dyDescent="0.2">
      <c r="A9" s="174">
        <f t="shared" si="0"/>
        <v>36861</v>
      </c>
      <c r="B9" s="127">
        <v>6.1161758104102994E-2</v>
      </c>
      <c r="C9" s="195">
        <f ca="1">WEEKDAY(D9)</f>
        <v>3</v>
      </c>
      <c r="D9" s="186">
        <f ca="1">TODAY()+1</f>
        <v>36697</v>
      </c>
      <c r="E9" s="17">
        <f>F9-1</f>
        <v>53</v>
      </c>
      <c r="F9" s="17">
        <v>54</v>
      </c>
      <c r="G9" s="17">
        <f>F9+1</f>
        <v>55</v>
      </c>
      <c r="H9" s="183"/>
      <c r="I9" s="17">
        <f>J9-1</f>
        <v>29</v>
      </c>
      <c r="J9" s="17">
        <v>30</v>
      </c>
      <c r="K9" s="17">
        <f>J9+1</f>
        <v>31</v>
      </c>
      <c r="L9" s="172"/>
      <c r="M9" s="173">
        <v>36617</v>
      </c>
      <c r="N9" s="45">
        <v>0</v>
      </c>
      <c r="O9" s="45">
        <v>0</v>
      </c>
      <c r="P9" s="45">
        <v>0</v>
      </c>
      <c r="Q9" s="171"/>
      <c r="R9" s="45">
        <v>0</v>
      </c>
      <c r="S9" s="45">
        <v>0</v>
      </c>
      <c r="T9" s="45">
        <v>0</v>
      </c>
      <c r="U9" s="171"/>
      <c r="V9" s="171"/>
      <c r="W9" s="187"/>
      <c r="X9" s="187" t="s">
        <v>349</v>
      </c>
      <c r="Y9" s="187" t="s">
        <v>350</v>
      </c>
      <c r="Z9" s="187" t="s">
        <v>372</v>
      </c>
      <c r="AA9" s="187"/>
      <c r="AB9" s="172">
        <v>100</v>
      </c>
      <c r="AC9" s="172">
        <v>200</v>
      </c>
      <c r="AD9" s="172">
        <v>300</v>
      </c>
      <c r="AE9" s="172">
        <v>400</v>
      </c>
      <c r="AF9" s="172">
        <v>500</v>
      </c>
      <c r="AG9" s="172">
        <v>600</v>
      </c>
      <c r="AH9" s="172">
        <v>700</v>
      </c>
      <c r="AI9" s="172">
        <v>800</v>
      </c>
      <c r="AJ9" s="172">
        <v>900</v>
      </c>
      <c r="AK9" s="172">
        <v>1000</v>
      </c>
      <c r="AL9" s="172">
        <v>1100</v>
      </c>
      <c r="AM9" s="172">
        <v>1200</v>
      </c>
      <c r="AN9" s="172">
        <v>1300</v>
      </c>
      <c r="AO9" s="172">
        <v>1400</v>
      </c>
      <c r="AP9" s="172">
        <v>1500</v>
      </c>
      <c r="AQ9" s="172">
        <v>1600</v>
      </c>
      <c r="AR9" s="172">
        <v>1700</v>
      </c>
      <c r="AS9" s="172">
        <v>1800</v>
      </c>
      <c r="AT9" s="172">
        <v>1900</v>
      </c>
      <c r="AU9" s="172">
        <v>2000</v>
      </c>
      <c r="AV9" s="172">
        <v>2100</v>
      </c>
      <c r="AW9" s="172">
        <v>2200</v>
      </c>
      <c r="AX9" s="172">
        <v>2300</v>
      </c>
      <c r="AY9" s="172">
        <v>2400</v>
      </c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158"/>
      <c r="BL9" s="158"/>
      <c r="BM9" s="158"/>
      <c r="BN9" s="158"/>
      <c r="BO9" s="158"/>
      <c r="BP9" s="158"/>
      <c r="BQ9" s="158"/>
      <c r="BR9" s="158"/>
    </row>
    <row r="10" spans="1:70" x14ac:dyDescent="0.2">
      <c r="A10" s="174">
        <f t="shared" si="0"/>
        <v>36892</v>
      </c>
      <c r="B10" s="127">
        <v>6.1713597919777E-2</v>
      </c>
      <c r="C10" s="195">
        <f t="shared" ref="C10:C39" ca="1" si="1">WEEKDAY(D10)</f>
        <v>4</v>
      </c>
      <c r="D10" s="186">
        <f ca="1">D9+1</f>
        <v>36698</v>
      </c>
      <c r="E10" s="17">
        <f t="shared" ref="E10:E46" si="2">F10-1</f>
        <v>53</v>
      </c>
      <c r="F10" s="17">
        <v>54</v>
      </c>
      <c r="G10" s="17">
        <f t="shared" ref="G10:G46" si="3">F10+1</f>
        <v>55</v>
      </c>
      <c r="H10" s="183"/>
      <c r="I10" s="17">
        <f t="shared" ref="I10:I46" si="4">J10-1</f>
        <v>29</v>
      </c>
      <c r="J10" s="17">
        <v>30</v>
      </c>
      <c r="K10" s="17">
        <f t="shared" ref="K10:K46" si="5">J10+1</f>
        <v>31</v>
      </c>
      <c r="L10" s="172"/>
      <c r="M10" s="173">
        <v>36647</v>
      </c>
      <c r="N10" s="45">
        <v>0</v>
      </c>
      <c r="O10" s="45">
        <v>0</v>
      </c>
      <c r="P10" s="45">
        <v>0</v>
      </c>
      <c r="Q10" s="171"/>
      <c r="R10" s="45">
        <v>0</v>
      </c>
      <c r="S10" s="45">
        <v>0</v>
      </c>
      <c r="T10" s="45">
        <v>0</v>
      </c>
      <c r="U10" s="171"/>
      <c r="V10" s="171"/>
      <c r="W10" s="187" t="s">
        <v>304</v>
      </c>
      <c r="X10" s="199">
        <f>AVERAGE(AI10:AX10)</f>
        <v>0.99999999999999989</v>
      </c>
      <c r="Y10" s="199">
        <f>AVERAGE(AB10:AH10,AY10)</f>
        <v>0.99999999999999978</v>
      </c>
      <c r="Z10" s="199">
        <f>AVERAGE(AV10:AX10)</f>
        <v>0.92907424805979533</v>
      </c>
      <c r="AA10" s="199"/>
      <c r="AB10" s="189">
        <v>1.0315462041815411</v>
      </c>
      <c r="AC10" s="189">
        <v>0.95612897356391202</v>
      </c>
      <c r="AD10" s="189">
        <v>0.90844407768335278</v>
      </c>
      <c r="AE10" s="189">
        <v>0.86904799490951279</v>
      </c>
      <c r="AF10" s="189">
        <v>0.86893311964411857</v>
      </c>
      <c r="AG10" s="189">
        <v>0.9717406312586464</v>
      </c>
      <c r="AH10" s="189">
        <v>1.192719958568214</v>
      </c>
      <c r="AI10" s="189">
        <v>0.87095568181989491</v>
      </c>
      <c r="AJ10" s="189">
        <v>0.96081644090531992</v>
      </c>
      <c r="AK10" s="189">
        <v>0.91620236244018849</v>
      </c>
      <c r="AL10" s="189">
        <v>0.93768215890099005</v>
      </c>
      <c r="AM10" s="189">
        <v>0.94931640920397631</v>
      </c>
      <c r="AN10" s="189">
        <v>0.92038523302718234</v>
      </c>
      <c r="AO10" s="189">
        <v>0.89650596757581691</v>
      </c>
      <c r="AP10" s="189">
        <v>0.88987969576867398</v>
      </c>
      <c r="AQ10" s="189">
        <v>0.90810920473435919</v>
      </c>
      <c r="AR10" s="189">
        <v>1.0521577621832197</v>
      </c>
      <c r="AS10" s="189">
        <v>1.5338984781999785</v>
      </c>
      <c r="AT10" s="189">
        <v>1.3103325624758553</v>
      </c>
      <c r="AU10" s="189">
        <v>1.0665352985851577</v>
      </c>
      <c r="AV10" s="189">
        <v>1.0182347899261859</v>
      </c>
      <c r="AW10" s="189">
        <v>0.9528342147034865</v>
      </c>
      <c r="AX10" s="189">
        <v>0.81615373954971349</v>
      </c>
      <c r="AY10" s="189">
        <v>1.2014390401907016</v>
      </c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</row>
    <row r="11" spans="1:70" x14ac:dyDescent="0.2">
      <c r="A11" s="174">
        <f t="shared" si="0"/>
        <v>36923</v>
      </c>
      <c r="B11" s="127">
        <v>6.2146708548982015E-2</v>
      </c>
      <c r="C11" s="195">
        <f t="shared" ca="1" si="1"/>
        <v>5</v>
      </c>
      <c r="D11" s="186">
        <f t="shared" ref="D11:D39" ca="1" si="6">D10+1</f>
        <v>36699</v>
      </c>
      <c r="E11" s="17">
        <f t="shared" si="2"/>
        <v>53</v>
      </c>
      <c r="F11" s="17">
        <v>54</v>
      </c>
      <c r="G11" s="17">
        <f t="shared" si="3"/>
        <v>55</v>
      </c>
      <c r="H11" s="183"/>
      <c r="I11" s="17">
        <f t="shared" si="4"/>
        <v>29</v>
      </c>
      <c r="J11" s="17">
        <v>30</v>
      </c>
      <c r="K11" s="17">
        <f t="shared" si="5"/>
        <v>31</v>
      </c>
      <c r="L11" s="172"/>
      <c r="M11" s="173">
        <v>36678</v>
      </c>
      <c r="N11" s="45">
        <v>35</v>
      </c>
      <c r="O11" s="45">
        <f>F40*0.9</f>
        <v>52.875</v>
      </c>
      <c r="P11" s="45">
        <v>35</v>
      </c>
      <c r="Q11" s="171"/>
      <c r="R11" s="45">
        <v>26.25</v>
      </c>
      <c r="S11" s="45">
        <f>F40*0.85</f>
        <v>49.9375</v>
      </c>
      <c r="T11" s="45">
        <v>26.25</v>
      </c>
      <c r="U11" s="171"/>
      <c r="V11" s="171"/>
      <c r="W11" s="187" t="s">
        <v>305</v>
      </c>
      <c r="X11" s="199">
        <f t="shared" ref="X11:X21" si="7">AVERAGE(AI11:AX11)</f>
        <v>0.99999999999999989</v>
      </c>
      <c r="Y11" s="199">
        <f t="shared" ref="Y11:Y21" si="8">AVERAGE(AB11:AH11,AY11)</f>
        <v>1</v>
      </c>
      <c r="Z11" s="199">
        <f t="shared" ref="Z11:Z21" si="9">AVERAGE(AV11:AX11)</f>
        <v>0.94132474044846004</v>
      </c>
      <c r="AA11" s="199"/>
      <c r="AB11" s="189">
        <v>1.0095437255997231</v>
      </c>
      <c r="AC11" s="189">
        <v>0.9165806364527691</v>
      </c>
      <c r="AD11" s="189">
        <v>0.88737800746407591</v>
      </c>
      <c r="AE11" s="189">
        <v>0.88040668263715083</v>
      </c>
      <c r="AF11" s="189">
        <v>0.87284960800829892</v>
      </c>
      <c r="AG11" s="189">
        <v>0.94838315470967205</v>
      </c>
      <c r="AH11" s="189">
        <v>1.2870157784335625</v>
      </c>
      <c r="AI11" s="189">
        <v>0.88886907599648224</v>
      </c>
      <c r="AJ11" s="189">
        <v>0.95817502833945645</v>
      </c>
      <c r="AK11" s="189">
        <v>0.96479064297890671</v>
      </c>
      <c r="AL11" s="189">
        <v>0.97625488810954264</v>
      </c>
      <c r="AM11" s="189">
        <v>0.98512467318516295</v>
      </c>
      <c r="AN11" s="189">
        <v>0.98073479325610102</v>
      </c>
      <c r="AO11" s="189">
        <v>0.97104541605076466</v>
      </c>
      <c r="AP11" s="189">
        <v>0.92539097192519093</v>
      </c>
      <c r="AQ11" s="189">
        <v>0.93844680956580251</v>
      </c>
      <c r="AR11" s="189">
        <v>1.0133993224117073</v>
      </c>
      <c r="AS11" s="189">
        <v>1.1837863365425836</v>
      </c>
      <c r="AT11" s="189">
        <v>1.255064431043317</v>
      </c>
      <c r="AU11" s="189">
        <v>1.134943389249601</v>
      </c>
      <c r="AV11" s="189">
        <v>1.0367074106854228</v>
      </c>
      <c r="AW11" s="189">
        <v>0.95812149612746911</v>
      </c>
      <c r="AX11" s="189">
        <v>0.82914531453248785</v>
      </c>
      <c r="AY11" s="189">
        <v>1.1978424066947475</v>
      </c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158"/>
      <c r="BL11" s="158"/>
      <c r="BM11" s="158"/>
      <c r="BN11" s="158"/>
      <c r="BO11" s="158"/>
      <c r="BP11" s="158"/>
      <c r="BQ11" s="158"/>
      <c r="BR11" s="158"/>
    </row>
    <row r="12" spans="1:70" x14ac:dyDescent="0.2">
      <c r="A12" s="174">
        <f t="shared" si="0"/>
        <v>36951</v>
      </c>
      <c r="B12" s="127">
        <v>6.2537905299845015E-2</v>
      </c>
      <c r="C12" s="195">
        <f t="shared" ca="1" si="1"/>
        <v>6</v>
      </c>
      <c r="D12" s="186">
        <f t="shared" ca="1" si="6"/>
        <v>36700</v>
      </c>
      <c r="E12" s="17">
        <f t="shared" si="2"/>
        <v>53</v>
      </c>
      <c r="F12" s="17">
        <v>54</v>
      </c>
      <c r="G12" s="17">
        <f t="shared" si="3"/>
        <v>55</v>
      </c>
      <c r="H12" s="183"/>
      <c r="I12" s="17" t="s">
        <v>388</v>
      </c>
      <c r="J12" s="17">
        <v>30</v>
      </c>
      <c r="K12" s="17">
        <f t="shared" si="5"/>
        <v>31</v>
      </c>
      <c r="L12" s="172"/>
      <c r="M12" s="173">
        <v>36708</v>
      </c>
      <c r="N12" s="45">
        <v>35</v>
      </c>
      <c r="O12" s="45">
        <f t="shared" ref="O12:O29" si="10">F41*0.9</f>
        <v>53.550000000000004</v>
      </c>
      <c r="P12" s="45">
        <v>35</v>
      </c>
      <c r="Q12" s="171"/>
      <c r="R12" s="45">
        <v>26.25</v>
      </c>
      <c r="S12" s="45">
        <f t="shared" ref="S12:S29" si="11">F41*0.85</f>
        <v>50.574999999999996</v>
      </c>
      <c r="T12" s="45">
        <v>26.25</v>
      </c>
      <c r="U12" s="171"/>
      <c r="V12" s="171"/>
      <c r="W12" s="187" t="s">
        <v>306</v>
      </c>
      <c r="X12" s="199">
        <f t="shared" si="7"/>
        <v>1.0000000000000002</v>
      </c>
      <c r="Y12" s="199">
        <f t="shared" si="8"/>
        <v>1</v>
      </c>
      <c r="Z12" s="199">
        <f t="shared" si="9"/>
        <v>1.011118625048117</v>
      </c>
      <c r="AA12" s="199"/>
      <c r="AB12" s="189">
        <v>1.0352031179443242</v>
      </c>
      <c r="AC12" s="189">
        <v>0.95682157434445436</v>
      </c>
      <c r="AD12" s="189">
        <v>0.91500297170318934</v>
      </c>
      <c r="AE12" s="189">
        <v>0.88906108678281692</v>
      </c>
      <c r="AF12" s="189">
        <v>0.88284631159424265</v>
      </c>
      <c r="AG12" s="189">
        <v>0.96340357960760448</v>
      </c>
      <c r="AH12" s="189">
        <v>1.1746158759083472</v>
      </c>
      <c r="AI12" s="189">
        <v>0.75135411619299153</v>
      </c>
      <c r="AJ12" s="189">
        <v>0.87284325871463986</v>
      </c>
      <c r="AK12" s="189">
        <v>1.1088617969173713</v>
      </c>
      <c r="AL12" s="189">
        <v>1.0614695701024193</v>
      </c>
      <c r="AM12" s="189">
        <v>1.0360793120495599</v>
      </c>
      <c r="AN12" s="189">
        <v>0.99544917470222605</v>
      </c>
      <c r="AO12" s="189">
        <v>0.97071204375964959</v>
      </c>
      <c r="AP12" s="189">
        <v>0.96119804246249407</v>
      </c>
      <c r="AQ12" s="189">
        <v>0.94594636521038156</v>
      </c>
      <c r="AR12" s="189">
        <v>1.0057288299196616</v>
      </c>
      <c r="AS12" s="189">
        <v>1.0440444622599574</v>
      </c>
      <c r="AT12" s="189">
        <v>0.99053399096742445</v>
      </c>
      <c r="AU12" s="189">
        <v>1.222423161596875</v>
      </c>
      <c r="AV12" s="189">
        <v>1.1737515135425727</v>
      </c>
      <c r="AW12" s="189">
        <v>1.0359843752595257</v>
      </c>
      <c r="AX12" s="189">
        <v>0.82361998634225253</v>
      </c>
      <c r="AY12" s="189">
        <v>1.183045482115022</v>
      </c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184"/>
      <c r="BN12" s="184"/>
      <c r="BO12" s="184"/>
      <c r="BP12" s="184"/>
      <c r="BQ12" s="184"/>
      <c r="BR12" s="184"/>
    </row>
    <row r="13" spans="1:70" x14ac:dyDescent="0.2">
      <c r="A13" s="174">
        <f t="shared" si="0"/>
        <v>36982</v>
      </c>
      <c r="B13" s="127">
        <v>6.2924552286113003E-2</v>
      </c>
      <c r="C13" s="195">
        <f t="shared" ca="1" si="1"/>
        <v>7</v>
      </c>
      <c r="D13" s="186">
        <f t="shared" ca="1" si="6"/>
        <v>36701</v>
      </c>
      <c r="E13" s="17">
        <f t="shared" si="2"/>
        <v>53</v>
      </c>
      <c r="F13" s="17">
        <v>54</v>
      </c>
      <c r="G13" s="17">
        <f t="shared" si="3"/>
        <v>55</v>
      </c>
      <c r="H13" s="183"/>
      <c r="I13" s="17">
        <f t="shared" si="4"/>
        <v>29</v>
      </c>
      <c r="J13" s="17">
        <v>30</v>
      </c>
      <c r="K13" s="17">
        <f t="shared" si="5"/>
        <v>31</v>
      </c>
      <c r="L13" s="172"/>
      <c r="M13" s="173">
        <v>36739</v>
      </c>
      <c r="N13" s="45">
        <v>35</v>
      </c>
      <c r="O13" s="45">
        <f t="shared" si="10"/>
        <v>59.4</v>
      </c>
      <c r="P13" s="45">
        <v>35</v>
      </c>
      <c r="Q13" s="171"/>
      <c r="R13" s="45">
        <v>26.25</v>
      </c>
      <c r="S13" s="45">
        <f t="shared" si="11"/>
        <v>56.1</v>
      </c>
      <c r="T13" s="45">
        <v>26.25</v>
      </c>
      <c r="U13" s="171"/>
      <c r="V13" s="171"/>
      <c r="W13" s="187" t="s">
        <v>307</v>
      </c>
      <c r="X13" s="199">
        <f t="shared" si="7"/>
        <v>1</v>
      </c>
      <c r="Y13" s="199">
        <f t="shared" si="8"/>
        <v>1.0002664324618955</v>
      </c>
      <c r="Z13" s="199">
        <f t="shared" si="9"/>
        <v>0.94598251391429466</v>
      </c>
      <c r="AA13" s="199"/>
      <c r="AB13" s="189">
        <v>1.0206638252620033</v>
      </c>
      <c r="AC13" s="189">
        <v>0.93842986223563862</v>
      </c>
      <c r="AD13" s="189">
        <v>0.87405759593567678</v>
      </c>
      <c r="AE13" s="189">
        <v>0.82809000073865602</v>
      </c>
      <c r="AF13" s="189">
        <v>0.81790736881288351</v>
      </c>
      <c r="AG13" s="189">
        <v>0.92274652734032081</v>
      </c>
      <c r="AH13" s="189">
        <v>1.2567700002711608</v>
      </c>
      <c r="AI13" s="189">
        <v>0.73122988749008333</v>
      </c>
      <c r="AJ13" s="189">
        <v>0.95725894474406914</v>
      </c>
      <c r="AK13" s="189">
        <v>1.0301968172559524</v>
      </c>
      <c r="AL13" s="189">
        <v>1.0804036776971373</v>
      </c>
      <c r="AM13" s="189">
        <v>1.0726517523614094</v>
      </c>
      <c r="AN13" s="189">
        <v>1.0847342171860535</v>
      </c>
      <c r="AO13" s="189">
        <v>1.0825332296512982</v>
      </c>
      <c r="AP13" s="189">
        <v>1.1681784270533924</v>
      </c>
      <c r="AQ13" s="189">
        <v>1.0494671613074522</v>
      </c>
      <c r="AR13" s="189">
        <v>1.061349297333273</v>
      </c>
      <c r="AS13" s="189">
        <v>1.101443068764191</v>
      </c>
      <c r="AT13" s="189">
        <v>0.90593264964226383</v>
      </c>
      <c r="AU13" s="189">
        <v>0.83667332777054226</v>
      </c>
      <c r="AV13" s="189">
        <v>0.92239953360568272</v>
      </c>
      <c r="AW13" s="189">
        <v>1.0836118030490718</v>
      </c>
      <c r="AX13" s="189">
        <v>0.83193620508812915</v>
      </c>
      <c r="AY13" s="189">
        <v>1.3434662790988252</v>
      </c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  <c r="BN13" s="158"/>
      <c r="BO13" s="158"/>
      <c r="BP13" s="158"/>
      <c r="BQ13" s="158"/>
      <c r="BR13" s="158"/>
    </row>
    <row r="14" spans="1:70" x14ac:dyDescent="0.2">
      <c r="A14" s="174">
        <f t="shared" si="0"/>
        <v>37012</v>
      </c>
      <c r="B14" s="127">
        <v>6.3236467695155993E-2</v>
      </c>
      <c r="C14" s="195">
        <f t="shared" ca="1" si="1"/>
        <v>1</v>
      </c>
      <c r="D14" s="186">
        <f t="shared" ca="1" si="6"/>
        <v>36702</v>
      </c>
      <c r="E14" s="17">
        <f t="shared" si="2"/>
        <v>53</v>
      </c>
      <c r="F14" s="17">
        <v>54</v>
      </c>
      <c r="G14" s="17">
        <f t="shared" si="3"/>
        <v>55</v>
      </c>
      <c r="H14" s="183"/>
      <c r="I14" s="17">
        <f t="shared" si="4"/>
        <v>29</v>
      </c>
      <c r="J14" s="17">
        <v>30</v>
      </c>
      <c r="K14" s="17">
        <f t="shared" si="5"/>
        <v>31</v>
      </c>
      <c r="L14" s="172"/>
      <c r="M14" s="173">
        <v>36770</v>
      </c>
      <c r="N14" s="45">
        <v>35</v>
      </c>
      <c r="O14" s="45">
        <f t="shared" si="10"/>
        <v>58.5</v>
      </c>
      <c r="P14" s="45">
        <v>35</v>
      </c>
      <c r="Q14" s="171"/>
      <c r="R14" s="45">
        <v>26.25</v>
      </c>
      <c r="S14" s="45">
        <f t="shared" si="11"/>
        <v>55.25</v>
      </c>
      <c r="T14" s="45">
        <v>26.25</v>
      </c>
      <c r="U14" s="171"/>
      <c r="V14" s="171"/>
      <c r="W14" s="187" t="s">
        <v>261</v>
      </c>
      <c r="X14" s="199">
        <f t="shared" si="7"/>
        <v>0.99999999999999989</v>
      </c>
      <c r="Y14" s="199">
        <f t="shared" si="8"/>
        <v>1.0000000000000002</v>
      </c>
      <c r="Z14" s="199">
        <f t="shared" si="9"/>
        <v>0.90621362978649656</v>
      </c>
      <c r="AA14" s="199"/>
      <c r="AB14" s="189">
        <v>1.0763288357986383</v>
      </c>
      <c r="AC14" s="189">
        <v>0.92170937982012657</v>
      </c>
      <c r="AD14" s="189">
        <v>0.84964306673946643</v>
      </c>
      <c r="AE14" s="189">
        <v>0.8293273097081022</v>
      </c>
      <c r="AF14" s="189">
        <v>0.81058806856764465</v>
      </c>
      <c r="AG14" s="189">
        <v>0.8763013996660336</v>
      </c>
      <c r="AH14" s="189">
        <v>1.1121283979788701</v>
      </c>
      <c r="AI14" s="189">
        <v>0.64874857671820119</v>
      </c>
      <c r="AJ14" s="189">
        <v>0.78300792110224027</v>
      </c>
      <c r="AK14" s="189">
        <v>0.90241498123374841</v>
      </c>
      <c r="AL14" s="189">
        <v>1.0927594845749824</v>
      </c>
      <c r="AM14" s="189">
        <v>1.1527103031254542</v>
      </c>
      <c r="AN14" s="189">
        <v>1.0717775531341425</v>
      </c>
      <c r="AO14" s="189">
        <v>1.1061960209185027</v>
      </c>
      <c r="AP14" s="189">
        <v>1.1548025155224366</v>
      </c>
      <c r="AQ14" s="189">
        <v>1.0622080038050952</v>
      </c>
      <c r="AR14" s="189">
        <v>1.2113383226676322</v>
      </c>
      <c r="AS14" s="189">
        <v>1.220972731466818</v>
      </c>
      <c r="AT14" s="189">
        <v>0.95506413608242569</v>
      </c>
      <c r="AU14" s="189">
        <v>0.91935856028883178</v>
      </c>
      <c r="AV14" s="189">
        <v>0.89358008056074445</v>
      </c>
      <c r="AW14" s="189">
        <v>0.92606499067389225</v>
      </c>
      <c r="AX14" s="189">
        <v>0.89899581812485319</v>
      </c>
      <c r="AY14" s="189">
        <v>1.5239735417211189</v>
      </c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</row>
    <row r="15" spans="1:70" x14ac:dyDescent="0.2">
      <c r="A15" s="174">
        <f t="shared" si="0"/>
        <v>37043</v>
      </c>
      <c r="B15" s="127">
        <v>6.3558780318409003E-2</v>
      </c>
      <c r="C15" s="195">
        <f t="shared" ca="1" si="1"/>
        <v>2</v>
      </c>
      <c r="D15" s="186">
        <f t="shared" ca="1" si="6"/>
        <v>36703</v>
      </c>
      <c r="E15" s="17">
        <f t="shared" si="2"/>
        <v>53</v>
      </c>
      <c r="F15" s="17">
        <v>54</v>
      </c>
      <c r="G15" s="17">
        <f t="shared" si="3"/>
        <v>55</v>
      </c>
      <c r="H15" s="183"/>
      <c r="I15" s="17">
        <f t="shared" si="4"/>
        <v>29</v>
      </c>
      <c r="J15" s="17">
        <v>30</v>
      </c>
      <c r="K15" s="17">
        <f t="shared" si="5"/>
        <v>31</v>
      </c>
      <c r="L15" s="172"/>
      <c r="M15" s="173">
        <v>36800</v>
      </c>
      <c r="N15" s="45">
        <v>35</v>
      </c>
      <c r="O15" s="45">
        <f t="shared" si="10"/>
        <v>66.600000000000009</v>
      </c>
      <c r="P15" s="45">
        <v>35</v>
      </c>
      <c r="Q15" s="171"/>
      <c r="R15" s="45">
        <v>26.25</v>
      </c>
      <c r="S15" s="45">
        <f t="shared" si="11"/>
        <v>62.9</v>
      </c>
      <c r="T15" s="45">
        <v>26.25</v>
      </c>
      <c r="U15" s="171"/>
      <c r="V15" s="171"/>
      <c r="W15" s="187" t="s">
        <v>308</v>
      </c>
      <c r="X15" s="199">
        <f t="shared" si="7"/>
        <v>0.99999999999999989</v>
      </c>
      <c r="Y15" s="199">
        <f t="shared" si="8"/>
        <v>0.99999999999999967</v>
      </c>
      <c r="Z15" s="199">
        <f t="shared" si="9"/>
        <v>0.73868949902764725</v>
      </c>
      <c r="AA15" s="199"/>
      <c r="AB15" s="189">
        <v>1.1465255349849406</v>
      </c>
      <c r="AC15" s="189">
        <v>0.98898043092757359</v>
      </c>
      <c r="AD15" s="189">
        <v>0.90297513760337611</v>
      </c>
      <c r="AE15" s="189">
        <v>0.83794035474927953</v>
      </c>
      <c r="AF15" s="189">
        <v>0.80431938102542577</v>
      </c>
      <c r="AG15" s="189">
        <v>0.81942786103509513</v>
      </c>
      <c r="AH15" s="189">
        <v>1.0589906417928283</v>
      </c>
      <c r="AI15" s="189">
        <v>0.61965331520432776</v>
      </c>
      <c r="AJ15" s="189">
        <v>0.76152421611286036</v>
      </c>
      <c r="AK15" s="189">
        <v>0.92206549635884438</v>
      </c>
      <c r="AL15" s="189">
        <v>1.0685737920542411</v>
      </c>
      <c r="AM15" s="189">
        <v>1.2412010398171613</v>
      </c>
      <c r="AN15" s="189">
        <v>1.375417868340794</v>
      </c>
      <c r="AO15" s="189">
        <v>1.2069106301304058</v>
      </c>
      <c r="AP15" s="189">
        <v>1.2195212827579689</v>
      </c>
      <c r="AQ15" s="189">
        <v>1.3108607346780357</v>
      </c>
      <c r="AR15" s="189">
        <v>1.2837317987640553</v>
      </c>
      <c r="AS15" s="189">
        <v>1.1263796045314638</v>
      </c>
      <c r="AT15" s="189">
        <v>0.86255002026885552</v>
      </c>
      <c r="AU15" s="189">
        <v>0.78554170389804501</v>
      </c>
      <c r="AV15" s="189">
        <v>0.75016023330694692</v>
      </c>
      <c r="AW15" s="189">
        <v>0.74109819101491459</v>
      </c>
      <c r="AX15" s="189">
        <v>0.72481007276108067</v>
      </c>
      <c r="AY15" s="189">
        <v>1.440840657881479</v>
      </c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  <c r="BN15" s="158"/>
      <c r="BO15" s="158"/>
      <c r="BP15" s="158"/>
      <c r="BQ15" s="158"/>
      <c r="BR15" s="158"/>
    </row>
    <row r="16" spans="1:70" x14ac:dyDescent="0.2">
      <c r="A16" s="174">
        <f t="shared" si="0"/>
        <v>37073</v>
      </c>
      <c r="B16" s="127">
        <v>6.3805903150062016E-2</v>
      </c>
      <c r="C16" s="195">
        <f t="shared" ca="1" si="1"/>
        <v>3</v>
      </c>
      <c r="D16" s="186">
        <f t="shared" ca="1" si="6"/>
        <v>36704</v>
      </c>
      <c r="E16" s="17">
        <f t="shared" si="2"/>
        <v>53</v>
      </c>
      <c r="F16" s="17">
        <v>54</v>
      </c>
      <c r="G16" s="17">
        <f t="shared" si="3"/>
        <v>55</v>
      </c>
      <c r="H16" s="183"/>
      <c r="I16" s="17">
        <f t="shared" si="4"/>
        <v>29</v>
      </c>
      <c r="J16" s="17">
        <v>30</v>
      </c>
      <c r="K16" s="17">
        <f t="shared" si="5"/>
        <v>31</v>
      </c>
      <c r="L16" s="172"/>
      <c r="M16" s="173">
        <v>36831</v>
      </c>
      <c r="N16" s="45">
        <v>35</v>
      </c>
      <c r="O16" s="45">
        <f t="shared" si="10"/>
        <v>51.75</v>
      </c>
      <c r="P16" s="45">
        <v>35</v>
      </c>
      <c r="Q16" s="171"/>
      <c r="R16" s="45">
        <v>26.25</v>
      </c>
      <c r="S16" s="45">
        <f t="shared" si="11"/>
        <v>48.875</v>
      </c>
      <c r="T16" s="45">
        <v>26.25</v>
      </c>
      <c r="U16" s="171"/>
      <c r="V16" s="171"/>
      <c r="W16" s="187" t="s">
        <v>309</v>
      </c>
      <c r="X16" s="199">
        <f t="shared" si="7"/>
        <v>0.99999999999999989</v>
      </c>
      <c r="Y16" s="199">
        <f t="shared" si="8"/>
        <v>1</v>
      </c>
      <c r="Z16" s="199">
        <f t="shared" si="9"/>
        <v>0.81423590893037157</v>
      </c>
      <c r="AA16" s="199"/>
      <c r="AB16" s="189">
        <v>1.136329821310885</v>
      </c>
      <c r="AC16" s="189">
        <v>0.97242391513992532</v>
      </c>
      <c r="AD16" s="189">
        <v>0.88392320579479666</v>
      </c>
      <c r="AE16" s="189">
        <v>0.8209093358515438</v>
      </c>
      <c r="AF16" s="189">
        <v>0.8100630786288715</v>
      </c>
      <c r="AG16" s="189">
        <v>0.80206214282535138</v>
      </c>
      <c r="AH16" s="189">
        <v>1.0426321852114291</v>
      </c>
      <c r="AI16" s="189">
        <v>0.65598471497599242</v>
      </c>
      <c r="AJ16" s="189">
        <v>0.79314073662745188</v>
      </c>
      <c r="AK16" s="189">
        <v>0.89908806151728859</v>
      </c>
      <c r="AL16" s="189">
        <v>1.0224632495288652</v>
      </c>
      <c r="AM16" s="189">
        <v>1.2133145485979999</v>
      </c>
      <c r="AN16" s="189">
        <v>1.3487399624560195</v>
      </c>
      <c r="AO16" s="189">
        <v>1.1426718978231474</v>
      </c>
      <c r="AP16" s="189">
        <v>1.1528119609188625</v>
      </c>
      <c r="AQ16" s="189">
        <v>1.1148731324408696</v>
      </c>
      <c r="AR16" s="189">
        <v>1.3810360775674657</v>
      </c>
      <c r="AS16" s="189">
        <v>1.0387018049876569</v>
      </c>
      <c r="AT16" s="189">
        <v>0.92812065809769395</v>
      </c>
      <c r="AU16" s="189">
        <v>0.86634546766957221</v>
      </c>
      <c r="AV16" s="189">
        <v>0.82723111759128842</v>
      </c>
      <c r="AW16" s="189">
        <v>0.80638892965070719</v>
      </c>
      <c r="AX16" s="189">
        <v>0.80908767954911931</v>
      </c>
      <c r="AY16" s="189">
        <v>1.5316563152371965</v>
      </c>
      <c r="AZ16" s="184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</row>
    <row r="17" spans="1:70" x14ac:dyDescent="0.2">
      <c r="A17" s="174">
        <f t="shared" si="0"/>
        <v>37104</v>
      </c>
      <c r="B17" s="127">
        <v>6.3960834828292012E-2</v>
      </c>
      <c r="C17" s="195">
        <f t="shared" ca="1" si="1"/>
        <v>4</v>
      </c>
      <c r="D17" s="186">
        <f t="shared" ca="1" si="6"/>
        <v>36705</v>
      </c>
      <c r="E17" s="17">
        <f t="shared" si="2"/>
        <v>53</v>
      </c>
      <c r="F17" s="17">
        <v>54</v>
      </c>
      <c r="G17" s="17">
        <f t="shared" si="3"/>
        <v>55</v>
      </c>
      <c r="H17" s="183"/>
      <c r="I17" s="17">
        <f t="shared" si="4"/>
        <v>29</v>
      </c>
      <c r="J17" s="17">
        <v>30</v>
      </c>
      <c r="K17" s="17">
        <f t="shared" si="5"/>
        <v>31</v>
      </c>
      <c r="L17" s="172"/>
      <c r="M17" s="173">
        <v>36861</v>
      </c>
      <c r="N17" s="45">
        <v>35</v>
      </c>
      <c r="O17" s="45">
        <f t="shared" si="10"/>
        <v>54.675000000000004</v>
      </c>
      <c r="P17" s="45">
        <v>35</v>
      </c>
      <c r="Q17" s="171"/>
      <c r="R17" s="45">
        <v>26.25</v>
      </c>
      <c r="S17" s="45">
        <f t="shared" si="11"/>
        <v>51.637499999999996</v>
      </c>
      <c r="T17" s="45">
        <v>26.25</v>
      </c>
      <c r="U17" s="171"/>
      <c r="V17" s="171"/>
      <c r="W17" s="187" t="s">
        <v>310</v>
      </c>
      <c r="X17" s="199">
        <f t="shared" si="7"/>
        <v>1.0000000000000002</v>
      </c>
      <c r="Y17" s="199">
        <f t="shared" si="8"/>
        <v>1</v>
      </c>
      <c r="Z17" s="199">
        <f t="shared" si="9"/>
        <v>0.73896387854160805</v>
      </c>
      <c r="AA17" s="199"/>
      <c r="AB17" s="189">
        <v>1.102784642712056</v>
      </c>
      <c r="AC17" s="189">
        <v>0.98030600669789414</v>
      </c>
      <c r="AD17" s="189">
        <v>0.92369271273713982</v>
      </c>
      <c r="AE17" s="189">
        <v>0.85132901466846467</v>
      </c>
      <c r="AF17" s="189">
        <v>0.8525179659411567</v>
      </c>
      <c r="AG17" s="189">
        <v>0.93979448046149994</v>
      </c>
      <c r="AH17" s="189">
        <v>1.0625230193112969</v>
      </c>
      <c r="AI17" s="189">
        <v>0.56867389026458515</v>
      </c>
      <c r="AJ17" s="189">
        <v>0.64880813041553376</v>
      </c>
      <c r="AK17" s="189">
        <v>0.77236166497559</v>
      </c>
      <c r="AL17" s="189">
        <v>0.91977309207968139</v>
      </c>
      <c r="AM17" s="189">
        <v>1.1106107603795468</v>
      </c>
      <c r="AN17" s="189">
        <v>1.3490719461937009</v>
      </c>
      <c r="AO17" s="189">
        <v>1.3489196088216713</v>
      </c>
      <c r="AP17" s="189">
        <v>1.3265314526382967</v>
      </c>
      <c r="AQ17" s="189">
        <v>1.3661350648459676</v>
      </c>
      <c r="AR17" s="189">
        <v>1.3713341127264738</v>
      </c>
      <c r="AS17" s="189">
        <v>1.4017175430749866</v>
      </c>
      <c r="AT17" s="189">
        <v>0.85152483051365868</v>
      </c>
      <c r="AU17" s="189">
        <v>0.74764626744548379</v>
      </c>
      <c r="AV17" s="189">
        <v>0.73582757550008604</v>
      </c>
      <c r="AW17" s="189">
        <v>0.78012610101557134</v>
      </c>
      <c r="AX17" s="189">
        <v>0.70093795910916668</v>
      </c>
      <c r="AY17" s="189">
        <v>1.2870521574704914</v>
      </c>
      <c r="AZ17" s="184"/>
      <c r="BA17" s="184">
        <v>0.03</v>
      </c>
      <c r="BB17" s="184"/>
      <c r="BC17" s="184"/>
      <c r="BD17" s="184"/>
      <c r="BE17" s="184"/>
      <c r="BF17" s="184"/>
      <c r="BG17" s="184"/>
      <c r="BH17" s="184"/>
      <c r="BI17" s="184"/>
      <c r="BJ17" s="184"/>
      <c r="BK17" s="184"/>
      <c r="BL17" s="184"/>
      <c r="BM17" s="184"/>
      <c r="BN17" s="184"/>
      <c r="BO17" s="184"/>
      <c r="BP17" s="184"/>
      <c r="BQ17" s="184"/>
      <c r="BR17" s="184"/>
    </row>
    <row r="18" spans="1:70" x14ac:dyDescent="0.2">
      <c r="A18" s="174">
        <f t="shared" si="0"/>
        <v>37135</v>
      </c>
      <c r="B18" s="127">
        <v>6.4115766514483002E-2</v>
      </c>
      <c r="C18" s="195">
        <f t="shared" ca="1" si="1"/>
        <v>5</v>
      </c>
      <c r="D18" s="186">
        <f t="shared" ca="1" si="6"/>
        <v>36706</v>
      </c>
      <c r="E18" s="17">
        <f t="shared" si="2"/>
        <v>53</v>
      </c>
      <c r="F18" s="17">
        <v>54</v>
      </c>
      <c r="G18" s="17">
        <f t="shared" si="3"/>
        <v>55</v>
      </c>
      <c r="H18" s="183"/>
      <c r="I18" s="17">
        <f t="shared" si="4"/>
        <v>29</v>
      </c>
      <c r="J18" s="17">
        <v>30</v>
      </c>
      <c r="K18" s="17">
        <f t="shared" si="5"/>
        <v>31</v>
      </c>
      <c r="L18" s="172"/>
      <c r="M18" s="173">
        <v>36892</v>
      </c>
      <c r="N18" s="45"/>
      <c r="O18" s="45">
        <f t="shared" si="10"/>
        <v>83.120661118508067</v>
      </c>
      <c r="P18" s="45"/>
      <c r="Q18" s="171"/>
      <c r="R18" s="45"/>
      <c r="S18" s="45">
        <f t="shared" si="11"/>
        <v>78.502846611924269</v>
      </c>
      <c r="T18" s="45"/>
      <c r="U18" s="171"/>
      <c r="V18" s="171"/>
      <c r="W18" s="187" t="s">
        <v>311</v>
      </c>
      <c r="X18" s="199">
        <f t="shared" si="7"/>
        <v>1</v>
      </c>
      <c r="Y18" s="199">
        <f t="shared" si="8"/>
        <v>1</v>
      </c>
      <c r="Z18" s="199">
        <f t="shared" si="9"/>
        <v>0.91034446225183252</v>
      </c>
      <c r="AA18" s="199"/>
      <c r="AB18" s="189">
        <v>1.0515174984760267</v>
      </c>
      <c r="AC18" s="189">
        <v>0.91897668965659074</v>
      </c>
      <c r="AD18" s="189">
        <v>0.86947322997108967</v>
      </c>
      <c r="AE18" s="189">
        <v>0.83321088183477132</v>
      </c>
      <c r="AF18" s="189">
        <v>0.81331281710826819</v>
      </c>
      <c r="AG18" s="189">
        <v>0.95298464627359369</v>
      </c>
      <c r="AH18" s="189">
        <v>1.2337299901161578</v>
      </c>
      <c r="AI18" s="189">
        <v>0.73456561550623722</v>
      </c>
      <c r="AJ18" s="189">
        <v>0.8022614963508552</v>
      </c>
      <c r="AK18" s="189">
        <v>0.8998788476886318</v>
      </c>
      <c r="AL18" s="189">
        <v>0.96184055556817472</v>
      </c>
      <c r="AM18" s="189">
        <v>1.0048762669369766</v>
      </c>
      <c r="AN18" s="189">
        <v>1.2814583511029212</v>
      </c>
      <c r="AO18" s="189">
        <v>1.1936946401489321</v>
      </c>
      <c r="AP18" s="189">
        <v>1.1918032407258472</v>
      </c>
      <c r="AQ18" s="189">
        <v>1.250053771901769</v>
      </c>
      <c r="AR18" s="189">
        <v>1.114423605753037</v>
      </c>
      <c r="AS18" s="189">
        <v>1.0289917391421088</v>
      </c>
      <c r="AT18" s="189">
        <v>0.91128662713576558</v>
      </c>
      <c r="AU18" s="189">
        <v>0.89383185528324582</v>
      </c>
      <c r="AV18" s="189">
        <v>1.0315757433252819</v>
      </c>
      <c r="AW18" s="189">
        <v>0.92562973478207389</v>
      </c>
      <c r="AX18" s="189">
        <v>0.77382790864814166</v>
      </c>
      <c r="AY18" s="189">
        <v>1.3267942465635012</v>
      </c>
    </row>
    <row r="19" spans="1:70" x14ac:dyDescent="0.2">
      <c r="A19" s="174">
        <f t="shared" si="0"/>
        <v>37165</v>
      </c>
      <c r="B19" s="127">
        <v>6.4265700411923005E-2</v>
      </c>
      <c r="C19" s="195">
        <f t="shared" ca="1" si="1"/>
        <v>6</v>
      </c>
      <c r="D19" s="186">
        <f t="shared" ca="1" si="6"/>
        <v>36707</v>
      </c>
      <c r="E19" s="17">
        <f t="shared" si="2"/>
        <v>53</v>
      </c>
      <c r="F19" s="17">
        <v>54</v>
      </c>
      <c r="G19" s="17">
        <f t="shared" si="3"/>
        <v>55</v>
      </c>
      <c r="H19" s="183"/>
      <c r="I19" s="17">
        <f t="shared" si="4"/>
        <v>29</v>
      </c>
      <c r="J19" s="17">
        <v>30</v>
      </c>
      <c r="K19" s="17">
        <f t="shared" si="5"/>
        <v>31</v>
      </c>
      <c r="L19" s="172"/>
      <c r="M19" s="173">
        <v>36923</v>
      </c>
      <c r="N19" s="45"/>
      <c r="O19" s="45">
        <f t="shared" si="10"/>
        <v>78.773980787755832</v>
      </c>
      <c r="P19" s="45"/>
      <c r="Q19" s="171"/>
      <c r="R19" s="45"/>
      <c r="S19" s="45">
        <f t="shared" si="11"/>
        <v>74.397648521769398</v>
      </c>
      <c r="T19" s="45"/>
      <c r="U19" s="171"/>
      <c r="V19" s="171"/>
      <c r="W19" s="187" t="s">
        <v>312</v>
      </c>
      <c r="X19" s="199">
        <f t="shared" si="7"/>
        <v>0.99999999999999989</v>
      </c>
      <c r="Y19" s="199">
        <f t="shared" si="8"/>
        <v>0.99999999999999978</v>
      </c>
      <c r="Z19" s="199">
        <f t="shared" si="9"/>
        <v>0.94329289432911578</v>
      </c>
      <c r="AA19" s="199"/>
      <c r="AB19" s="189">
        <v>1.029842086392498</v>
      </c>
      <c r="AC19" s="189">
        <v>0.92093671336551031</v>
      </c>
      <c r="AD19" s="189">
        <v>0.8566522005920052</v>
      </c>
      <c r="AE19" s="189">
        <v>0.81499036884864795</v>
      </c>
      <c r="AF19" s="189">
        <v>0.80107181310207376</v>
      </c>
      <c r="AG19" s="189">
        <v>0.9891100214179096</v>
      </c>
      <c r="AH19" s="189">
        <v>1.3447996218731508</v>
      </c>
      <c r="AI19" s="189">
        <v>0.79324248128356722</v>
      </c>
      <c r="AJ19" s="189">
        <v>0.89554696773073639</v>
      </c>
      <c r="AK19" s="189">
        <v>0.89729113695103324</v>
      </c>
      <c r="AL19" s="189">
        <v>0.96161595987703763</v>
      </c>
      <c r="AM19" s="189">
        <v>1.0763889767310921</v>
      </c>
      <c r="AN19" s="189">
        <v>1.0369704918735376</v>
      </c>
      <c r="AO19" s="189">
        <v>0.98232561498093252</v>
      </c>
      <c r="AP19" s="189">
        <v>1.0037155885781053</v>
      </c>
      <c r="AQ19" s="189">
        <v>0.96421550926811395</v>
      </c>
      <c r="AR19" s="189">
        <v>1.0701462044406613</v>
      </c>
      <c r="AS19" s="189">
        <v>1.206929655784637</v>
      </c>
      <c r="AT19" s="189">
        <v>1.1038084548911788</v>
      </c>
      <c r="AU19" s="189">
        <v>1.1779242746220198</v>
      </c>
      <c r="AV19" s="189">
        <v>1.1379005204739649</v>
      </c>
      <c r="AW19" s="189">
        <v>0.95965874403075313</v>
      </c>
      <c r="AX19" s="189">
        <v>0.73231941848262916</v>
      </c>
      <c r="AY19" s="189">
        <v>1.2425971744082038</v>
      </c>
    </row>
    <row r="20" spans="1:70" x14ac:dyDescent="0.2">
      <c r="A20" s="174">
        <f t="shared" si="0"/>
        <v>37196</v>
      </c>
      <c r="B20" s="127">
        <v>6.4420632113776008E-2</v>
      </c>
      <c r="C20" s="195">
        <f t="shared" ca="1" si="1"/>
        <v>7</v>
      </c>
      <c r="D20" s="186">
        <f t="shared" ca="1" si="6"/>
        <v>36708</v>
      </c>
      <c r="E20" s="17">
        <f t="shared" si="2"/>
        <v>53</v>
      </c>
      <c r="F20" s="17">
        <v>54</v>
      </c>
      <c r="G20" s="17">
        <f t="shared" si="3"/>
        <v>55</v>
      </c>
      <c r="H20" s="183"/>
      <c r="I20" s="17">
        <f t="shared" si="4"/>
        <v>29</v>
      </c>
      <c r="J20" s="17">
        <v>30</v>
      </c>
      <c r="K20" s="17">
        <f t="shared" si="5"/>
        <v>31</v>
      </c>
      <c r="L20" s="172"/>
      <c r="M20" s="173">
        <v>36951</v>
      </c>
      <c r="N20" s="45"/>
      <c r="O20" s="45">
        <f t="shared" si="10"/>
        <v>74.240128895871379</v>
      </c>
      <c r="P20" s="45"/>
      <c r="Q20" s="171"/>
      <c r="R20" s="45"/>
      <c r="S20" s="45">
        <f t="shared" si="11"/>
        <v>70.115677290545193</v>
      </c>
      <c r="T20" s="45"/>
      <c r="U20" s="171"/>
      <c r="V20" s="171"/>
      <c r="W20" s="187" t="s">
        <v>313</v>
      </c>
      <c r="X20" s="199">
        <f t="shared" si="7"/>
        <v>1</v>
      </c>
      <c r="Y20" s="199">
        <f t="shared" si="8"/>
        <v>1.0000000000000002</v>
      </c>
      <c r="Z20" s="199">
        <f t="shared" si="9"/>
        <v>0.94654075048752928</v>
      </c>
      <c r="AA20" s="199"/>
      <c r="AB20" s="189">
        <v>0.9790398096272972</v>
      </c>
      <c r="AC20" s="189">
        <v>0.89622346020897736</v>
      </c>
      <c r="AD20" s="189">
        <v>0.85069041629990794</v>
      </c>
      <c r="AE20" s="189">
        <v>0.79063576789767698</v>
      </c>
      <c r="AF20" s="189">
        <v>0.78540009596897375</v>
      </c>
      <c r="AG20" s="189">
        <v>0.97151810169298969</v>
      </c>
      <c r="AH20" s="189">
        <v>1.4245136151611888</v>
      </c>
      <c r="AI20" s="189">
        <v>0.88456111453324882</v>
      </c>
      <c r="AJ20" s="189">
        <v>0.95622448083480782</v>
      </c>
      <c r="AK20" s="189">
        <v>0.97515837110931136</v>
      </c>
      <c r="AL20" s="189">
        <v>0.98811169965273971</v>
      </c>
      <c r="AM20" s="189">
        <v>0.99672839983146955</v>
      </c>
      <c r="AN20" s="189">
        <v>0.98250136345616013</v>
      </c>
      <c r="AO20" s="189">
        <v>0.9557907693357246</v>
      </c>
      <c r="AP20" s="189">
        <v>0.94814863969406138</v>
      </c>
      <c r="AQ20" s="189">
        <v>0.96141238924881622</v>
      </c>
      <c r="AR20" s="189">
        <v>1.0800221562772214</v>
      </c>
      <c r="AS20" s="189">
        <v>1.2813923528251649</v>
      </c>
      <c r="AT20" s="189">
        <v>1.1091457854560769</v>
      </c>
      <c r="AU20" s="189">
        <v>1.0411802262826093</v>
      </c>
      <c r="AV20" s="189">
        <v>1.0088357077469654</v>
      </c>
      <c r="AW20" s="189">
        <v>0.96870344146985476</v>
      </c>
      <c r="AX20" s="189">
        <v>0.86208310224576801</v>
      </c>
      <c r="AY20" s="189">
        <v>1.3019787331429893</v>
      </c>
    </row>
    <row r="21" spans="1:70" x14ac:dyDescent="0.2">
      <c r="A21" s="174">
        <f t="shared" si="0"/>
        <v>37226</v>
      </c>
      <c r="B21" s="127">
        <v>6.4570566026372012E-2</v>
      </c>
      <c r="C21" s="195">
        <f t="shared" ca="1" si="1"/>
        <v>1</v>
      </c>
      <c r="D21" s="186">
        <f t="shared" ca="1" si="6"/>
        <v>36709</v>
      </c>
      <c r="E21" s="17">
        <f t="shared" si="2"/>
        <v>53</v>
      </c>
      <c r="F21" s="17">
        <v>54</v>
      </c>
      <c r="G21" s="17">
        <f t="shared" si="3"/>
        <v>55</v>
      </c>
      <c r="H21" s="183"/>
      <c r="I21" s="17">
        <f t="shared" si="4"/>
        <v>29</v>
      </c>
      <c r="J21" s="17">
        <v>30</v>
      </c>
      <c r="K21" s="17">
        <f t="shared" si="5"/>
        <v>31</v>
      </c>
      <c r="L21" s="172"/>
      <c r="M21" s="173">
        <v>36982</v>
      </c>
      <c r="N21" s="45"/>
      <c r="O21" s="45">
        <f t="shared" si="10"/>
        <v>69.1972864023016</v>
      </c>
      <c r="P21" s="45"/>
      <c r="Q21" s="171"/>
      <c r="R21" s="45"/>
      <c r="S21" s="45">
        <f t="shared" si="11"/>
        <v>65.352992713284834</v>
      </c>
      <c r="T21" s="45"/>
      <c r="U21" s="171"/>
      <c r="V21" s="171"/>
      <c r="W21" s="187" t="s">
        <v>314</v>
      </c>
      <c r="X21" s="199">
        <f t="shared" si="7"/>
        <v>1.004274749437265</v>
      </c>
      <c r="Y21" s="199">
        <f t="shared" si="8"/>
        <v>1.0041332512534653</v>
      </c>
      <c r="Z21" s="199">
        <f t="shared" si="9"/>
        <v>0.98663247127005416</v>
      </c>
      <c r="AA21" s="199"/>
      <c r="AB21" s="189">
        <v>1.0675074662245463</v>
      </c>
      <c r="AC21" s="189">
        <v>0.99971422209420846</v>
      </c>
      <c r="AD21" s="189">
        <v>0.88843721569499268</v>
      </c>
      <c r="AE21" s="189">
        <v>0.84075900531923475</v>
      </c>
      <c r="AF21" s="189">
        <v>0.85378109805291291</v>
      </c>
      <c r="AG21" s="189">
        <v>0.95686880288472698</v>
      </c>
      <c r="AH21" s="189">
        <v>1.1775273375479109</v>
      </c>
      <c r="AI21" s="189">
        <v>0.77442022255761112</v>
      </c>
      <c r="AJ21" s="189">
        <v>0.86812040959107439</v>
      </c>
      <c r="AK21" s="189">
        <v>0.86285806419740463</v>
      </c>
      <c r="AL21" s="189">
        <v>0.90836826090009204</v>
      </c>
      <c r="AM21" s="189">
        <v>0.86298008400924631</v>
      </c>
      <c r="AN21" s="189">
        <v>0.84750664615677573</v>
      </c>
      <c r="AO21" s="189">
        <v>0.83634847647814148</v>
      </c>
      <c r="AP21" s="189">
        <v>0.8153228657028635</v>
      </c>
      <c r="AQ21" s="189">
        <v>0.82062615030868002</v>
      </c>
      <c r="AR21" s="189">
        <v>1.1624089668601787</v>
      </c>
      <c r="AS21" s="189">
        <v>1.622807641398573</v>
      </c>
      <c r="AT21" s="189">
        <v>1.5733659120113348</v>
      </c>
      <c r="AU21" s="189">
        <v>1.1533648770141018</v>
      </c>
      <c r="AV21" s="189">
        <v>1.1380483759925974</v>
      </c>
      <c r="AW21" s="189">
        <v>1.0074641186915407</v>
      </c>
      <c r="AX21" s="189">
        <v>0.81438491912602406</v>
      </c>
      <c r="AY21" s="189">
        <v>1.2484708622091898</v>
      </c>
    </row>
    <row r="22" spans="1:70" x14ac:dyDescent="0.2">
      <c r="A22" s="174">
        <f t="shared" si="0"/>
        <v>37257</v>
      </c>
      <c r="B22" s="127">
        <v>6.4725497743885002E-2</v>
      </c>
      <c r="C22" s="195">
        <f t="shared" ca="1" si="1"/>
        <v>2</v>
      </c>
      <c r="D22" s="186">
        <f t="shared" ca="1" si="6"/>
        <v>36710</v>
      </c>
      <c r="E22" s="17">
        <f t="shared" si="2"/>
        <v>53</v>
      </c>
      <c r="F22" s="17">
        <v>54</v>
      </c>
      <c r="G22" s="17">
        <f t="shared" si="3"/>
        <v>55</v>
      </c>
      <c r="H22" s="183"/>
      <c r="I22" s="17">
        <f t="shared" si="4"/>
        <v>29</v>
      </c>
      <c r="J22" s="17">
        <v>30</v>
      </c>
      <c r="K22" s="17">
        <f t="shared" si="5"/>
        <v>31</v>
      </c>
      <c r="L22" s="172"/>
      <c r="M22" s="173">
        <v>37012</v>
      </c>
      <c r="N22" s="45"/>
      <c r="O22" s="45">
        <f t="shared" si="10"/>
        <v>67.251397891007755</v>
      </c>
      <c r="P22" s="45"/>
      <c r="Q22" s="171"/>
      <c r="R22" s="45"/>
      <c r="S22" s="45">
        <f t="shared" si="11"/>
        <v>63.515209119285096</v>
      </c>
      <c r="T22" s="45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/>
      <c r="AS22"/>
      <c r="AT22"/>
      <c r="AU22"/>
      <c r="AV22"/>
      <c r="AW22"/>
    </row>
    <row r="23" spans="1:70" x14ac:dyDescent="0.2">
      <c r="A23" s="174">
        <f t="shared" si="0"/>
        <v>37288</v>
      </c>
      <c r="B23" s="127">
        <v>6.4880429469354017E-2</v>
      </c>
      <c r="C23" s="195">
        <f t="shared" ca="1" si="1"/>
        <v>3</v>
      </c>
      <c r="D23" s="186">
        <f t="shared" ca="1" si="6"/>
        <v>36711</v>
      </c>
      <c r="E23" s="17">
        <f t="shared" si="2"/>
        <v>53</v>
      </c>
      <c r="F23" s="17">
        <v>54</v>
      </c>
      <c r="G23" s="17">
        <f t="shared" si="3"/>
        <v>55</v>
      </c>
      <c r="H23" s="183"/>
      <c r="I23" s="17">
        <f t="shared" si="4"/>
        <v>29</v>
      </c>
      <c r="J23" s="17">
        <v>30</v>
      </c>
      <c r="K23" s="17">
        <f t="shared" si="5"/>
        <v>31</v>
      </c>
      <c r="L23" s="172"/>
      <c r="M23" s="173">
        <v>37043</v>
      </c>
      <c r="N23" s="45"/>
      <c r="O23" s="45">
        <f t="shared" si="10"/>
        <v>66.701812847864275</v>
      </c>
      <c r="P23" s="45"/>
      <c r="Q23" s="171"/>
      <c r="R23" s="45"/>
      <c r="S23" s="45">
        <f t="shared" si="11"/>
        <v>62.996156578538482</v>
      </c>
      <c r="T23" s="45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/>
      <c r="AS23"/>
      <c r="AT23"/>
      <c r="AU23"/>
      <c r="AV23"/>
      <c r="AW23"/>
    </row>
    <row r="24" spans="1:70" x14ac:dyDescent="0.2">
      <c r="A24" s="174">
        <f t="shared" si="0"/>
        <v>37316</v>
      </c>
      <c r="B24" s="127">
        <v>6.5020367808875004E-2</v>
      </c>
      <c r="C24" s="195">
        <f t="shared" ca="1" si="1"/>
        <v>4</v>
      </c>
      <c r="D24" s="186">
        <f t="shared" ca="1" si="6"/>
        <v>36712</v>
      </c>
      <c r="E24" s="17">
        <f t="shared" si="2"/>
        <v>53</v>
      </c>
      <c r="F24" s="17">
        <v>54</v>
      </c>
      <c r="G24" s="17">
        <f t="shared" si="3"/>
        <v>55</v>
      </c>
      <c r="H24" s="183"/>
      <c r="I24" s="17">
        <f t="shared" si="4"/>
        <v>29</v>
      </c>
      <c r="J24" s="17">
        <v>30</v>
      </c>
      <c r="K24" s="17">
        <f t="shared" si="5"/>
        <v>31</v>
      </c>
      <c r="L24" s="172"/>
      <c r="M24" s="173">
        <v>37073</v>
      </c>
      <c r="N24" s="45"/>
      <c r="O24" s="45">
        <f t="shared" si="10"/>
        <v>66.72822031667404</v>
      </c>
      <c r="P24" s="45"/>
      <c r="Q24" s="171"/>
      <c r="R24" s="45"/>
      <c r="S24" s="45">
        <f t="shared" si="11"/>
        <v>63.021096965747695</v>
      </c>
      <c r="T24" s="45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/>
      <c r="AS24"/>
      <c r="AT24"/>
      <c r="AU24"/>
      <c r="AV24"/>
      <c r="AW24"/>
    </row>
    <row r="25" spans="1:70" x14ac:dyDescent="0.2">
      <c r="A25" s="174">
        <f t="shared" si="0"/>
        <v>37347</v>
      </c>
      <c r="B25" s="127">
        <v>6.5175299549489016E-2</v>
      </c>
      <c r="C25" s="195">
        <f t="shared" ca="1" si="1"/>
        <v>5</v>
      </c>
      <c r="D25" s="186">
        <f t="shared" ca="1" si="6"/>
        <v>36713</v>
      </c>
      <c r="E25" s="17">
        <f t="shared" si="2"/>
        <v>53</v>
      </c>
      <c r="F25" s="17">
        <v>54</v>
      </c>
      <c r="G25" s="17">
        <f t="shared" si="3"/>
        <v>55</v>
      </c>
      <c r="H25" s="183"/>
      <c r="I25" s="17">
        <f t="shared" si="4"/>
        <v>29</v>
      </c>
      <c r="J25" s="17">
        <v>30</v>
      </c>
      <c r="K25" s="17">
        <f t="shared" si="5"/>
        <v>31</v>
      </c>
      <c r="L25" s="172"/>
      <c r="M25" s="173">
        <v>37104</v>
      </c>
      <c r="N25" s="45"/>
      <c r="O25" s="45">
        <f t="shared" si="10"/>
        <v>66.72742639989039</v>
      </c>
      <c r="P25" s="45"/>
      <c r="Q25" s="171"/>
      <c r="R25" s="45"/>
      <c r="S25" s="45">
        <f t="shared" si="11"/>
        <v>63.020347155452029</v>
      </c>
      <c r="T25" s="45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/>
      <c r="AS25"/>
      <c r="AT25"/>
      <c r="AU25"/>
      <c r="AV25"/>
      <c r="AW25"/>
    </row>
    <row r="26" spans="1:70" x14ac:dyDescent="0.2">
      <c r="A26" s="174">
        <f t="shared" si="0"/>
        <v>37377</v>
      </c>
      <c r="B26" s="127">
        <v>6.5325233499592017E-2</v>
      </c>
      <c r="C26" s="195">
        <f t="shared" ca="1" si="1"/>
        <v>6</v>
      </c>
      <c r="D26" s="186">
        <f t="shared" ca="1" si="6"/>
        <v>36714</v>
      </c>
      <c r="E26" s="17">
        <f t="shared" si="2"/>
        <v>53</v>
      </c>
      <c r="F26" s="17">
        <v>54</v>
      </c>
      <c r="G26" s="17">
        <f t="shared" si="3"/>
        <v>55</v>
      </c>
      <c r="H26" s="183"/>
      <c r="I26" s="17">
        <f t="shared" si="4"/>
        <v>29</v>
      </c>
      <c r="J26" s="17">
        <v>30</v>
      </c>
      <c r="K26" s="17">
        <f t="shared" si="5"/>
        <v>31</v>
      </c>
      <c r="L26" s="172"/>
      <c r="M26" s="173">
        <v>37135</v>
      </c>
      <c r="N26" s="45"/>
      <c r="O26" s="45">
        <f t="shared" si="10"/>
        <v>66.703154511752956</v>
      </c>
      <c r="P26" s="45"/>
      <c r="Q26" s="171"/>
      <c r="R26" s="45"/>
      <c r="S26" s="45">
        <f t="shared" si="11"/>
        <v>62.997423705544449</v>
      </c>
      <c r="T26" s="45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O26" s="191"/>
      <c r="AP26" s="191"/>
      <c r="AQ26" s="188"/>
      <c r="AR26"/>
      <c r="AS26"/>
      <c r="AT26"/>
      <c r="AU26"/>
      <c r="AV26"/>
      <c r="AW26"/>
    </row>
    <row r="27" spans="1:70" x14ac:dyDescent="0.2">
      <c r="A27" s="174">
        <f t="shared" si="0"/>
        <v>37408</v>
      </c>
      <c r="B27" s="127">
        <v>6.5392094923135011E-2</v>
      </c>
      <c r="C27" s="195">
        <f t="shared" ca="1" si="1"/>
        <v>7</v>
      </c>
      <c r="D27" s="186">
        <f t="shared" ca="1" si="6"/>
        <v>36715</v>
      </c>
      <c r="E27" s="17">
        <f t="shared" si="2"/>
        <v>53</v>
      </c>
      <c r="F27" s="17">
        <v>54</v>
      </c>
      <c r="G27" s="17">
        <f t="shared" si="3"/>
        <v>55</v>
      </c>
      <c r="H27" s="183"/>
      <c r="I27" s="17">
        <f t="shared" si="4"/>
        <v>29</v>
      </c>
      <c r="J27" s="17">
        <v>30</v>
      </c>
      <c r="K27" s="17">
        <f t="shared" si="5"/>
        <v>31</v>
      </c>
      <c r="L27" s="172"/>
      <c r="M27" s="173">
        <v>37165</v>
      </c>
      <c r="N27" s="45"/>
      <c r="O27" s="45">
        <f t="shared" si="10"/>
        <v>67.10144182434081</v>
      </c>
      <c r="P27" s="45"/>
      <c r="Q27" s="171"/>
      <c r="R27" s="45"/>
      <c r="S27" s="45">
        <f t="shared" si="11"/>
        <v>63.373583945210761</v>
      </c>
      <c r="T27" s="45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O27" s="191"/>
      <c r="AP27" s="191"/>
      <c r="AQ27" s="188"/>
      <c r="AR27"/>
      <c r="AS27"/>
      <c r="AT27"/>
      <c r="AU27"/>
      <c r="AV27"/>
      <c r="AW27"/>
    </row>
    <row r="28" spans="1:70" x14ac:dyDescent="0.2">
      <c r="A28" s="174">
        <f t="shared" si="0"/>
        <v>37438</v>
      </c>
      <c r="B28" s="127">
        <v>6.5402970462245011E-2</v>
      </c>
      <c r="C28" s="195">
        <f t="shared" ca="1" si="1"/>
        <v>1</v>
      </c>
      <c r="D28" s="186">
        <f t="shared" ca="1" si="6"/>
        <v>36716</v>
      </c>
      <c r="E28" s="17">
        <f t="shared" si="2"/>
        <v>53</v>
      </c>
      <c r="F28" s="17">
        <v>54</v>
      </c>
      <c r="G28" s="17">
        <f t="shared" si="3"/>
        <v>55</v>
      </c>
      <c r="H28" s="183"/>
      <c r="I28" s="17">
        <f t="shared" si="4"/>
        <v>25</v>
      </c>
      <c r="J28" s="17">
        <v>26</v>
      </c>
      <c r="K28" s="17">
        <f t="shared" si="5"/>
        <v>27</v>
      </c>
      <c r="L28" s="172"/>
      <c r="M28" s="173">
        <v>37196</v>
      </c>
      <c r="N28" s="45"/>
      <c r="O28" s="45">
        <f t="shared" si="10"/>
        <v>69.594101495030174</v>
      </c>
      <c r="P28" s="45"/>
      <c r="Q28" s="171"/>
      <c r="R28" s="45"/>
      <c r="S28" s="45">
        <f t="shared" si="11"/>
        <v>65.727762523084053</v>
      </c>
      <c r="T28" s="45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O28" s="191"/>
      <c r="AP28" s="191"/>
      <c r="AQ28" s="188"/>
      <c r="AR28"/>
      <c r="AS28"/>
      <c r="AT28"/>
      <c r="AU28"/>
      <c r="AV28"/>
      <c r="AW28"/>
    </row>
    <row r="29" spans="1:70" x14ac:dyDescent="0.2">
      <c r="A29" s="174">
        <f t="shared" si="0"/>
        <v>37469</v>
      </c>
      <c r="B29" s="127">
        <v>6.5414208519367009E-2</v>
      </c>
      <c r="C29" s="195">
        <f t="shared" ca="1" si="1"/>
        <v>2</v>
      </c>
      <c r="D29" s="186">
        <f t="shared" ca="1" si="6"/>
        <v>36717</v>
      </c>
      <c r="E29" s="17">
        <f t="shared" si="2"/>
        <v>53</v>
      </c>
      <c r="F29" s="17">
        <v>54</v>
      </c>
      <c r="G29" s="17">
        <f t="shared" si="3"/>
        <v>55</v>
      </c>
      <c r="H29" s="183"/>
      <c r="I29" s="17">
        <f t="shared" si="4"/>
        <v>25</v>
      </c>
      <c r="J29" s="17">
        <v>26</v>
      </c>
      <c r="K29" s="17">
        <f t="shared" si="5"/>
        <v>27</v>
      </c>
      <c r="L29" s="172"/>
      <c r="M29" s="173">
        <v>37226</v>
      </c>
      <c r="N29" s="45"/>
      <c r="O29" s="45">
        <f t="shared" si="10"/>
        <v>71.510976962679251</v>
      </c>
      <c r="P29" s="45"/>
      <c r="Q29" s="171"/>
      <c r="R29" s="45"/>
      <c r="S29" s="45">
        <f t="shared" si="11"/>
        <v>67.538144909197072</v>
      </c>
      <c r="T29" s="45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O29" s="191"/>
      <c r="AP29" s="191"/>
      <c r="AQ29" s="188"/>
      <c r="AR29"/>
      <c r="AS29"/>
      <c r="AT29"/>
      <c r="AU29"/>
      <c r="AV29"/>
      <c r="AW29"/>
    </row>
    <row r="30" spans="1:70" x14ac:dyDescent="0.2">
      <c r="A30" s="174">
        <f t="shared" si="0"/>
        <v>37500</v>
      </c>
      <c r="B30" s="127">
        <v>6.5425446576530016E-2</v>
      </c>
      <c r="C30" s="195">
        <f t="shared" ca="1" si="1"/>
        <v>3</v>
      </c>
      <c r="D30" s="186">
        <f t="shared" ca="1" si="6"/>
        <v>36718</v>
      </c>
      <c r="E30" s="17">
        <f t="shared" si="2"/>
        <v>53</v>
      </c>
      <c r="F30" s="17">
        <v>54</v>
      </c>
      <c r="G30" s="17">
        <f t="shared" si="3"/>
        <v>55</v>
      </c>
      <c r="H30" s="183"/>
      <c r="I30" s="17">
        <f t="shared" si="4"/>
        <v>25</v>
      </c>
      <c r="J30" s="17">
        <v>26</v>
      </c>
      <c r="K30" s="17">
        <f t="shared" si="5"/>
        <v>27</v>
      </c>
      <c r="L30" s="172"/>
      <c r="M30" s="173"/>
      <c r="N30" s="45"/>
      <c r="O30" s="45"/>
      <c r="P30" s="45"/>
      <c r="Q30" s="171"/>
      <c r="R30" s="45"/>
      <c r="S30" s="45"/>
      <c r="T30" s="45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O30" s="191"/>
      <c r="AP30" s="191"/>
      <c r="AQ30" s="188"/>
      <c r="AR30"/>
      <c r="AS30"/>
      <c r="AT30"/>
      <c r="AU30"/>
      <c r="AV30"/>
      <c r="AW30"/>
    </row>
    <row r="31" spans="1:70" x14ac:dyDescent="0.2">
      <c r="A31" s="174">
        <f t="shared" si="0"/>
        <v>37530</v>
      </c>
      <c r="B31" s="127">
        <v>6.5436322115760018E-2</v>
      </c>
      <c r="C31" s="195">
        <f t="shared" ca="1" si="1"/>
        <v>4</v>
      </c>
      <c r="D31" s="186">
        <f t="shared" ca="1" si="6"/>
        <v>36719</v>
      </c>
      <c r="E31" s="17">
        <f t="shared" si="2"/>
        <v>53</v>
      </c>
      <c r="F31" s="17">
        <v>54</v>
      </c>
      <c r="G31" s="17">
        <f t="shared" si="3"/>
        <v>55</v>
      </c>
      <c r="H31" s="183"/>
      <c r="I31" s="17">
        <f t="shared" si="4"/>
        <v>25</v>
      </c>
      <c r="J31" s="17">
        <v>26</v>
      </c>
      <c r="K31" s="17">
        <f t="shared" si="5"/>
        <v>27</v>
      </c>
      <c r="L31" s="172"/>
      <c r="M31" s="173"/>
      <c r="N31" s="45"/>
      <c r="O31" s="45"/>
      <c r="P31" s="45"/>
      <c r="Q31" s="171"/>
      <c r="R31" s="45"/>
      <c r="S31" s="45"/>
      <c r="T31" s="45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O31" s="191"/>
      <c r="AP31" s="191"/>
      <c r="AQ31" s="188"/>
      <c r="AR31"/>
      <c r="AS31"/>
      <c r="AT31"/>
      <c r="AU31"/>
      <c r="AV31"/>
      <c r="AW31"/>
    </row>
    <row r="32" spans="1:70" x14ac:dyDescent="0.2">
      <c r="A32" s="174">
        <f t="shared" si="0"/>
        <v>37561</v>
      </c>
      <c r="B32" s="127">
        <v>6.5447560173005029E-2</v>
      </c>
      <c r="C32" s="195">
        <f t="shared" ca="1" si="1"/>
        <v>5</v>
      </c>
      <c r="D32" s="186">
        <f t="shared" ca="1" si="6"/>
        <v>36720</v>
      </c>
      <c r="E32" s="17">
        <f t="shared" si="2"/>
        <v>53</v>
      </c>
      <c r="F32" s="17">
        <v>54</v>
      </c>
      <c r="G32" s="17">
        <f t="shared" si="3"/>
        <v>55</v>
      </c>
      <c r="H32" s="183"/>
      <c r="I32" s="17">
        <f t="shared" si="4"/>
        <v>25</v>
      </c>
      <c r="J32" s="17">
        <v>26</v>
      </c>
      <c r="K32" s="17">
        <f t="shared" si="5"/>
        <v>27</v>
      </c>
      <c r="L32" s="172"/>
      <c r="M32" s="173"/>
      <c r="N32" s="45"/>
      <c r="O32" s="45"/>
      <c r="P32" s="45"/>
      <c r="Q32" s="171"/>
      <c r="R32" s="45"/>
      <c r="S32" s="45"/>
      <c r="T32" s="45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O32" s="191"/>
      <c r="AP32" s="191"/>
      <c r="AQ32" s="188"/>
      <c r="AR32"/>
      <c r="AS32"/>
      <c r="AT32"/>
      <c r="AU32"/>
      <c r="AV32"/>
      <c r="AW32"/>
    </row>
    <row r="33" spans="1:53" x14ac:dyDescent="0.2">
      <c r="A33" s="174">
        <f t="shared" si="0"/>
        <v>37591</v>
      </c>
      <c r="B33" s="127">
        <v>6.5458435712315008E-2</v>
      </c>
      <c r="C33" s="195">
        <f t="shared" ca="1" si="1"/>
        <v>6</v>
      </c>
      <c r="D33" s="186">
        <f t="shared" ca="1" si="6"/>
        <v>36721</v>
      </c>
      <c r="E33" s="17">
        <f t="shared" si="2"/>
        <v>53</v>
      </c>
      <c r="F33" s="17">
        <v>54</v>
      </c>
      <c r="G33" s="17">
        <f t="shared" si="3"/>
        <v>55</v>
      </c>
      <c r="H33" s="183"/>
      <c r="I33" s="17">
        <f t="shared" si="4"/>
        <v>25</v>
      </c>
      <c r="J33" s="17">
        <v>26</v>
      </c>
      <c r="K33" s="17">
        <f t="shared" si="5"/>
        <v>27</v>
      </c>
      <c r="L33" s="172"/>
      <c r="M33" s="173"/>
      <c r="N33" s="45"/>
      <c r="O33" s="45"/>
      <c r="P33" s="45"/>
      <c r="Q33" s="171"/>
      <c r="R33" s="45"/>
      <c r="S33" s="45"/>
      <c r="T33" s="45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O33" s="191"/>
      <c r="AP33" s="191"/>
      <c r="AQ33" s="188"/>
      <c r="AR33"/>
      <c r="AS33"/>
      <c r="AT33"/>
      <c r="AU33"/>
      <c r="AV33"/>
      <c r="AW33"/>
    </row>
    <row r="34" spans="1:53" x14ac:dyDescent="0.2">
      <c r="A34" s="174">
        <f t="shared" si="0"/>
        <v>37622</v>
      </c>
      <c r="B34" s="127">
        <v>6.5469673769643008E-2</v>
      </c>
      <c r="C34" s="195">
        <f t="shared" ca="1" si="1"/>
        <v>7</v>
      </c>
      <c r="D34" s="186">
        <f t="shared" ca="1" si="6"/>
        <v>36722</v>
      </c>
      <c r="E34" s="17">
        <f t="shared" si="2"/>
        <v>53</v>
      </c>
      <c r="F34" s="17">
        <v>54</v>
      </c>
      <c r="G34" s="17">
        <f t="shared" si="3"/>
        <v>55</v>
      </c>
      <c r="H34" s="183"/>
      <c r="I34" s="17">
        <f t="shared" si="4"/>
        <v>25</v>
      </c>
      <c r="J34" s="17">
        <v>26</v>
      </c>
      <c r="K34" s="17">
        <f t="shared" si="5"/>
        <v>27</v>
      </c>
      <c r="L34" s="172"/>
      <c r="M34" s="173"/>
      <c r="N34" s="45"/>
      <c r="O34" s="45"/>
      <c r="P34" s="45"/>
      <c r="Q34" s="171"/>
      <c r="R34" s="45"/>
      <c r="S34" s="45"/>
      <c r="T34" s="45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O34" s="191"/>
      <c r="AP34" s="191"/>
      <c r="AQ34" s="188"/>
      <c r="AR34"/>
      <c r="AS34"/>
      <c r="AT34"/>
      <c r="AU34"/>
      <c r="AV34"/>
      <c r="AW34"/>
    </row>
    <row r="35" spans="1:53" x14ac:dyDescent="0.2">
      <c r="A35" s="174">
        <f t="shared" si="0"/>
        <v>37653</v>
      </c>
      <c r="B35" s="127">
        <v>6.5480911827013016E-2</v>
      </c>
      <c r="C35" s="195">
        <f t="shared" ca="1" si="1"/>
        <v>1</v>
      </c>
      <c r="D35" s="186">
        <f t="shared" ca="1" si="6"/>
        <v>36723</v>
      </c>
      <c r="E35" s="17">
        <f t="shared" si="2"/>
        <v>53</v>
      </c>
      <c r="F35" s="17">
        <v>54</v>
      </c>
      <c r="G35" s="17">
        <f t="shared" si="3"/>
        <v>55</v>
      </c>
      <c r="H35" s="183"/>
      <c r="I35" s="17">
        <f t="shared" si="4"/>
        <v>25</v>
      </c>
      <c r="J35" s="17">
        <v>26</v>
      </c>
      <c r="K35" s="17">
        <f t="shared" si="5"/>
        <v>27</v>
      </c>
      <c r="L35" s="172"/>
      <c r="M35" s="173"/>
      <c r="N35" s="45"/>
      <c r="O35" s="45"/>
      <c r="P35" s="45"/>
      <c r="Q35" s="171"/>
      <c r="R35" s="45"/>
      <c r="S35" s="45"/>
      <c r="T35" s="45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O35" s="191"/>
      <c r="AP35" s="191"/>
      <c r="AQ35" s="188"/>
      <c r="AR35"/>
      <c r="AS35"/>
      <c r="AT35"/>
      <c r="AU35"/>
      <c r="AV35"/>
      <c r="AW35"/>
    </row>
    <row r="36" spans="1:53" x14ac:dyDescent="0.2">
      <c r="A36" s="174">
        <f t="shared" si="0"/>
        <v>37681</v>
      </c>
      <c r="B36" s="127">
        <v>6.549106233048102E-2</v>
      </c>
      <c r="C36" s="195">
        <f t="shared" ca="1" si="1"/>
        <v>2</v>
      </c>
      <c r="D36" s="186">
        <f t="shared" ca="1" si="6"/>
        <v>36724</v>
      </c>
      <c r="E36" s="17">
        <f t="shared" si="2"/>
        <v>53</v>
      </c>
      <c r="F36" s="17">
        <v>54</v>
      </c>
      <c r="G36" s="17">
        <f t="shared" si="3"/>
        <v>55</v>
      </c>
      <c r="H36" s="183"/>
      <c r="I36" s="17">
        <f t="shared" si="4"/>
        <v>25</v>
      </c>
      <c r="J36" s="17">
        <v>26</v>
      </c>
      <c r="K36" s="17">
        <f t="shared" si="5"/>
        <v>27</v>
      </c>
      <c r="L36" s="172"/>
      <c r="M36" s="173"/>
      <c r="N36" s="45"/>
      <c r="O36" s="45"/>
      <c r="P36" s="45"/>
      <c r="Q36" s="171"/>
      <c r="R36" s="45"/>
      <c r="S36" s="45"/>
      <c r="T36" s="45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</row>
    <row r="37" spans="1:53" x14ac:dyDescent="0.2">
      <c r="A37" s="174">
        <f t="shared" si="0"/>
        <v>37712</v>
      </c>
      <c r="B37" s="127">
        <v>6.5502300387930007E-2</v>
      </c>
      <c r="C37" s="195">
        <f t="shared" ca="1" si="1"/>
        <v>3</v>
      </c>
      <c r="D37" s="186">
        <f t="shared" ca="1" si="6"/>
        <v>36725</v>
      </c>
      <c r="E37" s="17">
        <f t="shared" si="2"/>
        <v>53</v>
      </c>
      <c r="F37" s="17">
        <v>54</v>
      </c>
      <c r="G37" s="17">
        <f t="shared" si="3"/>
        <v>55</v>
      </c>
      <c r="H37" s="183"/>
      <c r="I37" s="17">
        <f t="shared" si="4"/>
        <v>25</v>
      </c>
      <c r="J37" s="17">
        <v>26</v>
      </c>
      <c r="K37" s="17">
        <f t="shared" si="5"/>
        <v>27</v>
      </c>
      <c r="L37" s="172"/>
      <c r="M37" s="173"/>
      <c r="N37" s="45"/>
      <c r="O37" s="45"/>
      <c r="P37" s="45"/>
      <c r="Q37" s="171"/>
      <c r="R37" s="45"/>
      <c r="S37" s="45"/>
      <c r="T37" s="45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BA37" s="196"/>
    </row>
    <row r="38" spans="1:53" x14ac:dyDescent="0.2">
      <c r="A38" s="174">
        <f t="shared" si="0"/>
        <v>37742</v>
      </c>
      <c r="B38" s="127">
        <v>6.5513175927437009E-2</v>
      </c>
      <c r="C38" s="195">
        <f t="shared" ca="1" si="1"/>
        <v>4</v>
      </c>
      <c r="D38" s="186">
        <f t="shared" ca="1" si="6"/>
        <v>36726</v>
      </c>
      <c r="E38" s="17">
        <f t="shared" si="2"/>
        <v>53</v>
      </c>
      <c r="F38" s="17">
        <v>54</v>
      </c>
      <c r="G38" s="17">
        <f t="shared" si="3"/>
        <v>55</v>
      </c>
      <c r="H38" s="183"/>
      <c r="I38" s="17">
        <f t="shared" si="4"/>
        <v>25</v>
      </c>
      <c r="J38" s="17">
        <v>26</v>
      </c>
      <c r="K38" s="17">
        <f t="shared" si="5"/>
        <v>27</v>
      </c>
      <c r="L38" s="172"/>
      <c r="M38" s="173"/>
      <c r="N38" s="45"/>
      <c r="O38" s="45"/>
      <c r="P38" s="45"/>
      <c r="Q38" s="171"/>
      <c r="R38" s="45"/>
      <c r="S38" s="45"/>
      <c r="T38" s="45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</row>
    <row r="39" spans="1:53" x14ac:dyDescent="0.2">
      <c r="A39" s="174">
        <f t="shared" si="0"/>
        <v>37773</v>
      </c>
      <c r="B39" s="127">
        <v>6.5542399514821006E-2</v>
      </c>
      <c r="C39" s="195">
        <f t="shared" ca="1" si="1"/>
        <v>5</v>
      </c>
      <c r="D39" s="186">
        <f t="shared" ca="1" si="6"/>
        <v>36727</v>
      </c>
      <c r="E39" s="17">
        <f t="shared" si="2"/>
        <v>53</v>
      </c>
      <c r="F39" s="17">
        <v>54</v>
      </c>
      <c r="G39" s="17">
        <f t="shared" si="3"/>
        <v>55</v>
      </c>
      <c r="H39" s="183"/>
      <c r="I39" s="17">
        <f t="shared" si="4"/>
        <v>25</v>
      </c>
      <c r="J39" s="17">
        <v>26</v>
      </c>
      <c r="K39" s="17">
        <f t="shared" si="5"/>
        <v>27</v>
      </c>
      <c r="L39" s="172"/>
      <c r="M39" s="173"/>
      <c r="N39" s="45"/>
      <c r="O39" s="45"/>
      <c r="P39" s="45"/>
      <c r="Q39" s="171"/>
      <c r="R39" s="45"/>
      <c r="S39" s="45"/>
      <c r="T39" s="45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</row>
    <row r="40" spans="1:53" x14ac:dyDescent="0.2">
      <c r="A40" s="174">
        <f t="shared" si="0"/>
        <v>37803</v>
      </c>
      <c r="B40" s="127">
        <v>6.5580253349549006E-2</v>
      </c>
      <c r="C40" s="190"/>
      <c r="D40" s="194">
        <v>36707</v>
      </c>
      <c r="E40" s="17">
        <f t="shared" si="2"/>
        <v>57.75</v>
      </c>
      <c r="F40" s="204">
        <v>58.75</v>
      </c>
      <c r="G40" s="17">
        <f t="shared" si="3"/>
        <v>59.75</v>
      </c>
      <c r="H40" s="183"/>
      <c r="I40" s="17">
        <f t="shared" si="4"/>
        <v>34</v>
      </c>
      <c r="J40" s="61">
        <v>35</v>
      </c>
      <c r="K40" s="17">
        <f t="shared" si="5"/>
        <v>36</v>
      </c>
      <c r="L40" s="172"/>
      <c r="M40" s="173"/>
      <c r="N40" s="45"/>
      <c r="O40" s="45"/>
      <c r="P40" s="45"/>
      <c r="Q40" s="171"/>
      <c r="R40" s="45"/>
      <c r="S40" s="45"/>
      <c r="T40" s="45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</row>
    <row r="41" spans="1:53" x14ac:dyDescent="0.2">
      <c r="A41" s="174">
        <f t="shared" si="0"/>
        <v>37834</v>
      </c>
      <c r="B41" s="127">
        <v>6.5619368979266013E-2</v>
      </c>
      <c r="C41" s="190"/>
      <c r="D41" s="194">
        <v>36737</v>
      </c>
      <c r="E41" s="17">
        <f t="shared" si="2"/>
        <v>58.5</v>
      </c>
      <c r="F41" s="204">
        <v>59.5</v>
      </c>
      <c r="G41" s="17">
        <f t="shared" si="3"/>
        <v>60.5</v>
      </c>
      <c r="H41" s="183"/>
      <c r="I41" s="17">
        <f t="shared" si="4"/>
        <v>34</v>
      </c>
      <c r="J41" s="61">
        <v>35</v>
      </c>
      <c r="K41" s="17">
        <f t="shared" si="5"/>
        <v>36</v>
      </c>
      <c r="L41" s="172"/>
      <c r="M41" s="173"/>
      <c r="N41" s="45"/>
      <c r="O41" s="45"/>
      <c r="P41" s="45"/>
      <c r="Q41" s="171"/>
      <c r="R41" s="45"/>
      <c r="S41" s="45"/>
      <c r="T41" s="45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</row>
    <row r="42" spans="1:53" x14ac:dyDescent="0.2">
      <c r="A42" s="174">
        <f t="shared" si="0"/>
        <v>37865</v>
      </c>
      <c r="B42" s="127">
        <v>6.5658484609492002E-2</v>
      </c>
      <c r="C42" s="190"/>
      <c r="D42" s="194">
        <v>36768</v>
      </c>
      <c r="E42" s="17">
        <f t="shared" si="2"/>
        <v>65</v>
      </c>
      <c r="F42" s="204">
        <v>66</v>
      </c>
      <c r="G42" s="17">
        <f t="shared" si="3"/>
        <v>67</v>
      </c>
      <c r="H42" s="183"/>
      <c r="I42" s="17">
        <f t="shared" si="4"/>
        <v>31</v>
      </c>
      <c r="J42" s="61">
        <v>32</v>
      </c>
      <c r="K42" s="17">
        <f t="shared" si="5"/>
        <v>33</v>
      </c>
      <c r="L42" s="172"/>
      <c r="M42" s="173"/>
      <c r="N42" s="45"/>
      <c r="O42" s="45"/>
      <c r="P42" s="45"/>
      <c r="Q42" s="171"/>
      <c r="R42" s="45"/>
      <c r="S42" s="45"/>
      <c r="T42" s="45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</row>
    <row r="43" spans="1:53" x14ac:dyDescent="0.2">
      <c r="A43" s="174">
        <f t="shared" si="0"/>
        <v>37895</v>
      </c>
      <c r="B43" s="127">
        <v>6.5696338445676017E-2</v>
      </c>
      <c r="C43" s="190"/>
      <c r="D43" s="194">
        <v>36799</v>
      </c>
      <c r="E43" s="17">
        <f t="shared" si="2"/>
        <v>64</v>
      </c>
      <c r="F43" s="204">
        <v>65</v>
      </c>
      <c r="G43" s="17">
        <f t="shared" si="3"/>
        <v>66</v>
      </c>
      <c r="H43" s="183"/>
      <c r="I43" s="17">
        <f t="shared" si="4"/>
        <v>31</v>
      </c>
      <c r="J43" s="61">
        <v>32</v>
      </c>
      <c r="K43" s="17">
        <f t="shared" si="5"/>
        <v>33</v>
      </c>
      <c r="L43" s="172"/>
      <c r="M43" s="173"/>
      <c r="N43" s="45"/>
      <c r="O43" s="45"/>
      <c r="P43" s="45"/>
      <c r="Q43" s="171"/>
      <c r="R43" s="45"/>
      <c r="S43" s="45"/>
      <c r="T43" s="45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</row>
    <row r="44" spans="1:53" x14ac:dyDescent="0.2">
      <c r="A44" s="174">
        <f t="shared" si="0"/>
        <v>37926</v>
      </c>
      <c r="B44" s="127">
        <v>6.5735454076899E-2</v>
      </c>
      <c r="C44" s="190"/>
      <c r="D44" s="194">
        <v>36829</v>
      </c>
      <c r="E44" s="17">
        <f t="shared" si="2"/>
        <v>73</v>
      </c>
      <c r="F44" s="204">
        <v>74</v>
      </c>
      <c r="G44" s="17">
        <f t="shared" si="3"/>
        <v>75</v>
      </c>
      <c r="H44" s="183"/>
      <c r="I44" s="17">
        <f t="shared" si="4"/>
        <v>32</v>
      </c>
      <c r="J44" s="61">
        <v>33</v>
      </c>
      <c r="K44" s="17">
        <f t="shared" si="5"/>
        <v>34</v>
      </c>
      <c r="L44" s="172"/>
      <c r="M44" s="173"/>
      <c r="N44" s="45"/>
      <c r="O44" s="45"/>
      <c r="P44" s="45"/>
      <c r="Q44" s="171"/>
      <c r="R44" s="45"/>
      <c r="S44" s="45"/>
      <c r="T44" s="45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</row>
    <row r="45" spans="1:53" x14ac:dyDescent="0.2">
      <c r="A45" s="174">
        <f t="shared" si="0"/>
        <v>37956</v>
      </c>
      <c r="B45" s="127">
        <v>6.5773307914047993E-2</v>
      </c>
      <c r="C45" s="190"/>
      <c r="D45" s="194">
        <v>36860</v>
      </c>
      <c r="E45" s="17">
        <f t="shared" si="2"/>
        <v>56.5</v>
      </c>
      <c r="F45" s="204">
        <v>57.5</v>
      </c>
      <c r="G45" s="17">
        <f t="shared" si="3"/>
        <v>58.5</v>
      </c>
      <c r="H45" s="183"/>
      <c r="I45" s="17">
        <f t="shared" si="4"/>
        <v>27.75</v>
      </c>
      <c r="J45" s="61">
        <v>28.75</v>
      </c>
      <c r="K45" s="17">
        <f t="shared" si="5"/>
        <v>29.75</v>
      </c>
      <c r="L45" s="172"/>
      <c r="M45" s="173"/>
      <c r="N45" s="45"/>
      <c r="O45" s="45"/>
      <c r="P45" s="45"/>
      <c r="Q45" s="171"/>
      <c r="R45" s="45"/>
      <c r="S45" s="45"/>
      <c r="T45" s="45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1"/>
      <c r="AJ45" s="171"/>
      <c r="AK45" s="171"/>
      <c r="AL45" s="171"/>
      <c r="AM45" s="171"/>
    </row>
    <row r="46" spans="1:53" x14ac:dyDescent="0.2">
      <c r="A46" s="174">
        <f t="shared" si="0"/>
        <v>37987</v>
      </c>
      <c r="B46" s="127">
        <v>6.5812423546267998E-2</v>
      </c>
      <c r="C46" s="192"/>
      <c r="D46" s="194">
        <v>36890</v>
      </c>
      <c r="E46" s="17">
        <f t="shared" si="2"/>
        <v>59.75</v>
      </c>
      <c r="F46" s="204">
        <v>60.75</v>
      </c>
      <c r="G46" s="17">
        <f t="shared" si="3"/>
        <v>61.75</v>
      </c>
      <c r="H46" s="183"/>
      <c r="I46" s="17">
        <f t="shared" si="4"/>
        <v>27.75</v>
      </c>
      <c r="J46" s="61">
        <v>28.75</v>
      </c>
      <c r="K46" s="17">
        <f t="shared" si="5"/>
        <v>29.75</v>
      </c>
      <c r="L46" s="172"/>
      <c r="M46" s="173"/>
      <c r="N46" s="45"/>
      <c r="O46" s="45"/>
      <c r="P46" s="45"/>
      <c r="Q46" s="171"/>
      <c r="R46" s="45"/>
      <c r="S46" s="45"/>
      <c r="T46" s="45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  <c r="AJ46" s="171"/>
      <c r="AK46" s="171"/>
      <c r="AL46" s="171"/>
      <c r="AM46" s="171"/>
    </row>
    <row r="47" spans="1:53" x14ac:dyDescent="0.2">
      <c r="B47" s="127"/>
      <c r="C47" s="164"/>
      <c r="D47" s="194">
        <v>36921</v>
      </c>
      <c r="E47" s="171"/>
      <c r="F47" s="204">
        <v>92.356290131675621</v>
      </c>
      <c r="G47" s="171"/>
      <c r="H47" s="171"/>
      <c r="I47" s="171"/>
      <c r="J47" s="61">
        <v>33</v>
      </c>
      <c r="K47" s="171"/>
      <c r="L47" s="171"/>
      <c r="M47" s="173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</row>
    <row r="48" spans="1:53" x14ac:dyDescent="0.2">
      <c r="B48" s="127"/>
      <c r="C48" s="164"/>
      <c r="D48" s="194">
        <v>36950</v>
      </c>
      <c r="E48" s="171"/>
      <c r="F48" s="204">
        <v>87.526645319728701</v>
      </c>
      <c r="G48" s="171"/>
      <c r="H48" s="171"/>
      <c r="I48" s="171"/>
      <c r="J48" s="61">
        <v>30</v>
      </c>
      <c r="K48" s="171"/>
      <c r="L48" s="171"/>
      <c r="M48" s="173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</row>
    <row r="49" spans="2:49" x14ac:dyDescent="0.2">
      <c r="B49" s="127"/>
      <c r="C49" s="164"/>
      <c r="D49" s="194">
        <v>36980</v>
      </c>
      <c r="E49" s="171"/>
      <c r="F49" s="204">
        <v>82.489032106523752</v>
      </c>
      <c r="G49" s="171"/>
      <c r="H49" s="171"/>
      <c r="I49" s="171"/>
      <c r="J49" s="61">
        <v>31</v>
      </c>
      <c r="K49" s="171"/>
      <c r="L49" s="171"/>
      <c r="M49" s="173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R49"/>
      <c r="AS49"/>
      <c r="AT49"/>
      <c r="AU49"/>
      <c r="AV49"/>
      <c r="AW49" s="89"/>
    </row>
    <row r="50" spans="2:49" x14ac:dyDescent="0.2">
      <c r="B50" s="127"/>
      <c r="C50" s="164"/>
      <c r="D50" s="194">
        <v>37011</v>
      </c>
      <c r="E50" s="171"/>
      <c r="F50" s="204">
        <v>76.885873780335103</v>
      </c>
      <c r="G50" s="171"/>
      <c r="H50" s="171"/>
      <c r="I50" s="171"/>
      <c r="J50" s="61">
        <v>29.5</v>
      </c>
      <c r="K50" s="171"/>
      <c r="L50" s="171"/>
      <c r="M50" s="173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R50"/>
      <c r="AS50"/>
      <c r="AT50"/>
      <c r="AU50"/>
      <c r="AV50"/>
      <c r="AW50" s="89"/>
    </row>
    <row r="51" spans="2:49" x14ac:dyDescent="0.2">
      <c r="B51" s="127"/>
      <c r="C51" s="164"/>
      <c r="D51" s="194">
        <v>37041</v>
      </c>
      <c r="E51" s="171"/>
      <c r="F51" s="204">
        <v>74.72377543445306</v>
      </c>
      <c r="G51" s="171"/>
      <c r="H51" s="171"/>
      <c r="I51" s="171"/>
      <c r="J51" s="61">
        <v>32</v>
      </c>
      <c r="K51" s="171"/>
      <c r="L51" s="171"/>
      <c r="M51" s="173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R51"/>
      <c r="AS51"/>
      <c r="AT51"/>
      <c r="AU51"/>
      <c r="AV51"/>
      <c r="AW51" s="89"/>
    </row>
    <row r="52" spans="2:49" x14ac:dyDescent="0.2">
      <c r="B52" s="127"/>
      <c r="C52" s="164"/>
      <c r="D52" s="194">
        <v>37072</v>
      </c>
      <c r="E52" s="171"/>
      <c r="F52" s="204">
        <v>74.113125386515861</v>
      </c>
      <c r="G52" s="171"/>
      <c r="H52" s="171"/>
      <c r="I52" s="171"/>
      <c r="J52" s="61">
        <v>32</v>
      </c>
      <c r="K52" s="171"/>
      <c r="L52" s="171"/>
      <c r="M52" s="173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R52"/>
      <c r="AS52"/>
      <c r="AT52"/>
      <c r="AU52"/>
      <c r="AV52"/>
      <c r="AW52" s="89"/>
    </row>
    <row r="53" spans="2:49" x14ac:dyDescent="0.2">
      <c r="B53" s="127"/>
      <c r="C53" s="164"/>
      <c r="D53" s="194">
        <v>37102</v>
      </c>
      <c r="E53" s="171"/>
      <c r="F53" s="204">
        <v>74.142467018526702</v>
      </c>
      <c r="G53" s="171"/>
      <c r="H53" s="171"/>
      <c r="I53" s="171"/>
      <c r="J53" s="61">
        <v>30</v>
      </c>
      <c r="K53" s="171"/>
      <c r="L53" s="171"/>
      <c r="M53" s="173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  <c r="AA53" s="171"/>
      <c r="AB53" s="171"/>
      <c r="AC53" s="171"/>
      <c r="AD53" s="171"/>
      <c r="AE53" s="171"/>
      <c r="AF53" s="171"/>
      <c r="AG53" s="171"/>
      <c r="AH53" s="171"/>
      <c r="AI53" s="171"/>
      <c r="AJ53" s="171"/>
      <c r="AK53" s="171"/>
      <c r="AL53" s="171"/>
      <c r="AM53" s="171"/>
      <c r="AR53"/>
      <c r="AS53"/>
      <c r="AT53"/>
      <c r="AU53"/>
      <c r="AV53"/>
      <c r="AW53" s="89"/>
    </row>
    <row r="54" spans="2:49" x14ac:dyDescent="0.2">
      <c r="B54" s="127"/>
      <c r="C54" s="164"/>
      <c r="D54" s="194">
        <v>37133</v>
      </c>
      <c r="E54" s="171"/>
      <c r="F54" s="204">
        <v>74.141584888767099</v>
      </c>
      <c r="G54" s="171"/>
      <c r="H54" s="171"/>
      <c r="I54" s="171"/>
      <c r="J54" s="61">
        <v>30</v>
      </c>
      <c r="K54" s="171"/>
      <c r="L54" s="171"/>
      <c r="M54" s="173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  <c r="AM54" s="171"/>
      <c r="AR54"/>
      <c r="AS54"/>
      <c r="AT54"/>
      <c r="AU54"/>
      <c r="AV54"/>
      <c r="AW54" s="89"/>
    </row>
    <row r="55" spans="2:49" x14ac:dyDescent="0.2">
      <c r="B55" s="127"/>
      <c r="C55" s="164"/>
      <c r="D55" s="194">
        <v>37164</v>
      </c>
      <c r="E55" s="171"/>
      <c r="F55" s="204">
        <v>74.114616124169942</v>
      </c>
      <c r="G55" s="171"/>
      <c r="H55" s="171"/>
      <c r="I55" s="171"/>
      <c r="J55" s="61">
        <v>30</v>
      </c>
      <c r="K55" s="171"/>
      <c r="L55" s="171"/>
      <c r="M55" s="173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R55"/>
      <c r="AS55"/>
      <c r="AT55"/>
      <c r="AU55"/>
      <c r="AV55"/>
      <c r="AW55" s="89"/>
    </row>
    <row r="56" spans="2:49" x14ac:dyDescent="0.2">
      <c r="B56" s="127"/>
      <c r="C56" s="164"/>
      <c r="D56" s="194">
        <v>37194</v>
      </c>
      <c r="E56" s="171"/>
      <c r="F56" s="204">
        <v>74.557157582600894</v>
      </c>
      <c r="G56" s="171"/>
      <c r="H56" s="171"/>
      <c r="I56" s="171"/>
      <c r="J56" s="61">
        <v>30</v>
      </c>
      <c r="K56" s="171"/>
      <c r="L56" s="171"/>
      <c r="M56" s="173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  <c r="AA56" s="171"/>
      <c r="AB56" s="171"/>
      <c r="AC56" s="171"/>
      <c r="AD56" s="171"/>
      <c r="AE56" s="171"/>
      <c r="AF56" s="171"/>
      <c r="AG56" s="171"/>
      <c r="AH56" s="171"/>
      <c r="AI56" s="171"/>
      <c r="AJ56" s="171"/>
      <c r="AK56" s="171"/>
      <c r="AL56" s="171"/>
      <c r="AM56" s="171"/>
      <c r="AR56"/>
      <c r="AS56"/>
      <c r="AT56"/>
      <c r="AU56"/>
      <c r="AV56"/>
      <c r="AW56" s="89"/>
    </row>
    <row r="57" spans="2:49" x14ac:dyDescent="0.2">
      <c r="B57" s="127"/>
      <c r="C57" s="164"/>
      <c r="D57" s="194">
        <v>37225</v>
      </c>
      <c r="E57" s="171"/>
      <c r="F57" s="204">
        <v>77.326779438922415</v>
      </c>
      <c r="G57" s="171"/>
      <c r="H57" s="171"/>
      <c r="I57" s="171"/>
      <c r="J57" s="61">
        <v>33</v>
      </c>
      <c r="K57" s="171"/>
      <c r="L57" s="171"/>
      <c r="M57" s="173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R57"/>
      <c r="AS57"/>
      <c r="AT57"/>
      <c r="AU57"/>
      <c r="AV57"/>
      <c r="AW57" s="89"/>
    </row>
    <row r="58" spans="2:49" x14ac:dyDescent="0.2">
      <c r="B58" s="127"/>
      <c r="C58" s="164"/>
      <c r="D58" s="194">
        <v>37255</v>
      </c>
      <c r="E58" s="171"/>
      <c r="F58" s="204">
        <v>79.456641069643609</v>
      </c>
      <c r="G58" s="171"/>
      <c r="H58" s="171"/>
      <c r="I58" s="171"/>
      <c r="J58" s="61">
        <v>33</v>
      </c>
      <c r="K58" s="171"/>
      <c r="L58" s="171"/>
      <c r="M58" s="173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R58"/>
      <c r="AS58"/>
      <c r="AT58"/>
      <c r="AU58"/>
      <c r="AV58"/>
      <c r="AW58" s="89"/>
    </row>
    <row r="59" spans="2:49" x14ac:dyDescent="0.2">
      <c r="B59" s="127"/>
      <c r="C59" s="164"/>
      <c r="D59" s="171"/>
      <c r="E59" s="171"/>
      <c r="F59" s="171"/>
      <c r="G59" s="171"/>
      <c r="H59" s="171"/>
      <c r="I59" s="171"/>
      <c r="J59" s="171"/>
      <c r="K59" s="171"/>
      <c r="L59" s="171"/>
      <c r="M59" s="173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R59"/>
      <c r="AS59"/>
      <c r="AT59"/>
      <c r="AU59"/>
      <c r="AV59"/>
      <c r="AW59" s="89"/>
    </row>
    <row r="60" spans="2:49" x14ac:dyDescent="0.2">
      <c r="B60" s="127"/>
      <c r="C60" s="164"/>
      <c r="D60" s="171"/>
      <c r="E60" s="171"/>
      <c r="F60" s="171"/>
      <c r="G60" s="171"/>
      <c r="H60" s="171"/>
      <c r="I60" s="171"/>
      <c r="J60" s="171"/>
      <c r="K60" s="171"/>
      <c r="L60" s="171"/>
      <c r="M60" s="173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R60"/>
      <c r="AS60"/>
      <c r="AT60"/>
      <c r="AU60"/>
      <c r="AV60"/>
      <c r="AW60" s="89"/>
    </row>
    <row r="61" spans="2:49" x14ac:dyDescent="0.2">
      <c r="B61" s="127"/>
      <c r="C61" s="164"/>
      <c r="D61" s="171"/>
      <c r="E61" s="171"/>
      <c r="F61" s="171"/>
      <c r="G61" s="171"/>
      <c r="H61" s="171"/>
      <c r="I61" s="171"/>
      <c r="J61" s="171"/>
      <c r="K61" s="171"/>
      <c r="L61" s="171"/>
      <c r="M61" s="173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R61"/>
      <c r="AS61"/>
      <c r="AT61"/>
      <c r="AU61"/>
      <c r="AV61"/>
      <c r="AW61" s="89"/>
    </row>
    <row r="62" spans="2:49" x14ac:dyDescent="0.2">
      <c r="B62" s="127"/>
      <c r="C62" s="164"/>
      <c r="D62" s="171"/>
      <c r="E62" s="171"/>
      <c r="F62" s="171"/>
      <c r="G62" s="171"/>
      <c r="H62" s="171"/>
      <c r="I62" s="171"/>
      <c r="J62" s="171"/>
      <c r="K62" s="171"/>
      <c r="L62" s="171"/>
      <c r="M62" s="173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  <c r="AM62" s="171"/>
      <c r="AR62"/>
      <c r="AS62"/>
      <c r="AT62"/>
      <c r="AU62"/>
      <c r="AV62"/>
      <c r="AW62" s="89"/>
    </row>
    <row r="63" spans="2:49" x14ac:dyDescent="0.2">
      <c r="B63" s="127"/>
      <c r="C63" s="164"/>
      <c r="D63" s="171"/>
      <c r="E63" s="171"/>
      <c r="F63" s="171"/>
      <c r="G63" s="171"/>
      <c r="H63" s="171"/>
      <c r="I63" s="171"/>
      <c r="J63" s="171"/>
      <c r="K63" s="171"/>
      <c r="L63" s="171"/>
      <c r="M63" s="173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  <c r="AM63" s="171"/>
      <c r="AR63"/>
      <c r="AS63"/>
      <c r="AT63"/>
      <c r="AU63"/>
      <c r="AV63"/>
      <c r="AW63" s="89"/>
    </row>
    <row r="64" spans="2:49" x14ac:dyDescent="0.2">
      <c r="B64" s="127"/>
      <c r="C64" s="164"/>
      <c r="D64" s="171"/>
      <c r="E64" s="171"/>
      <c r="F64" s="171"/>
      <c r="G64" s="171"/>
      <c r="H64" s="171"/>
      <c r="I64" s="171"/>
      <c r="J64" s="171"/>
      <c r="K64" s="171"/>
      <c r="L64" s="171"/>
      <c r="M64" s="173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  <c r="AH64" s="171"/>
      <c r="AI64" s="171"/>
      <c r="AJ64" s="171"/>
      <c r="AK64" s="171"/>
      <c r="AL64" s="171"/>
      <c r="AM64" s="171"/>
      <c r="AR64"/>
      <c r="AS64"/>
      <c r="AT64"/>
      <c r="AU64"/>
      <c r="AV64"/>
      <c r="AW64" s="89"/>
    </row>
    <row r="65" spans="2:49" x14ac:dyDescent="0.2">
      <c r="B65" s="127"/>
      <c r="C65" s="164"/>
      <c r="D65" s="171"/>
      <c r="E65" s="171"/>
      <c r="F65" s="171"/>
      <c r="G65" s="171"/>
      <c r="H65" s="171"/>
      <c r="I65" s="171"/>
      <c r="J65" s="171"/>
      <c r="K65" s="171"/>
      <c r="L65" s="171"/>
      <c r="M65" s="173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1"/>
      <c r="AF65" s="171"/>
      <c r="AG65" s="171"/>
      <c r="AH65" s="171"/>
      <c r="AI65" s="171"/>
      <c r="AJ65" s="171"/>
      <c r="AK65" s="171"/>
      <c r="AL65" s="171"/>
      <c r="AM65" s="171"/>
      <c r="AR65"/>
      <c r="AS65"/>
      <c r="AT65"/>
      <c r="AU65"/>
      <c r="AV65"/>
      <c r="AW65" s="89"/>
    </row>
    <row r="66" spans="2:49" x14ac:dyDescent="0.2">
      <c r="B66" s="127"/>
      <c r="C66" s="164"/>
      <c r="D66" s="171"/>
      <c r="E66" s="171"/>
      <c r="F66" s="171"/>
      <c r="G66" s="171"/>
      <c r="H66" s="171"/>
      <c r="I66" s="171"/>
      <c r="J66" s="171"/>
      <c r="K66" s="171"/>
      <c r="L66" s="171"/>
      <c r="M66" s="173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R66"/>
      <c r="AS66"/>
      <c r="AT66"/>
      <c r="AU66"/>
      <c r="AV66"/>
      <c r="AW66" s="89"/>
    </row>
    <row r="67" spans="2:49" x14ac:dyDescent="0.2">
      <c r="B67" s="127"/>
      <c r="C67" s="164"/>
      <c r="D67" s="171"/>
      <c r="E67" s="171"/>
      <c r="F67" s="171"/>
      <c r="G67" s="171"/>
      <c r="H67" s="171"/>
      <c r="I67" s="171"/>
      <c r="J67" s="171"/>
      <c r="K67" s="171"/>
      <c r="L67" s="171"/>
      <c r="M67" s="173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  <c r="AE67" s="171"/>
      <c r="AF67" s="171"/>
      <c r="AG67" s="171"/>
      <c r="AH67" s="171"/>
      <c r="AI67" s="171"/>
      <c r="AJ67" s="171"/>
      <c r="AK67" s="171"/>
      <c r="AL67" s="171"/>
      <c r="AM67" s="171"/>
      <c r="AR67"/>
      <c r="AS67"/>
      <c r="AT67"/>
      <c r="AU67"/>
      <c r="AV67"/>
      <c r="AW67" s="89"/>
    </row>
    <row r="68" spans="2:49" x14ac:dyDescent="0.2">
      <c r="B68" s="127"/>
      <c r="C68" s="164"/>
      <c r="D68" s="171"/>
      <c r="E68" s="171"/>
      <c r="F68" s="171"/>
      <c r="G68" s="171"/>
      <c r="H68" s="171"/>
      <c r="I68" s="171"/>
      <c r="J68" s="171"/>
      <c r="K68" s="171"/>
      <c r="L68" s="171"/>
      <c r="M68" s="173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171"/>
      <c r="AF68" s="171"/>
      <c r="AG68" s="171"/>
      <c r="AH68" s="171"/>
      <c r="AI68" s="171"/>
      <c r="AJ68" s="171"/>
      <c r="AK68" s="171"/>
      <c r="AL68" s="171"/>
      <c r="AM68" s="171"/>
      <c r="AR68"/>
      <c r="AS68"/>
      <c r="AT68"/>
      <c r="AU68"/>
      <c r="AV68"/>
      <c r="AW68" s="89"/>
    </row>
    <row r="69" spans="2:49" x14ac:dyDescent="0.2">
      <c r="B69" s="127"/>
      <c r="C69" s="164"/>
      <c r="D69" s="171"/>
      <c r="E69" s="171"/>
      <c r="F69" s="171"/>
      <c r="G69" s="171"/>
      <c r="H69" s="171"/>
      <c r="I69" s="171"/>
      <c r="J69" s="171"/>
      <c r="K69" s="171"/>
      <c r="L69" s="171"/>
      <c r="M69" s="173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  <c r="AA69" s="171"/>
      <c r="AB69" s="171"/>
      <c r="AC69" s="171"/>
      <c r="AD69" s="171"/>
      <c r="AE69" s="171"/>
      <c r="AF69" s="171"/>
      <c r="AG69" s="171"/>
      <c r="AH69" s="171"/>
      <c r="AI69" s="171"/>
      <c r="AJ69" s="171"/>
      <c r="AK69" s="171"/>
      <c r="AL69" s="171"/>
      <c r="AM69" s="171"/>
      <c r="AR69"/>
      <c r="AS69"/>
      <c r="AT69"/>
      <c r="AU69"/>
      <c r="AV69"/>
      <c r="AW69" s="89"/>
    </row>
    <row r="70" spans="2:49" x14ac:dyDescent="0.2">
      <c r="B70" s="127"/>
      <c r="C70" s="164"/>
      <c r="D70" s="171"/>
      <c r="E70" s="171"/>
      <c r="F70" s="171"/>
      <c r="G70" s="171"/>
      <c r="H70" s="171"/>
      <c r="I70" s="171"/>
      <c r="J70" s="171"/>
      <c r="K70" s="171"/>
      <c r="L70" s="171"/>
      <c r="M70" s="173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  <c r="AA70" s="171"/>
      <c r="AB70" s="171"/>
      <c r="AC70" s="171"/>
      <c r="AD70" s="171"/>
      <c r="AE70" s="171"/>
      <c r="AF70" s="171"/>
      <c r="AG70" s="171"/>
      <c r="AH70" s="171"/>
      <c r="AI70" s="171"/>
      <c r="AJ70" s="171"/>
      <c r="AK70" s="171"/>
      <c r="AL70" s="171"/>
      <c r="AM70" s="171"/>
      <c r="AR70"/>
      <c r="AS70"/>
      <c r="AT70"/>
      <c r="AU70"/>
      <c r="AV70"/>
      <c r="AW70" s="89"/>
    </row>
    <row r="71" spans="2:49" x14ac:dyDescent="0.2">
      <c r="B71" s="127"/>
      <c r="C71" s="164"/>
      <c r="D71" s="171"/>
      <c r="E71" s="171"/>
      <c r="F71" s="171"/>
      <c r="G71" s="171"/>
      <c r="H71" s="171"/>
      <c r="I71" s="171"/>
      <c r="J71" s="171"/>
      <c r="K71" s="171"/>
      <c r="L71" s="171"/>
      <c r="M71" s="173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  <c r="AA71" s="171"/>
      <c r="AB71" s="171"/>
      <c r="AC71" s="171"/>
      <c r="AD71" s="171"/>
      <c r="AE71" s="171"/>
      <c r="AF71" s="171"/>
      <c r="AG71" s="171"/>
      <c r="AH71" s="171"/>
      <c r="AI71" s="171"/>
      <c r="AJ71" s="171"/>
      <c r="AK71" s="171"/>
      <c r="AL71" s="171"/>
      <c r="AM71" s="171"/>
      <c r="AR71"/>
      <c r="AS71"/>
      <c r="AT71"/>
      <c r="AU71"/>
      <c r="AV71"/>
      <c r="AW71" s="89"/>
    </row>
    <row r="72" spans="2:49" x14ac:dyDescent="0.2">
      <c r="B72" s="127"/>
      <c r="C72" s="164"/>
      <c r="D72" s="171"/>
      <c r="E72" s="171"/>
      <c r="F72" s="171"/>
      <c r="G72" s="171"/>
      <c r="H72" s="171"/>
      <c r="I72" s="171"/>
      <c r="J72" s="171"/>
      <c r="K72" s="171"/>
      <c r="L72" s="171"/>
      <c r="M72" s="173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  <c r="AA72" s="171"/>
      <c r="AB72" s="171"/>
      <c r="AC72" s="171"/>
      <c r="AD72" s="171"/>
      <c r="AE72" s="171"/>
      <c r="AF72" s="171"/>
      <c r="AG72" s="171"/>
      <c r="AH72" s="171"/>
      <c r="AI72" s="171"/>
      <c r="AJ72" s="171"/>
      <c r="AK72" s="171"/>
      <c r="AL72" s="171"/>
      <c r="AM72" s="171"/>
      <c r="AR72"/>
      <c r="AS72"/>
      <c r="AT72"/>
      <c r="AU72"/>
      <c r="AV72"/>
      <c r="AW72" s="89"/>
    </row>
    <row r="73" spans="2:49" x14ac:dyDescent="0.2">
      <c r="B73" s="127"/>
      <c r="C73" s="164"/>
      <c r="D73" s="171"/>
      <c r="E73" s="171"/>
      <c r="F73" s="171"/>
      <c r="G73" s="171"/>
      <c r="H73" s="171"/>
      <c r="I73" s="171"/>
      <c r="J73" s="171"/>
      <c r="K73" s="171"/>
      <c r="L73" s="171"/>
      <c r="M73" s="173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  <c r="AC73" s="171"/>
      <c r="AD73" s="171"/>
      <c r="AE73" s="171"/>
      <c r="AF73" s="171"/>
      <c r="AG73" s="171"/>
      <c r="AH73" s="171"/>
      <c r="AI73" s="171"/>
      <c r="AJ73" s="171"/>
      <c r="AK73" s="171"/>
      <c r="AL73" s="171"/>
      <c r="AM73" s="171"/>
      <c r="AR73"/>
      <c r="AS73"/>
      <c r="AT73"/>
      <c r="AU73"/>
      <c r="AV73"/>
      <c r="AW73" s="89"/>
    </row>
    <row r="74" spans="2:49" x14ac:dyDescent="0.2">
      <c r="B74" s="127"/>
      <c r="C74" s="164"/>
      <c r="D74" s="171"/>
      <c r="E74" s="171"/>
      <c r="F74" s="171"/>
      <c r="G74" s="171"/>
      <c r="H74" s="171"/>
      <c r="I74" s="171"/>
      <c r="J74" s="171"/>
      <c r="K74" s="171"/>
      <c r="L74" s="171"/>
      <c r="M74" s="173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  <c r="AA74" s="171"/>
      <c r="AB74" s="171"/>
      <c r="AC74" s="171"/>
      <c r="AD74" s="171"/>
      <c r="AE74" s="171"/>
      <c r="AF74" s="171"/>
      <c r="AG74" s="171"/>
      <c r="AH74" s="171"/>
      <c r="AI74" s="171"/>
      <c r="AJ74" s="171"/>
      <c r="AK74" s="171"/>
      <c r="AL74" s="171"/>
      <c r="AM74" s="171"/>
      <c r="AR74"/>
      <c r="AS74"/>
      <c r="AT74"/>
      <c r="AU74"/>
      <c r="AV74"/>
      <c r="AW74" s="89"/>
    </row>
    <row r="75" spans="2:49" x14ac:dyDescent="0.2">
      <c r="B75" s="127"/>
      <c r="C75" s="164"/>
      <c r="D75" s="171"/>
      <c r="E75" s="171"/>
      <c r="F75" s="171"/>
      <c r="G75" s="171"/>
      <c r="H75" s="171"/>
      <c r="I75" s="171"/>
      <c r="J75" s="171"/>
      <c r="K75" s="171"/>
      <c r="L75" s="171"/>
      <c r="M75" s="173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  <c r="AA75" s="171"/>
      <c r="AB75" s="171"/>
      <c r="AC75" s="171"/>
      <c r="AD75" s="171"/>
      <c r="AE75" s="171"/>
      <c r="AF75" s="171"/>
      <c r="AG75" s="171"/>
      <c r="AH75" s="171"/>
      <c r="AI75" s="171"/>
      <c r="AJ75" s="171"/>
      <c r="AK75" s="171"/>
      <c r="AL75" s="171"/>
      <c r="AM75" s="171"/>
      <c r="AR75"/>
      <c r="AS75"/>
      <c r="AT75"/>
      <c r="AU75"/>
      <c r="AV75"/>
      <c r="AW75" s="89"/>
    </row>
    <row r="76" spans="2:49" x14ac:dyDescent="0.2">
      <c r="B76" s="127"/>
      <c r="C76" s="164"/>
      <c r="D76" s="171"/>
      <c r="E76" s="171"/>
      <c r="F76" s="171"/>
      <c r="G76" s="171"/>
      <c r="H76" s="171"/>
      <c r="I76" s="171"/>
      <c r="J76" s="171"/>
      <c r="K76" s="171"/>
      <c r="L76" s="171"/>
      <c r="M76" s="173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  <c r="AA76" s="171"/>
      <c r="AB76" s="171"/>
      <c r="AC76" s="171"/>
      <c r="AD76" s="171"/>
      <c r="AE76" s="171"/>
      <c r="AF76" s="171"/>
      <c r="AG76" s="171"/>
      <c r="AH76" s="171"/>
      <c r="AI76" s="171"/>
      <c r="AJ76" s="171"/>
      <c r="AK76" s="171"/>
      <c r="AL76" s="171"/>
      <c r="AM76" s="171"/>
      <c r="AR76"/>
      <c r="AS76"/>
      <c r="AT76"/>
      <c r="AU76"/>
      <c r="AV76"/>
      <c r="AW76" s="89"/>
    </row>
    <row r="77" spans="2:49" x14ac:dyDescent="0.2">
      <c r="B77" s="127"/>
      <c r="C77" s="164"/>
      <c r="D77" s="171"/>
      <c r="E77" s="171"/>
      <c r="F77" s="171"/>
      <c r="G77" s="171"/>
      <c r="H77" s="171"/>
      <c r="I77" s="171"/>
      <c r="J77" s="171"/>
      <c r="K77" s="171"/>
      <c r="L77" s="171"/>
      <c r="M77" s="173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  <c r="AA77" s="171"/>
      <c r="AB77" s="171"/>
      <c r="AC77" s="171"/>
      <c r="AD77" s="171"/>
      <c r="AE77" s="171"/>
      <c r="AF77" s="171"/>
      <c r="AG77" s="171"/>
      <c r="AH77" s="171"/>
      <c r="AI77" s="171"/>
      <c r="AJ77" s="171"/>
      <c r="AK77" s="171"/>
      <c r="AL77" s="171"/>
      <c r="AM77" s="171"/>
      <c r="AR77"/>
      <c r="AS77"/>
      <c r="AT77"/>
      <c r="AU77"/>
      <c r="AV77"/>
      <c r="AW77" s="89"/>
    </row>
    <row r="78" spans="2:49" x14ac:dyDescent="0.2">
      <c r="B78" s="127"/>
      <c r="C78" s="164"/>
      <c r="D78" s="171"/>
      <c r="E78" s="171"/>
      <c r="F78" s="171"/>
      <c r="G78" s="171"/>
      <c r="H78" s="171"/>
      <c r="I78" s="171"/>
      <c r="J78" s="171"/>
      <c r="K78" s="171"/>
      <c r="L78" s="171"/>
      <c r="M78" s="173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  <c r="AA78" s="171"/>
      <c r="AB78" s="171"/>
      <c r="AC78" s="171"/>
      <c r="AD78" s="171"/>
      <c r="AE78" s="171"/>
      <c r="AF78" s="171"/>
      <c r="AG78" s="171"/>
      <c r="AH78" s="171"/>
      <c r="AI78" s="171"/>
      <c r="AJ78" s="171"/>
      <c r="AK78" s="171"/>
      <c r="AL78" s="171"/>
      <c r="AM78" s="171"/>
      <c r="AR78"/>
      <c r="AS78"/>
      <c r="AT78"/>
      <c r="AU78"/>
      <c r="AV78"/>
      <c r="AW78" s="89"/>
    </row>
    <row r="79" spans="2:49" x14ac:dyDescent="0.2">
      <c r="B79" s="127"/>
      <c r="C79" s="164"/>
      <c r="D79" s="171"/>
      <c r="E79" s="171"/>
      <c r="F79" s="171"/>
      <c r="G79" s="171"/>
      <c r="H79" s="171"/>
      <c r="I79" s="171"/>
      <c r="J79" s="171"/>
      <c r="K79" s="171"/>
      <c r="L79" s="171"/>
      <c r="M79" s="173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  <c r="AA79" s="171"/>
      <c r="AB79" s="171"/>
      <c r="AC79" s="171"/>
      <c r="AD79" s="171"/>
      <c r="AE79" s="171"/>
      <c r="AF79" s="171"/>
      <c r="AG79" s="171"/>
      <c r="AH79" s="171"/>
      <c r="AI79" s="171"/>
      <c r="AJ79" s="171"/>
      <c r="AK79" s="171"/>
      <c r="AL79" s="171"/>
      <c r="AM79" s="171"/>
      <c r="AR79"/>
      <c r="AS79"/>
      <c r="AT79"/>
      <c r="AU79"/>
      <c r="AV79"/>
      <c r="AW79" s="89"/>
    </row>
    <row r="80" spans="2:49" x14ac:dyDescent="0.2">
      <c r="B80" s="127"/>
      <c r="C80" s="164"/>
      <c r="D80" s="171"/>
      <c r="E80" s="171"/>
      <c r="F80" s="171"/>
      <c r="G80" s="171"/>
      <c r="H80" s="171"/>
      <c r="I80" s="171"/>
      <c r="J80" s="171"/>
      <c r="K80" s="171"/>
      <c r="L80" s="171"/>
      <c r="M80" s="173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  <c r="AA80" s="171"/>
      <c r="AB80" s="171"/>
      <c r="AC80" s="171"/>
      <c r="AD80" s="171"/>
      <c r="AE80" s="171"/>
      <c r="AF80" s="171"/>
      <c r="AG80" s="171"/>
      <c r="AH80" s="171"/>
      <c r="AI80" s="171"/>
      <c r="AJ80" s="171"/>
      <c r="AK80" s="171"/>
      <c r="AL80" s="171"/>
      <c r="AM80" s="171"/>
      <c r="AR80"/>
      <c r="AS80"/>
      <c r="AT80"/>
      <c r="AU80"/>
      <c r="AV80"/>
      <c r="AW80" s="89"/>
    </row>
    <row r="81" spans="1:49" x14ac:dyDescent="0.2">
      <c r="B81" s="127"/>
      <c r="C81" s="164"/>
      <c r="D81" s="171"/>
      <c r="E81" s="171"/>
      <c r="F81" s="171"/>
      <c r="G81" s="171"/>
      <c r="H81" s="171"/>
      <c r="I81" s="171"/>
      <c r="J81" s="171"/>
      <c r="K81" s="171"/>
      <c r="L81" s="171"/>
      <c r="M81" s="173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  <c r="AA81" s="171"/>
      <c r="AB81" s="171"/>
      <c r="AC81" s="171"/>
      <c r="AD81" s="171"/>
      <c r="AE81" s="171"/>
      <c r="AF81" s="171"/>
      <c r="AG81" s="171"/>
      <c r="AH81" s="171"/>
      <c r="AI81" s="171"/>
      <c r="AJ81" s="171"/>
      <c r="AK81" s="171"/>
      <c r="AL81" s="171"/>
      <c r="AM81" s="171"/>
      <c r="AR81"/>
      <c r="AS81"/>
      <c r="AT81"/>
      <c r="AU81"/>
      <c r="AV81"/>
      <c r="AW81" s="89"/>
    </row>
    <row r="82" spans="1:49" x14ac:dyDescent="0.2">
      <c r="B82" s="127"/>
      <c r="C82" s="164"/>
      <c r="D82" s="171"/>
      <c r="E82" s="171"/>
      <c r="F82" s="171"/>
      <c r="G82" s="171"/>
      <c r="H82" s="171"/>
      <c r="I82" s="171"/>
      <c r="J82" s="171"/>
      <c r="K82" s="171"/>
      <c r="L82" s="171"/>
      <c r="M82" s="173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  <c r="AA82" s="171"/>
      <c r="AB82" s="171"/>
      <c r="AC82" s="171"/>
      <c r="AD82" s="171"/>
      <c r="AE82" s="171"/>
      <c r="AF82" s="171"/>
      <c r="AG82" s="171"/>
      <c r="AH82" s="171"/>
      <c r="AI82" s="171"/>
      <c r="AJ82" s="171"/>
      <c r="AK82" s="171"/>
      <c r="AL82" s="171"/>
      <c r="AM82" s="171"/>
      <c r="AR82"/>
      <c r="AS82"/>
      <c r="AT82"/>
      <c r="AU82"/>
      <c r="AV82"/>
      <c r="AW82" s="89"/>
    </row>
    <row r="83" spans="1:49" x14ac:dyDescent="0.2">
      <c r="B83" s="127"/>
      <c r="C83" s="164"/>
      <c r="D83" s="171"/>
      <c r="E83" s="171"/>
      <c r="F83" s="171"/>
      <c r="G83" s="171"/>
      <c r="H83" s="171"/>
      <c r="I83" s="171"/>
      <c r="J83" s="171"/>
      <c r="K83" s="171"/>
      <c r="L83" s="171"/>
      <c r="M83" s="173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  <c r="AA83" s="171"/>
      <c r="AB83" s="171"/>
      <c r="AC83" s="171"/>
      <c r="AD83" s="171"/>
      <c r="AE83" s="171"/>
      <c r="AF83" s="171"/>
      <c r="AG83" s="171"/>
      <c r="AH83" s="171"/>
      <c r="AI83" s="171"/>
      <c r="AJ83" s="171"/>
      <c r="AK83" s="171"/>
      <c r="AL83" s="171"/>
      <c r="AM83" s="171"/>
      <c r="AR83"/>
      <c r="AS83"/>
      <c r="AT83"/>
      <c r="AU83"/>
      <c r="AV83"/>
      <c r="AW83" s="89"/>
    </row>
    <row r="84" spans="1:49" x14ac:dyDescent="0.2">
      <c r="B84" s="127"/>
      <c r="C84" s="164"/>
      <c r="D84" s="171"/>
      <c r="E84" s="171"/>
      <c r="F84" s="171"/>
      <c r="G84" s="171"/>
      <c r="H84" s="171"/>
      <c r="I84" s="171"/>
      <c r="J84" s="171"/>
      <c r="K84" s="171"/>
      <c r="L84" s="171"/>
      <c r="M84" s="173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  <c r="AA84" s="171"/>
      <c r="AB84" s="171"/>
      <c r="AC84" s="171"/>
      <c r="AD84" s="171"/>
      <c r="AE84" s="171"/>
      <c r="AF84" s="171"/>
      <c r="AG84" s="171"/>
      <c r="AH84" s="171"/>
      <c r="AI84" s="171"/>
      <c r="AJ84" s="171"/>
      <c r="AK84" s="171"/>
      <c r="AL84" s="171"/>
      <c r="AM84" s="171"/>
      <c r="AR84"/>
      <c r="AS84"/>
      <c r="AT84"/>
      <c r="AU84"/>
      <c r="AV84"/>
      <c r="AW84" s="89"/>
    </row>
    <row r="85" spans="1:49" x14ac:dyDescent="0.2">
      <c r="B85" s="127"/>
      <c r="D85" s="171"/>
      <c r="E85" s="171"/>
      <c r="F85" s="171"/>
      <c r="G85" s="171"/>
      <c r="H85" s="171"/>
      <c r="I85" s="171"/>
      <c r="J85" s="171"/>
      <c r="K85" s="171"/>
      <c r="L85" s="171"/>
      <c r="M85" s="173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  <c r="AA85" s="171"/>
      <c r="AB85" s="171"/>
      <c r="AC85" s="171"/>
      <c r="AD85" s="171"/>
      <c r="AE85" s="171"/>
      <c r="AF85" s="171"/>
      <c r="AG85" s="171"/>
      <c r="AH85" s="171"/>
      <c r="AI85" s="171"/>
      <c r="AJ85" s="171"/>
      <c r="AK85" s="171"/>
      <c r="AL85" s="171"/>
      <c r="AM85" s="171"/>
      <c r="AR85"/>
      <c r="AS85"/>
      <c r="AT85"/>
      <c r="AU85"/>
      <c r="AV85"/>
      <c r="AW85" s="89"/>
    </row>
    <row r="86" spans="1:49" x14ac:dyDescent="0.2">
      <c r="B86" s="127"/>
      <c r="D86" s="171"/>
      <c r="E86" s="171"/>
      <c r="F86" s="171"/>
      <c r="G86" s="171"/>
      <c r="H86" s="171"/>
      <c r="I86" s="171"/>
      <c r="J86" s="171"/>
      <c r="K86" s="171"/>
      <c r="L86" s="171"/>
      <c r="M86" s="173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  <c r="AA86" s="171"/>
      <c r="AB86" s="171"/>
      <c r="AC86" s="171"/>
      <c r="AD86" s="171"/>
      <c r="AE86" s="171"/>
      <c r="AF86" s="171"/>
      <c r="AG86" s="171"/>
      <c r="AH86" s="171"/>
      <c r="AI86" s="171"/>
      <c r="AJ86" s="171"/>
      <c r="AK86" s="171"/>
      <c r="AL86" s="171"/>
      <c r="AM86" s="171"/>
      <c r="AR86"/>
      <c r="AS86"/>
      <c r="AT86"/>
      <c r="AU86"/>
      <c r="AV86"/>
      <c r="AW86" s="89"/>
    </row>
    <row r="87" spans="1:49" x14ac:dyDescent="0.2">
      <c r="B87" s="127"/>
      <c r="D87" s="171"/>
      <c r="E87" s="171"/>
      <c r="F87" s="171"/>
      <c r="G87" s="171"/>
      <c r="H87" s="171"/>
      <c r="I87" s="171"/>
      <c r="J87" s="171"/>
      <c r="K87" s="171"/>
      <c r="L87" s="171"/>
      <c r="M87" s="173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  <c r="AA87" s="171"/>
      <c r="AB87" s="171"/>
      <c r="AC87" s="171"/>
      <c r="AD87" s="171"/>
      <c r="AE87" s="171"/>
      <c r="AF87" s="171"/>
      <c r="AG87" s="171"/>
      <c r="AH87" s="171"/>
      <c r="AI87" s="171"/>
      <c r="AJ87" s="171"/>
      <c r="AK87" s="171"/>
      <c r="AL87" s="171"/>
      <c r="AM87" s="171"/>
      <c r="AR87"/>
      <c r="AS87"/>
      <c r="AT87"/>
      <c r="AU87"/>
      <c r="AV87"/>
      <c r="AW87" s="89"/>
    </row>
    <row r="88" spans="1:49" x14ac:dyDescent="0.2">
      <c r="B88" s="127"/>
      <c r="D88" s="171"/>
      <c r="E88" s="171"/>
      <c r="F88" s="171"/>
      <c r="G88" s="171"/>
      <c r="H88" s="171"/>
      <c r="I88" s="171"/>
      <c r="J88" s="171"/>
      <c r="K88" s="171"/>
      <c r="L88" s="171"/>
      <c r="M88" s="173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  <c r="AG88" s="171"/>
      <c r="AH88" s="171"/>
      <c r="AI88" s="171"/>
      <c r="AJ88" s="171"/>
      <c r="AK88" s="171"/>
      <c r="AL88" s="171"/>
      <c r="AM88" s="171"/>
      <c r="AR88" s="89"/>
      <c r="AS88" s="89"/>
      <c r="AT88" s="89"/>
      <c r="AU88" s="89"/>
      <c r="AV88" s="89"/>
      <c r="AW88" s="89"/>
    </row>
    <row r="89" spans="1:49" x14ac:dyDescent="0.2">
      <c r="B89" s="127"/>
      <c r="D89" s="171"/>
      <c r="E89" s="171"/>
      <c r="F89" s="171"/>
      <c r="G89" s="171"/>
      <c r="H89" s="171"/>
      <c r="I89" s="171"/>
      <c r="J89" s="171"/>
      <c r="K89" s="171"/>
      <c r="L89" s="171"/>
      <c r="M89" s="173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  <c r="AA89" s="171"/>
      <c r="AB89" s="171"/>
      <c r="AC89" s="171"/>
      <c r="AD89" s="171"/>
      <c r="AE89" s="171"/>
      <c r="AF89" s="171"/>
      <c r="AG89" s="171"/>
      <c r="AH89" s="171"/>
      <c r="AI89" s="171"/>
      <c r="AJ89" s="171"/>
      <c r="AK89" s="171"/>
      <c r="AL89" s="171"/>
      <c r="AM89" s="171"/>
      <c r="AR89" s="89"/>
      <c r="AS89" s="89"/>
      <c r="AT89" s="89"/>
      <c r="AU89" s="89"/>
      <c r="AV89" s="89"/>
      <c r="AW89" s="89"/>
    </row>
    <row r="90" spans="1:49" x14ac:dyDescent="0.2">
      <c r="B90" s="127"/>
      <c r="D90" s="171"/>
      <c r="E90" s="171"/>
      <c r="F90" s="171"/>
      <c r="G90" s="171"/>
      <c r="H90" s="171"/>
      <c r="I90" s="171"/>
      <c r="J90" s="171"/>
      <c r="K90" s="171"/>
      <c r="L90" s="171"/>
      <c r="M90" s="173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  <c r="AA90" s="171"/>
      <c r="AB90" s="171"/>
      <c r="AC90" s="171"/>
      <c r="AD90" s="171"/>
      <c r="AE90" s="171"/>
      <c r="AF90" s="171"/>
      <c r="AG90" s="171"/>
      <c r="AH90" s="171"/>
      <c r="AI90" s="171"/>
      <c r="AJ90" s="171"/>
      <c r="AK90" s="171"/>
      <c r="AL90" s="171"/>
      <c r="AM90" s="171"/>
      <c r="AR90" s="89"/>
      <c r="AS90" s="89"/>
      <c r="AT90" s="89"/>
      <c r="AU90" s="89"/>
      <c r="AV90" s="89"/>
      <c r="AW90" s="89"/>
    </row>
    <row r="91" spans="1:49" x14ac:dyDescent="0.2">
      <c r="B91" s="127"/>
      <c r="D91" s="171"/>
      <c r="E91" s="171"/>
      <c r="F91" s="171"/>
      <c r="G91" s="171"/>
      <c r="H91" s="171"/>
      <c r="I91" s="171"/>
      <c r="J91" s="171"/>
      <c r="K91" s="171"/>
      <c r="L91" s="171"/>
      <c r="M91" s="173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  <c r="AA91" s="171"/>
      <c r="AB91" s="171"/>
      <c r="AC91" s="171"/>
      <c r="AD91" s="171"/>
      <c r="AE91" s="171"/>
      <c r="AF91" s="171"/>
      <c r="AG91" s="171"/>
      <c r="AH91" s="171"/>
      <c r="AI91" s="171"/>
      <c r="AJ91" s="171"/>
      <c r="AK91" s="171"/>
      <c r="AL91" s="171"/>
      <c r="AM91" s="171"/>
      <c r="AR91" s="89"/>
      <c r="AS91" s="89"/>
      <c r="AT91" s="89"/>
      <c r="AU91" s="89"/>
      <c r="AV91" s="89"/>
      <c r="AW91" s="89"/>
    </row>
    <row r="92" spans="1:49" x14ac:dyDescent="0.2">
      <c r="B92" s="127"/>
      <c r="D92" s="171"/>
      <c r="E92" s="171"/>
      <c r="F92" s="171"/>
      <c r="G92" s="171"/>
      <c r="H92" s="171"/>
      <c r="I92" s="171"/>
      <c r="J92" s="171"/>
      <c r="K92" s="171"/>
      <c r="L92" s="171"/>
      <c r="M92" s="173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  <c r="AA92" s="171"/>
      <c r="AB92" s="171"/>
      <c r="AC92" s="171"/>
      <c r="AD92" s="171"/>
      <c r="AE92" s="171"/>
      <c r="AF92" s="171"/>
      <c r="AG92" s="171"/>
      <c r="AH92" s="171"/>
      <c r="AI92" s="171"/>
      <c r="AJ92" s="171"/>
      <c r="AK92" s="171"/>
      <c r="AL92" s="171"/>
      <c r="AM92" s="171"/>
      <c r="AR92" s="89"/>
      <c r="AS92" s="89"/>
      <c r="AT92" s="89"/>
      <c r="AU92" s="89"/>
      <c r="AV92" s="89"/>
      <c r="AW92" s="89"/>
    </row>
    <row r="93" spans="1:49" x14ac:dyDescent="0.2">
      <c r="A93"/>
      <c r="B93" s="127"/>
      <c r="D93" s="171"/>
      <c r="E93" s="171"/>
      <c r="F93" s="171"/>
      <c r="G93" s="171"/>
      <c r="H93" s="171"/>
      <c r="I93" s="171"/>
      <c r="J93" s="171"/>
      <c r="K93" s="171"/>
      <c r="L93" s="171"/>
      <c r="M93" s="173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  <c r="AA93" s="171"/>
      <c r="AB93" s="171"/>
      <c r="AC93" s="171"/>
      <c r="AD93" s="171"/>
      <c r="AE93" s="171"/>
      <c r="AF93" s="171"/>
      <c r="AG93" s="171"/>
      <c r="AH93" s="171"/>
      <c r="AI93" s="171"/>
      <c r="AJ93" s="171"/>
      <c r="AK93" s="171"/>
      <c r="AL93" s="171"/>
      <c r="AM93" s="171"/>
      <c r="AR93" s="89"/>
      <c r="AS93" s="89"/>
      <c r="AT93" s="89"/>
      <c r="AU93" s="89"/>
      <c r="AV93" s="89"/>
      <c r="AW93" s="89"/>
    </row>
    <row r="94" spans="1:49" x14ac:dyDescent="0.2">
      <c r="A94"/>
      <c r="B94" s="127"/>
      <c r="D94" s="171"/>
      <c r="E94" s="171"/>
      <c r="F94" s="171"/>
      <c r="G94" s="171"/>
      <c r="H94" s="171"/>
      <c r="I94" s="171"/>
      <c r="J94" s="171"/>
      <c r="K94" s="171"/>
      <c r="L94" s="171"/>
      <c r="M94" s="173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  <c r="AA94" s="171"/>
      <c r="AB94" s="171"/>
      <c r="AC94" s="171"/>
      <c r="AD94" s="171"/>
      <c r="AE94" s="171"/>
      <c r="AF94" s="171"/>
      <c r="AG94" s="171"/>
      <c r="AH94" s="171"/>
      <c r="AI94" s="171"/>
      <c r="AJ94" s="171"/>
      <c r="AK94" s="171"/>
      <c r="AL94" s="171"/>
      <c r="AM94" s="171"/>
      <c r="AR94" s="89"/>
      <c r="AS94" s="89"/>
      <c r="AT94" s="89"/>
      <c r="AU94" s="89"/>
      <c r="AV94" s="89"/>
      <c r="AW94" s="89"/>
    </row>
    <row r="95" spans="1:49" x14ac:dyDescent="0.2">
      <c r="A95"/>
      <c r="B95" s="127"/>
      <c r="D95" s="171"/>
      <c r="E95" s="171"/>
      <c r="F95" s="171"/>
      <c r="G95" s="171"/>
      <c r="H95" s="171"/>
      <c r="I95" s="171"/>
      <c r="J95" s="171"/>
      <c r="K95" s="171"/>
      <c r="L95" s="171"/>
      <c r="M95" s="173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  <c r="AA95" s="171"/>
      <c r="AB95" s="171"/>
      <c r="AC95" s="171"/>
      <c r="AD95" s="171"/>
      <c r="AE95" s="171"/>
      <c r="AF95" s="171"/>
      <c r="AG95" s="171"/>
      <c r="AH95" s="171"/>
      <c r="AI95" s="171"/>
      <c r="AJ95" s="171"/>
      <c r="AK95" s="171"/>
      <c r="AL95" s="171"/>
      <c r="AM95" s="171"/>
      <c r="AR95" s="89"/>
      <c r="AS95" s="89"/>
      <c r="AT95" s="89"/>
      <c r="AU95" s="89"/>
      <c r="AV95" s="89"/>
      <c r="AW95" s="89"/>
    </row>
    <row r="96" spans="1:49" x14ac:dyDescent="0.2">
      <c r="A96"/>
      <c r="B96" s="127"/>
      <c r="D96" s="171"/>
      <c r="E96" s="171"/>
      <c r="F96" s="171"/>
      <c r="G96" s="171"/>
      <c r="H96" s="171"/>
      <c r="I96" s="171"/>
      <c r="J96" s="171"/>
      <c r="K96" s="171"/>
      <c r="L96" s="171"/>
      <c r="M96" s="173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  <c r="AA96" s="171"/>
      <c r="AB96" s="171"/>
      <c r="AC96" s="171"/>
      <c r="AD96" s="171"/>
      <c r="AE96" s="171"/>
      <c r="AF96" s="171"/>
      <c r="AG96" s="171"/>
      <c r="AH96" s="171"/>
      <c r="AI96" s="171"/>
      <c r="AJ96" s="171"/>
      <c r="AK96" s="171"/>
      <c r="AL96" s="171"/>
      <c r="AM96" s="171"/>
      <c r="AR96" s="89"/>
      <c r="AS96" s="89"/>
      <c r="AT96" s="89"/>
      <c r="AU96" s="89"/>
      <c r="AV96" s="89"/>
      <c r="AW96" s="89"/>
    </row>
    <row r="97" spans="1:49" x14ac:dyDescent="0.2">
      <c r="A97"/>
      <c r="B97" s="127"/>
      <c r="D97" s="171"/>
      <c r="E97" s="171"/>
      <c r="F97" s="171"/>
      <c r="G97" s="171"/>
      <c r="H97" s="171"/>
      <c r="I97" s="171"/>
      <c r="J97" s="171"/>
      <c r="K97" s="171"/>
      <c r="L97" s="171"/>
      <c r="M97" s="173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  <c r="AA97" s="171"/>
      <c r="AB97" s="171"/>
      <c r="AC97" s="171"/>
      <c r="AD97" s="171"/>
      <c r="AE97" s="171"/>
      <c r="AF97" s="171"/>
      <c r="AG97" s="171"/>
      <c r="AH97" s="171"/>
      <c r="AI97" s="171"/>
      <c r="AJ97" s="171"/>
      <c r="AK97" s="171"/>
      <c r="AL97" s="171"/>
      <c r="AM97" s="171"/>
      <c r="AR97" s="89"/>
      <c r="AS97" s="89"/>
      <c r="AT97" s="89"/>
      <c r="AU97" s="89"/>
      <c r="AV97" s="89"/>
      <c r="AW97" s="89"/>
    </row>
    <row r="98" spans="1:49" x14ac:dyDescent="0.2">
      <c r="A98"/>
      <c r="B98" s="127"/>
      <c r="D98" s="171"/>
      <c r="E98" s="171"/>
      <c r="F98" s="171"/>
      <c r="G98" s="171"/>
      <c r="H98" s="171"/>
      <c r="I98" s="171"/>
      <c r="J98" s="171"/>
      <c r="K98" s="171"/>
      <c r="L98" s="171"/>
      <c r="M98" s="173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  <c r="AA98" s="171"/>
      <c r="AB98" s="171"/>
      <c r="AC98" s="171"/>
      <c r="AD98" s="171"/>
      <c r="AE98" s="171"/>
      <c r="AF98" s="171"/>
      <c r="AG98" s="171"/>
      <c r="AH98" s="171"/>
      <c r="AI98" s="171"/>
      <c r="AJ98" s="171"/>
      <c r="AK98" s="171"/>
      <c r="AL98" s="171"/>
      <c r="AM98" s="171"/>
      <c r="AR98" s="89"/>
      <c r="AS98" s="89"/>
      <c r="AT98" s="89"/>
      <c r="AU98" s="89"/>
      <c r="AV98" s="89"/>
      <c r="AW98" s="89"/>
    </row>
    <row r="99" spans="1:49" x14ac:dyDescent="0.2">
      <c r="A99"/>
      <c r="B99" s="127"/>
      <c r="D99" s="171"/>
      <c r="E99" s="171"/>
      <c r="F99" s="171"/>
      <c r="G99" s="171"/>
      <c r="H99" s="171"/>
      <c r="I99" s="171"/>
      <c r="J99" s="171"/>
      <c r="K99" s="171"/>
      <c r="L99" s="171"/>
      <c r="M99" s="173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  <c r="AA99" s="171"/>
      <c r="AB99" s="171"/>
      <c r="AC99" s="171"/>
      <c r="AD99" s="171"/>
      <c r="AE99" s="171"/>
      <c r="AF99" s="171"/>
      <c r="AG99" s="171"/>
      <c r="AH99" s="171"/>
      <c r="AI99" s="171"/>
      <c r="AJ99" s="171"/>
      <c r="AK99" s="171"/>
      <c r="AL99" s="171"/>
      <c r="AM99" s="171"/>
      <c r="AR99" s="89"/>
      <c r="AS99" s="89"/>
      <c r="AT99" s="89"/>
      <c r="AU99" s="89"/>
      <c r="AV99" s="89"/>
      <c r="AW99" s="89"/>
    </row>
    <row r="100" spans="1:49" x14ac:dyDescent="0.2">
      <c r="B100" s="127"/>
      <c r="D100" s="171"/>
      <c r="E100" s="171"/>
      <c r="F100" s="171"/>
      <c r="G100" s="171"/>
      <c r="H100" s="171"/>
      <c r="I100" s="171"/>
      <c r="J100" s="171"/>
      <c r="K100" s="171"/>
      <c r="L100" s="171"/>
      <c r="M100" s="173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  <c r="AB100" s="171"/>
      <c r="AC100" s="171"/>
      <c r="AD100" s="171"/>
      <c r="AE100" s="171"/>
      <c r="AF100" s="171"/>
      <c r="AG100" s="171"/>
      <c r="AH100" s="171"/>
      <c r="AI100" s="171"/>
      <c r="AJ100" s="171"/>
      <c r="AK100" s="171"/>
      <c r="AL100" s="171"/>
      <c r="AM100" s="171"/>
      <c r="AR100" s="89"/>
      <c r="AS100" s="89"/>
      <c r="AT100" s="89"/>
      <c r="AU100" s="89"/>
      <c r="AV100" s="89"/>
      <c r="AW100" s="89"/>
    </row>
    <row r="101" spans="1:49" x14ac:dyDescent="0.2">
      <c r="B101" s="127"/>
      <c r="D101" s="171"/>
      <c r="E101" s="171"/>
      <c r="F101" s="171"/>
      <c r="G101" s="171"/>
      <c r="H101" s="171"/>
      <c r="I101" s="171"/>
      <c r="J101" s="171"/>
      <c r="K101" s="171"/>
      <c r="L101" s="171"/>
      <c r="M101" s="173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/>
      <c r="AA101" s="171"/>
      <c r="AB101" s="171"/>
      <c r="AC101" s="171"/>
      <c r="AD101" s="171"/>
      <c r="AE101" s="171"/>
      <c r="AF101" s="171"/>
      <c r="AG101" s="171"/>
      <c r="AH101" s="171"/>
      <c r="AI101" s="171"/>
      <c r="AJ101" s="171"/>
      <c r="AK101" s="171"/>
      <c r="AL101" s="171"/>
      <c r="AM101" s="171"/>
      <c r="AR101" s="89"/>
      <c r="AS101" s="89"/>
      <c r="AT101" s="89"/>
      <c r="AU101" s="89"/>
      <c r="AV101" s="89"/>
      <c r="AW101" s="89"/>
    </row>
    <row r="102" spans="1:49" x14ac:dyDescent="0.2">
      <c r="B102" s="127"/>
      <c r="D102" s="171"/>
      <c r="E102" s="171"/>
      <c r="F102" s="171"/>
      <c r="G102" s="171"/>
      <c r="H102" s="171"/>
      <c r="I102" s="171"/>
      <c r="J102" s="171"/>
      <c r="K102" s="171"/>
      <c r="L102" s="171"/>
      <c r="M102" s="173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  <c r="AA102" s="171"/>
      <c r="AB102" s="171"/>
      <c r="AC102" s="171"/>
      <c r="AD102" s="171"/>
      <c r="AE102" s="171"/>
      <c r="AF102" s="171"/>
      <c r="AG102" s="171"/>
      <c r="AH102" s="171"/>
      <c r="AI102" s="171"/>
      <c r="AJ102" s="171"/>
      <c r="AK102" s="171"/>
      <c r="AL102" s="171"/>
      <c r="AM102" s="171"/>
      <c r="AR102" s="89"/>
      <c r="AS102" s="89"/>
      <c r="AT102" s="89"/>
      <c r="AU102" s="89"/>
      <c r="AV102" s="89"/>
      <c r="AW102" s="89"/>
    </row>
    <row r="103" spans="1:49" x14ac:dyDescent="0.2">
      <c r="B103" s="127"/>
      <c r="D103" s="171"/>
      <c r="E103" s="171"/>
      <c r="F103" s="171"/>
      <c r="G103" s="171"/>
      <c r="H103" s="171"/>
      <c r="I103" s="171"/>
      <c r="J103" s="171"/>
      <c r="K103" s="171"/>
      <c r="L103" s="171"/>
      <c r="M103" s="173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  <c r="AA103" s="171"/>
      <c r="AB103" s="171"/>
      <c r="AC103" s="171"/>
      <c r="AD103" s="171"/>
      <c r="AE103" s="171"/>
      <c r="AF103" s="171"/>
      <c r="AG103" s="171"/>
      <c r="AH103" s="171"/>
      <c r="AI103" s="171"/>
      <c r="AJ103" s="171"/>
      <c r="AK103" s="171"/>
      <c r="AL103" s="171"/>
      <c r="AM103" s="171"/>
      <c r="AR103" s="89"/>
      <c r="AS103" s="89"/>
      <c r="AT103" s="89"/>
      <c r="AU103" s="89"/>
      <c r="AV103" s="89"/>
      <c r="AW103" s="89"/>
    </row>
    <row r="104" spans="1:49" x14ac:dyDescent="0.2">
      <c r="B104" s="127"/>
      <c r="D104" s="171"/>
      <c r="E104" s="171"/>
      <c r="F104" s="171"/>
      <c r="G104" s="171"/>
      <c r="H104" s="171"/>
      <c r="I104" s="171"/>
      <c r="J104" s="171"/>
      <c r="K104" s="171"/>
      <c r="L104" s="171"/>
      <c r="M104" s="173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  <c r="AI104" s="171"/>
      <c r="AJ104" s="171"/>
      <c r="AK104" s="171"/>
      <c r="AL104" s="171"/>
      <c r="AM104" s="171"/>
      <c r="AR104" s="89"/>
      <c r="AS104" s="89"/>
      <c r="AT104" s="89"/>
      <c r="AU104" s="89"/>
      <c r="AV104" s="89"/>
      <c r="AW104" s="89"/>
    </row>
    <row r="105" spans="1:49" x14ac:dyDescent="0.2">
      <c r="B105" s="127"/>
      <c r="D105" s="171"/>
      <c r="E105" s="171"/>
      <c r="F105" s="171"/>
      <c r="G105" s="171"/>
      <c r="H105" s="171"/>
      <c r="I105" s="171"/>
      <c r="J105" s="171"/>
      <c r="K105" s="171"/>
      <c r="L105" s="171"/>
      <c r="M105" s="173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  <c r="AA105" s="171"/>
      <c r="AB105" s="171"/>
      <c r="AC105" s="171"/>
      <c r="AD105" s="171"/>
      <c r="AE105" s="171"/>
      <c r="AF105" s="171"/>
      <c r="AG105" s="171"/>
      <c r="AH105" s="171"/>
      <c r="AI105" s="171"/>
      <c r="AJ105" s="171"/>
      <c r="AK105" s="171"/>
      <c r="AL105" s="171"/>
      <c r="AM105" s="171"/>
      <c r="AR105" s="89"/>
      <c r="AS105" s="89"/>
      <c r="AT105" s="89"/>
      <c r="AU105" s="89"/>
      <c r="AV105" s="89"/>
      <c r="AW105" s="89"/>
    </row>
    <row r="106" spans="1:49" x14ac:dyDescent="0.2">
      <c r="B106" s="127"/>
      <c r="D106" s="171"/>
      <c r="E106" s="171"/>
      <c r="F106" s="171"/>
      <c r="G106" s="171"/>
      <c r="H106" s="171"/>
      <c r="I106" s="171"/>
      <c r="J106" s="171"/>
      <c r="K106" s="171"/>
      <c r="L106" s="171"/>
      <c r="M106" s="173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1"/>
      <c r="AF106" s="171"/>
      <c r="AG106" s="171"/>
      <c r="AH106" s="171"/>
      <c r="AI106" s="171"/>
      <c r="AJ106" s="171"/>
      <c r="AK106" s="171"/>
      <c r="AL106" s="171"/>
      <c r="AM106" s="171"/>
      <c r="AR106" s="89"/>
      <c r="AS106" s="89"/>
      <c r="AT106" s="89"/>
      <c r="AU106" s="89"/>
      <c r="AV106" s="89"/>
      <c r="AW106" s="89"/>
    </row>
    <row r="107" spans="1:49" x14ac:dyDescent="0.2">
      <c r="B107" s="127"/>
      <c r="D107" s="171"/>
      <c r="E107" s="171"/>
      <c r="F107" s="171"/>
      <c r="G107" s="171"/>
      <c r="H107" s="171"/>
      <c r="I107" s="171"/>
      <c r="J107" s="171"/>
      <c r="K107" s="171"/>
      <c r="L107" s="171"/>
      <c r="M107" s="173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1"/>
      <c r="AF107" s="171"/>
      <c r="AG107" s="171"/>
      <c r="AH107" s="171"/>
      <c r="AI107" s="171"/>
      <c r="AJ107" s="171"/>
      <c r="AK107" s="171"/>
      <c r="AL107" s="171"/>
      <c r="AM107" s="171"/>
      <c r="AR107" s="89"/>
      <c r="AS107" s="89"/>
      <c r="AT107" s="89"/>
      <c r="AU107" s="89"/>
      <c r="AV107" s="89"/>
      <c r="AW107" s="89"/>
    </row>
    <row r="108" spans="1:49" x14ac:dyDescent="0.2">
      <c r="B108" s="127"/>
      <c r="D108" s="171"/>
      <c r="E108" s="171"/>
      <c r="F108" s="171"/>
      <c r="G108" s="171"/>
      <c r="H108" s="171"/>
      <c r="I108" s="171"/>
      <c r="J108" s="171"/>
      <c r="K108" s="171"/>
      <c r="L108" s="171"/>
      <c r="M108" s="173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  <c r="AA108" s="171"/>
      <c r="AB108" s="171"/>
      <c r="AC108" s="171"/>
      <c r="AD108" s="171"/>
      <c r="AE108" s="171"/>
      <c r="AF108" s="171"/>
      <c r="AG108" s="171"/>
      <c r="AH108" s="171"/>
      <c r="AI108" s="171"/>
      <c r="AJ108" s="171"/>
      <c r="AK108" s="171"/>
      <c r="AL108" s="171"/>
      <c r="AM108" s="171"/>
      <c r="AR108" s="89"/>
      <c r="AS108" s="89"/>
      <c r="AT108" s="89"/>
      <c r="AU108" s="89"/>
      <c r="AV108" s="89"/>
      <c r="AW108" s="89"/>
    </row>
    <row r="109" spans="1:49" x14ac:dyDescent="0.2">
      <c r="B109" s="127"/>
      <c r="D109" s="171"/>
      <c r="E109" s="171"/>
      <c r="F109" s="171"/>
      <c r="G109" s="171"/>
      <c r="H109" s="171"/>
      <c r="I109" s="171"/>
      <c r="J109" s="171"/>
      <c r="K109" s="171"/>
      <c r="L109" s="171"/>
      <c r="M109" s="173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  <c r="AA109" s="171"/>
      <c r="AB109" s="171"/>
      <c r="AC109" s="171"/>
      <c r="AD109" s="171"/>
      <c r="AE109" s="171"/>
      <c r="AF109" s="171"/>
      <c r="AG109" s="171"/>
      <c r="AH109" s="171"/>
      <c r="AI109" s="171"/>
      <c r="AJ109" s="171"/>
      <c r="AK109" s="171"/>
      <c r="AL109" s="171"/>
      <c r="AM109" s="171"/>
      <c r="AR109" s="89"/>
      <c r="AS109" s="89"/>
      <c r="AT109" s="89"/>
      <c r="AU109" s="89"/>
      <c r="AV109" s="89"/>
      <c r="AW109" s="89"/>
    </row>
    <row r="110" spans="1:49" x14ac:dyDescent="0.2">
      <c r="B110" s="127"/>
      <c r="D110" s="171"/>
      <c r="E110" s="171"/>
      <c r="F110" s="171"/>
      <c r="G110" s="171"/>
      <c r="H110" s="171"/>
      <c r="I110" s="171"/>
      <c r="J110" s="171"/>
      <c r="K110" s="171"/>
      <c r="L110" s="171"/>
      <c r="M110" s="173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171"/>
      <c r="AF110" s="171"/>
      <c r="AG110" s="171"/>
      <c r="AH110" s="171"/>
      <c r="AI110" s="171"/>
      <c r="AJ110" s="171"/>
      <c r="AK110" s="171"/>
      <c r="AL110" s="171"/>
      <c r="AM110" s="171"/>
      <c r="AR110" s="89"/>
      <c r="AS110" s="89"/>
      <c r="AT110" s="89"/>
      <c r="AU110" s="89"/>
      <c r="AV110" s="89"/>
      <c r="AW110" s="89"/>
    </row>
    <row r="111" spans="1:49" x14ac:dyDescent="0.2">
      <c r="B111" s="127"/>
      <c r="D111" s="171"/>
      <c r="E111" s="171"/>
      <c r="F111" s="171"/>
      <c r="G111" s="171"/>
      <c r="H111" s="171"/>
      <c r="I111" s="171"/>
      <c r="J111" s="171"/>
      <c r="K111" s="171"/>
      <c r="L111" s="171"/>
      <c r="M111" s="173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R111" s="89"/>
      <c r="AS111" s="89"/>
      <c r="AT111" s="89"/>
      <c r="AU111" s="89"/>
      <c r="AV111" s="89"/>
      <c r="AW111" s="89"/>
    </row>
    <row r="112" spans="1:49" x14ac:dyDescent="0.2">
      <c r="B112" s="127"/>
      <c r="D112" s="171"/>
      <c r="E112" s="171"/>
      <c r="F112" s="171"/>
      <c r="G112" s="171"/>
      <c r="H112" s="171"/>
      <c r="I112" s="171"/>
      <c r="J112" s="171"/>
      <c r="K112" s="171"/>
      <c r="L112" s="171"/>
      <c r="M112" s="173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R112" s="89"/>
      <c r="AS112" s="89"/>
      <c r="AT112" s="89"/>
      <c r="AU112" s="89"/>
      <c r="AV112" s="89"/>
      <c r="AW112" s="89"/>
    </row>
    <row r="113" spans="2:49" x14ac:dyDescent="0.2">
      <c r="B113" s="127"/>
      <c r="D113" s="171"/>
      <c r="E113" s="171"/>
      <c r="F113" s="171"/>
      <c r="G113" s="171"/>
      <c r="H113" s="171"/>
      <c r="I113" s="171"/>
      <c r="J113" s="171"/>
      <c r="K113" s="171"/>
      <c r="L113" s="171"/>
      <c r="M113" s="173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  <c r="AB113" s="171"/>
      <c r="AC113" s="171"/>
      <c r="AD113" s="171"/>
      <c r="AE113" s="171"/>
      <c r="AF113" s="171"/>
      <c r="AG113" s="171"/>
      <c r="AH113" s="171"/>
      <c r="AI113" s="171"/>
      <c r="AJ113" s="171"/>
      <c r="AK113" s="171"/>
      <c r="AL113" s="171"/>
      <c r="AM113" s="171"/>
      <c r="AR113" s="89"/>
      <c r="AS113" s="89"/>
      <c r="AT113" s="89"/>
      <c r="AU113" s="89"/>
      <c r="AV113" s="89"/>
      <c r="AW113" s="89"/>
    </row>
    <row r="114" spans="2:49" x14ac:dyDescent="0.2">
      <c r="B114" s="127"/>
      <c r="D114" s="171"/>
      <c r="E114" s="171"/>
      <c r="F114" s="171"/>
      <c r="G114" s="171"/>
      <c r="H114" s="171"/>
      <c r="I114" s="171"/>
      <c r="J114" s="171"/>
      <c r="K114" s="171"/>
      <c r="L114" s="171"/>
      <c r="M114" s="173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  <c r="AA114" s="171"/>
      <c r="AB114" s="171"/>
      <c r="AC114" s="171"/>
      <c r="AD114" s="171"/>
      <c r="AE114" s="171"/>
      <c r="AF114" s="171"/>
      <c r="AG114" s="171"/>
      <c r="AH114" s="171"/>
      <c r="AI114" s="171"/>
      <c r="AJ114" s="171"/>
      <c r="AK114" s="171"/>
      <c r="AL114" s="171"/>
      <c r="AM114" s="171"/>
      <c r="AR114" s="89"/>
      <c r="AS114" s="89"/>
      <c r="AT114" s="89"/>
      <c r="AU114" s="89"/>
      <c r="AV114" s="89"/>
      <c r="AW114" s="89"/>
    </row>
    <row r="115" spans="2:49" x14ac:dyDescent="0.2">
      <c r="B115" s="127"/>
      <c r="D115" s="171"/>
      <c r="E115" s="171"/>
      <c r="F115" s="171"/>
      <c r="G115" s="171"/>
      <c r="H115" s="171"/>
      <c r="I115" s="171"/>
      <c r="J115" s="171"/>
      <c r="K115" s="171"/>
      <c r="L115" s="171"/>
      <c r="M115" s="173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  <c r="AB115" s="171"/>
      <c r="AC115" s="171"/>
      <c r="AD115" s="171"/>
      <c r="AE115" s="171"/>
      <c r="AF115" s="171"/>
      <c r="AG115" s="171"/>
      <c r="AH115" s="171"/>
      <c r="AI115" s="171"/>
      <c r="AJ115" s="171"/>
      <c r="AK115" s="171"/>
      <c r="AL115" s="171"/>
      <c r="AM115" s="171"/>
      <c r="AR115" s="89"/>
      <c r="AS115" s="89"/>
      <c r="AT115" s="89"/>
      <c r="AU115" s="89"/>
      <c r="AV115" s="89"/>
      <c r="AW115" s="89"/>
    </row>
    <row r="116" spans="2:49" x14ac:dyDescent="0.2">
      <c r="B116" s="127"/>
      <c r="D116" s="171"/>
      <c r="E116" s="171"/>
      <c r="F116" s="171"/>
      <c r="G116" s="171"/>
      <c r="H116" s="171"/>
      <c r="I116" s="171"/>
      <c r="J116" s="171"/>
      <c r="K116" s="171"/>
      <c r="L116" s="171"/>
      <c r="M116" s="173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  <c r="AB116" s="171"/>
      <c r="AC116" s="171"/>
      <c r="AD116" s="171"/>
      <c r="AE116" s="171"/>
      <c r="AF116" s="171"/>
      <c r="AG116" s="171"/>
      <c r="AH116" s="171"/>
      <c r="AI116" s="171"/>
      <c r="AJ116" s="171"/>
      <c r="AK116" s="171"/>
      <c r="AL116" s="171"/>
      <c r="AM116" s="171"/>
      <c r="AR116" s="89"/>
      <c r="AS116" s="89"/>
      <c r="AT116" s="89"/>
      <c r="AU116" s="89"/>
      <c r="AV116" s="89"/>
      <c r="AW116" s="89"/>
    </row>
    <row r="117" spans="2:49" x14ac:dyDescent="0.2">
      <c r="B117" s="127"/>
      <c r="D117" s="171"/>
      <c r="E117" s="171"/>
      <c r="F117" s="171"/>
      <c r="G117" s="171"/>
      <c r="H117" s="171"/>
      <c r="I117" s="171"/>
      <c r="J117" s="171"/>
      <c r="K117" s="171"/>
      <c r="L117" s="171"/>
      <c r="M117" s="173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  <c r="AA117" s="171"/>
      <c r="AB117" s="171"/>
      <c r="AC117" s="171"/>
      <c r="AD117" s="171"/>
      <c r="AE117" s="171"/>
      <c r="AF117" s="171"/>
      <c r="AG117" s="171"/>
      <c r="AH117" s="171"/>
      <c r="AI117" s="171"/>
      <c r="AJ117" s="171"/>
      <c r="AK117" s="171"/>
      <c r="AL117" s="171"/>
      <c r="AM117" s="171"/>
      <c r="AR117" s="89"/>
      <c r="AS117" s="89"/>
      <c r="AT117" s="89"/>
      <c r="AU117" s="89"/>
      <c r="AV117" s="89"/>
      <c r="AW117" s="89"/>
    </row>
    <row r="118" spans="2:49" x14ac:dyDescent="0.2">
      <c r="B118" s="127"/>
      <c r="D118" s="171"/>
      <c r="E118" s="171"/>
      <c r="F118" s="171"/>
      <c r="G118" s="171"/>
      <c r="H118" s="171"/>
      <c r="I118" s="171"/>
      <c r="J118" s="171"/>
      <c r="K118" s="171"/>
      <c r="L118" s="171"/>
      <c r="M118" s="173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  <c r="AA118" s="171"/>
      <c r="AB118" s="171"/>
      <c r="AC118" s="171"/>
      <c r="AD118" s="171"/>
      <c r="AE118" s="171"/>
      <c r="AF118" s="171"/>
      <c r="AG118" s="171"/>
      <c r="AH118" s="171"/>
      <c r="AI118" s="171"/>
      <c r="AJ118" s="171"/>
      <c r="AK118" s="171"/>
      <c r="AL118" s="171"/>
      <c r="AM118" s="171"/>
      <c r="AR118" s="89"/>
      <c r="AS118" s="89"/>
      <c r="AT118" s="89"/>
      <c r="AU118" s="89"/>
      <c r="AV118" s="89"/>
      <c r="AW118" s="89"/>
    </row>
    <row r="119" spans="2:49" x14ac:dyDescent="0.2">
      <c r="B119" s="127"/>
      <c r="D119" s="171"/>
      <c r="E119" s="171"/>
      <c r="F119" s="171"/>
      <c r="G119" s="171"/>
      <c r="H119" s="171"/>
      <c r="I119" s="171"/>
      <c r="J119" s="171"/>
      <c r="K119" s="171"/>
      <c r="L119" s="171"/>
      <c r="M119" s="173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  <c r="AA119" s="171"/>
      <c r="AB119" s="171"/>
      <c r="AC119" s="171"/>
      <c r="AD119" s="171"/>
      <c r="AE119" s="171"/>
      <c r="AF119" s="171"/>
      <c r="AG119" s="171"/>
      <c r="AH119" s="171"/>
      <c r="AI119" s="171"/>
      <c r="AJ119" s="171"/>
      <c r="AK119" s="171"/>
      <c r="AL119" s="171"/>
      <c r="AM119" s="171"/>
      <c r="AR119" s="89"/>
      <c r="AS119" s="89"/>
      <c r="AT119" s="89"/>
      <c r="AU119" s="89"/>
      <c r="AV119" s="89"/>
      <c r="AW119" s="89"/>
    </row>
    <row r="120" spans="2:49" x14ac:dyDescent="0.2">
      <c r="B120" s="127"/>
      <c r="D120" s="171"/>
      <c r="E120" s="171"/>
      <c r="F120" s="171"/>
      <c r="G120" s="171"/>
      <c r="H120" s="171"/>
      <c r="I120" s="171"/>
      <c r="J120" s="171"/>
      <c r="K120" s="171"/>
      <c r="L120" s="171"/>
      <c r="M120" s="173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  <c r="AA120" s="171"/>
      <c r="AB120" s="171"/>
      <c r="AC120" s="171"/>
      <c r="AD120" s="171"/>
      <c r="AE120" s="171"/>
      <c r="AF120" s="171"/>
      <c r="AG120" s="171"/>
      <c r="AH120" s="171"/>
      <c r="AI120" s="171"/>
      <c r="AJ120" s="171"/>
      <c r="AK120" s="171"/>
      <c r="AL120" s="171"/>
      <c r="AM120" s="171"/>
      <c r="AR120" s="89"/>
      <c r="AS120" s="89"/>
      <c r="AT120" s="89"/>
      <c r="AU120" s="89"/>
      <c r="AV120" s="89"/>
      <c r="AW120" s="89"/>
    </row>
    <row r="121" spans="2:49" x14ac:dyDescent="0.2">
      <c r="B121" s="127"/>
      <c r="D121" s="171"/>
      <c r="E121" s="171"/>
      <c r="F121" s="171"/>
      <c r="G121" s="171"/>
      <c r="H121" s="171"/>
      <c r="I121" s="171"/>
      <c r="J121" s="171"/>
      <c r="K121" s="171"/>
      <c r="L121" s="171"/>
      <c r="M121" s="173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  <c r="AA121" s="171"/>
      <c r="AB121" s="171"/>
      <c r="AC121" s="171"/>
      <c r="AD121" s="171"/>
      <c r="AE121" s="171"/>
      <c r="AF121" s="171"/>
      <c r="AG121" s="171"/>
      <c r="AH121" s="171"/>
      <c r="AI121" s="171"/>
      <c r="AJ121" s="171"/>
      <c r="AK121" s="171"/>
      <c r="AL121" s="171"/>
      <c r="AM121" s="171"/>
      <c r="AR121" s="89"/>
      <c r="AS121" s="89"/>
      <c r="AT121" s="89"/>
      <c r="AU121" s="89"/>
      <c r="AV121" s="89"/>
      <c r="AW121" s="89"/>
    </row>
    <row r="122" spans="2:49" x14ac:dyDescent="0.2">
      <c r="B122" s="127"/>
      <c r="D122" s="171"/>
      <c r="E122" s="171"/>
      <c r="F122" s="171"/>
      <c r="G122" s="171"/>
      <c r="H122" s="171"/>
      <c r="I122" s="171"/>
      <c r="J122" s="171"/>
      <c r="K122" s="171"/>
      <c r="L122" s="171"/>
      <c r="M122" s="173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  <c r="AA122" s="171"/>
      <c r="AB122" s="171"/>
      <c r="AC122" s="171"/>
      <c r="AD122" s="171"/>
      <c r="AE122" s="171"/>
      <c r="AF122" s="171"/>
      <c r="AG122" s="171"/>
      <c r="AH122" s="171"/>
      <c r="AI122" s="171"/>
      <c r="AJ122" s="171"/>
      <c r="AK122" s="171"/>
      <c r="AL122" s="171"/>
      <c r="AM122" s="171"/>
      <c r="AR122" s="89"/>
      <c r="AS122" s="89"/>
      <c r="AT122" s="89"/>
      <c r="AU122" s="89"/>
      <c r="AV122" s="89"/>
      <c r="AW122" s="89"/>
    </row>
    <row r="123" spans="2:49" x14ac:dyDescent="0.2">
      <c r="B123" s="127"/>
      <c r="D123" s="171"/>
      <c r="E123" s="171"/>
      <c r="F123" s="171"/>
      <c r="G123" s="171"/>
      <c r="H123" s="171"/>
      <c r="I123" s="171"/>
      <c r="J123" s="171"/>
      <c r="K123" s="171"/>
      <c r="L123" s="171"/>
      <c r="M123" s="173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  <c r="AA123" s="171"/>
      <c r="AB123" s="171"/>
      <c r="AC123" s="171"/>
      <c r="AD123" s="171"/>
      <c r="AE123" s="171"/>
      <c r="AF123" s="171"/>
      <c r="AG123" s="171"/>
      <c r="AH123" s="171"/>
      <c r="AI123" s="171"/>
      <c r="AJ123" s="171"/>
      <c r="AK123" s="171"/>
      <c r="AL123" s="171"/>
      <c r="AM123" s="171"/>
      <c r="AR123" s="89"/>
      <c r="AS123" s="89"/>
      <c r="AT123" s="89"/>
      <c r="AU123" s="89"/>
      <c r="AV123" s="89"/>
      <c r="AW123" s="89"/>
    </row>
    <row r="124" spans="2:49" x14ac:dyDescent="0.2">
      <c r="B124" s="127"/>
      <c r="D124" s="171"/>
      <c r="E124" s="171"/>
      <c r="F124" s="171"/>
      <c r="G124" s="171"/>
      <c r="H124" s="171"/>
      <c r="I124" s="171"/>
      <c r="J124" s="171"/>
      <c r="K124" s="171"/>
      <c r="L124" s="171"/>
      <c r="M124" s="173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  <c r="AA124" s="171"/>
      <c r="AB124" s="171"/>
      <c r="AC124" s="171"/>
      <c r="AD124" s="171"/>
      <c r="AE124" s="171"/>
      <c r="AF124" s="171"/>
      <c r="AG124" s="171"/>
      <c r="AH124" s="171"/>
      <c r="AI124" s="171"/>
      <c r="AJ124" s="171"/>
      <c r="AK124" s="171"/>
      <c r="AL124" s="171"/>
      <c r="AM124" s="171"/>
      <c r="AR124" s="89"/>
      <c r="AS124" s="89"/>
      <c r="AT124" s="89"/>
      <c r="AU124" s="89"/>
      <c r="AV124" s="89"/>
      <c r="AW124" s="89"/>
    </row>
    <row r="125" spans="2:49" x14ac:dyDescent="0.2">
      <c r="B125" s="127"/>
      <c r="D125" s="171"/>
      <c r="E125" s="171"/>
      <c r="F125" s="171"/>
      <c r="G125" s="171"/>
      <c r="H125" s="171"/>
      <c r="I125" s="171"/>
      <c r="J125" s="171"/>
      <c r="K125" s="171"/>
      <c r="L125" s="171"/>
      <c r="M125" s="173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  <c r="AA125" s="171"/>
      <c r="AB125" s="171"/>
      <c r="AC125" s="171"/>
      <c r="AD125" s="171"/>
      <c r="AE125" s="171"/>
      <c r="AF125" s="171"/>
      <c r="AG125" s="171"/>
      <c r="AH125" s="171"/>
      <c r="AI125" s="171"/>
      <c r="AJ125" s="171"/>
      <c r="AK125" s="171"/>
      <c r="AL125" s="171"/>
      <c r="AM125" s="171"/>
      <c r="AR125" s="89"/>
      <c r="AS125" s="89"/>
      <c r="AT125" s="89"/>
      <c r="AU125" s="89"/>
      <c r="AV125" s="89"/>
      <c r="AW125" s="89"/>
    </row>
    <row r="126" spans="2:49" x14ac:dyDescent="0.2">
      <c r="B126" s="127"/>
      <c r="D126" s="171"/>
      <c r="E126" s="171"/>
      <c r="F126" s="171"/>
      <c r="G126" s="171"/>
      <c r="H126" s="171"/>
      <c r="I126" s="171"/>
      <c r="J126" s="171"/>
      <c r="K126" s="171"/>
      <c r="L126" s="171"/>
      <c r="M126" s="173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  <c r="AA126" s="171"/>
      <c r="AB126" s="171"/>
      <c r="AC126" s="171"/>
      <c r="AD126" s="171"/>
      <c r="AE126" s="171"/>
      <c r="AF126" s="171"/>
      <c r="AG126" s="171"/>
      <c r="AH126" s="171"/>
      <c r="AI126" s="171"/>
      <c r="AJ126" s="171"/>
      <c r="AK126" s="171"/>
      <c r="AL126" s="171"/>
      <c r="AM126" s="171"/>
      <c r="AR126" s="89"/>
      <c r="AS126" s="89"/>
      <c r="AT126" s="89"/>
      <c r="AU126" s="89"/>
      <c r="AV126" s="89"/>
      <c r="AW126" s="89"/>
    </row>
    <row r="127" spans="2:49" x14ac:dyDescent="0.2">
      <c r="B127" s="127"/>
      <c r="D127" s="171"/>
      <c r="E127" s="171"/>
      <c r="F127" s="171"/>
      <c r="G127" s="171"/>
      <c r="H127" s="171"/>
      <c r="I127" s="171"/>
      <c r="J127" s="171"/>
      <c r="K127" s="171"/>
      <c r="L127" s="171"/>
      <c r="M127" s="173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  <c r="AA127" s="171"/>
      <c r="AB127" s="171"/>
      <c r="AC127" s="171"/>
      <c r="AD127" s="171"/>
      <c r="AE127" s="171"/>
      <c r="AF127" s="171"/>
      <c r="AG127" s="171"/>
      <c r="AH127" s="171"/>
      <c r="AI127" s="171"/>
      <c r="AJ127" s="171"/>
      <c r="AK127" s="171"/>
      <c r="AL127" s="171"/>
      <c r="AM127" s="171"/>
      <c r="AR127" s="89"/>
      <c r="AS127" s="89"/>
      <c r="AT127" s="89"/>
      <c r="AU127" s="89"/>
      <c r="AV127" s="89"/>
      <c r="AW127" s="89"/>
    </row>
    <row r="128" spans="2:49" x14ac:dyDescent="0.2">
      <c r="B128" s="127"/>
      <c r="D128" s="171"/>
      <c r="E128" s="171"/>
      <c r="F128" s="171"/>
      <c r="G128" s="171"/>
      <c r="H128" s="171"/>
      <c r="I128" s="171"/>
      <c r="J128" s="171"/>
      <c r="K128" s="171"/>
      <c r="L128" s="171"/>
      <c r="M128" s="173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  <c r="AA128" s="171"/>
      <c r="AB128" s="171"/>
      <c r="AC128" s="171"/>
      <c r="AD128" s="171"/>
      <c r="AE128" s="171"/>
      <c r="AF128" s="171"/>
      <c r="AG128" s="171"/>
      <c r="AH128" s="171"/>
      <c r="AI128" s="171"/>
      <c r="AJ128" s="171"/>
      <c r="AK128" s="171"/>
      <c r="AL128" s="171"/>
      <c r="AM128" s="171"/>
      <c r="AR128" s="89"/>
      <c r="AS128" s="89"/>
      <c r="AT128" s="89"/>
      <c r="AU128" s="89"/>
      <c r="AV128" s="89"/>
      <c r="AW128" s="89"/>
    </row>
    <row r="129" spans="2:49" x14ac:dyDescent="0.2">
      <c r="B129" s="127"/>
      <c r="D129" s="171"/>
      <c r="E129" s="171"/>
      <c r="F129" s="171"/>
      <c r="G129" s="171"/>
      <c r="H129" s="171"/>
      <c r="I129" s="171"/>
      <c r="J129" s="171"/>
      <c r="K129" s="171"/>
      <c r="L129" s="171"/>
      <c r="M129" s="173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171"/>
      <c r="AB129" s="171"/>
      <c r="AC129" s="171"/>
      <c r="AD129" s="171"/>
      <c r="AE129" s="171"/>
      <c r="AF129" s="171"/>
      <c r="AG129" s="171"/>
      <c r="AH129" s="171"/>
      <c r="AI129" s="171"/>
      <c r="AJ129" s="171"/>
      <c r="AK129" s="171"/>
      <c r="AL129" s="171"/>
      <c r="AM129" s="171"/>
      <c r="AR129" s="89"/>
      <c r="AS129" s="89"/>
      <c r="AT129" s="89"/>
      <c r="AU129" s="89"/>
      <c r="AV129" s="89"/>
      <c r="AW129" s="89"/>
    </row>
    <row r="130" spans="2:49" x14ac:dyDescent="0.2">
      <c r="B130" s="127"/>
      <c r="D130" s="171"/>
      <c r="E130" s="171"/>
      <c r="F130" s="171"/>
      <c r="G130" s="171"/>
      <c r="H130" s="171"/>
      <c r="I130" s="171"/>
      <c r="J130" s="171"/>
      <c r="K130" s="171"/>
      <c r="L130" s="171"/>
      <c r="M130" s="173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171"/>
      <c r="AB130" s="171"/>
      <c r="AC130" s="171"/>
      <c r="AD130" s="171"/>
      <c r="AE130" s="171"/>
      <c r="AF130" s="171"/>
      <c r="AG130" s="171"/>
      <c r="AH130" s="171"/>
      <c r="AI130" s="171"/>
      <c r="AJ130" s="171"/>
      <c r="AK130" s="171"/>
      <c r="AL130" s="171"/>
      <c r="AM130" s="171"/>
      <c r="AR130" s="89"/>
      <c r="AS130" s="89"/>
      <c r="AT130" s="89"/>
      <c r="AU130" s="89"/>
      <c r="AV130" s="89"/>
      <c r="AW130" s="89"/>
    </row>
    <row r="131" spans="2:49" x14ac:dyDescent="0.2">
      <c r="B131" s="127"/>
      <c r="D131" s="171"/>
      <c r="E131" s="171"/>
      <c r="F131" s="171"/>
      <c r="G131" s="171"/>
      <c r="H131" s="171"/>
      <c r="I131" s="171"/>
      <c r="J131" s="171"/>
      <c r="K131" s="171"/>
      <c r="L131" s="171"/>
      <c r="M131" s="173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171"/>
      <c r="AB131" s="171"/>
      <c r="AC131" s="171"/>
      <c r="AD131" s="171"/>
      <c r="AE131" s="171"/>
      <c r="AF131" s="171"/>
      <c r="AG131" s="171"/>
      <c r="AH131" s="171"/>
      <c r="AI131" s="171"/>
      <c r="AJ131" s="171"/>
      <c r="AK131" s="171"/>
      <c r="AL131" s="171"/>
      <c r="AM131" s="171"/>
      <c r="AR131" s="89"/>
      <c r="AS131" s="89"/>
      <c r="AT131" s="89"/>
      <c r="AU131" s="89"/>
      <c r="AV131" s="89"/>
      <c r="AW131" s="89"/>
    </row>
    <row r="132" spans="2:49" x14ac:dyDescent="0.2">
      <c r="B132" s="127"/>
      <c r="D132" s="171"/>
      <c r="E132" s="171"/>
      <c r="F132" s="171"/>
      <c r="G132" s="171"/>
      <c r="H132" s="171"/>
      <c r="I132" s="171"/>
      <c r="J132" s="171"/>
      <c r="K132" s="171"/>
      <c r="L132" s="171"/>
      <c r="M132" s="173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  <c r="AA132" s="171"/>
      <c r="AB132" s="171"/>
      <c r="AC132" s="171"/>
      <c r="AD132" s="171"/>
      <c r="AE132" s="171"/>
      <c r="AF132" s="171"/>
      <c r="AG132" s="171"/>
      <c r="AH132" s="171"/>
      <c r="AI132" s="171"/>
      <c r="AJ132" s="171"/>
      <c r="AK132" s="171"/>
      <c r="AL132" s="171"/>
      <c r="AM132" s="171"/>
      <c r="AR132" s="89"/>
      <c r="AS132" s="89"/>
      <c r="AT132" s="89"/>
      <c r="AU132" s="89"/>
      <c r="AV132" s="89"/>
      <c r="AW132" s="89"/>
    </row>
    <row r="133" spans="2:49" x14ac:dyDescent="0.2">
      <c r="B133" s="127"/>
      <c r="D133" s="171"/>
      <c r="E133" s="171"/>
      <c r="F133" s="171"/>
      <c r="G133" s="171"/>
      <c r="H133" s="171"/>
      <c r="I133" s="171"/>
      <c r="J133" s="171"/>
      <c r="K133" s="171"/>
      <c r="L133" s="171"/>
      <c r="M133" s="173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1"/>
      <c r="AF133" s="171"/>
      <c r="AG133" s="171"/>
      <c r="AH133" s="171"/>
      <c r="AI133" s="171"/>
      <c r="AJ133" s="171"/>
      <c r="AK133" s="171"/>
      <c r="AL133" s="171"/>
      <c r="AM133" s="171"/>
      <c r="AR133" s="89"/>
      <c r="AS133" s="89"/>
      <c r="AT133" s="89"/>
      <c r="AU133" s="89"/>
      <c r="AV133" s="89"/>
      <c r="AW133" s="89"/>
    </row>
    <row r="134" spans="2:49" x14ac:dyDescent="0.2">
      <c r="B134" s="127"/>
      <c r="D134" s="171"/>
      <c r="E134" s="171"/>
      <c r="F134" s="171"/>
      <c r="G134" s="171"/>
      <c r="H134" s="171"/>
      <c r="I134" s="171"/>
      <c r="J134" s="171"/>
      <c r="K134" s="171"/>
      <c r="L134" s="171"/>
      <c r="M134" s="173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1"/>
      <c r="AF134" s="171"/>
      <c r="AG134" s="171"/>
      <c r="AH134" s="171"/>
      <c r="AI134" s="171"/>
      <c r="AJ134" s="171"/>
      <c r="AK134" s="171"/>
      <c r="AL134" s="171"/>
      <c r="AM134" s="171"/>
      <c r="AR134" s="89"/>
      <c r="AS134" s="89"/>
      <c r="AT134" s="89"/>
      <c r="AU134" s="89"/>
      <c r="AV134" s="89"/>
      <c r="AW134" s="89"/>
    </row>
    <row r="135" spans="2:49" x14ac:dyDescent="0.2">
      <c r="B135" s="127"/>
      <c r="D135" s="171"/>
      <c r="E135" s="171"/>
      <c r="F135" s="171"/>
      <c r="G135" s="171"/>
      <c r="H135" s="171"/>
      <c r="I135" s="171"/>
      <c r="J135" s="171"/>
      <c r="K135" s="171"/>
      <c r="L135" s="171"/>
      <c r="M135" s="173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/>
      <c r="AJ135" s="171"/>
      <c r="AK135" s="171"/>
      <c r="AL135" s="171"/>
      <c r="AM135" s="171"/>
      <c r="AR135" s="89"/>
      <c r="AS135" s="89"/>
      <c r="AT135" s="89"/>
      <c r="AU135" s="89"/>
      <c r="AV135" s="89"/>
      <c r="AW135" s="89"/>
    </row>
    <row r="136" spans="2:49" x14ac:dyDescent="0.2">
      <c r="B136" s="127"/>
      <c r="D136" s="171"/>
      <c r="E136" s="171"/>
      <c r="F136" s="171"/>
      <c r="G136" s="171"/>
      <c r="H136" s="171"/>
      <c r="I136" s="171"/>
      <c r="J136" s="171"/>
      <c r="K136" s="171"/>
      <c r="L136" s="171"/>
      <c r="M136" s="173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1"/>
      <c r="AF136" s="171"/>
      <c r="AG136" s="171"/>
      <c r="AH136" s="171"/>
      <c r="AI136" s="171"/>
      <c r="AJ136" s="171"/>
      <c r="AK136" s="171"/>
      <c r="AL136" s="171"/>
      <c r="AM136" s="171"/>
      <c r="AR136" s="89"/>
      <c r="AS136" s="89"/>
      <c r="AT136" s="89"/>
      <c r="AU136" s="89"/>
      <c r="AV136" s="89"/>
      <c r="AW136" s="89"/>
    </row>
    <row r="137" spans="2:49" x14ac:dyDescent="0.2">
      <c r="B137" s="127"/>
      <c r="D137" s="171"/>
      <c r="E137" s="171"/>
      <c r="F137" s="171"/>
      <c r="G137" s="171"/>
      <c r="H137" s="171"/>
      <c r="I137" s="171"/>
      <c r="J137" s="171"/>
      <c r="K137" s="171"/>
      <c r="L137" s="171"/>
      <c r="M137" s="173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1"/>
      <c r="AF137" s="171"/>
      <c r="AG137" s="171"/>
      <c r="AH137" s="171"/>
      <c r="AI137" s="171"/>
      <c r="AJ137" s="171"/>
      <c r="AK137" s="171"/>
      <c r="AL137" s="171"/>
      <c r="AM137" s="171"/>
      <c r="AR137" s="89"/>
      <c r="AS137" s="89"/>
      <c r="AT137" s="89"/>
      <c r="AU137" s="89"/>
      <c r="AV137" s="89"/>
      <c r="AW137" s="89"/>
    </row>
    <row r="138" spans="2:49" x14ac:dyDescent="0.2">
      <c r="B138" s="127"/>
      <c r="D138" s="171"/>
      <c r="E138" s="171"/>
      <c r="F138" s="171"/>
      <c r="G138" s="171"/>
      <c r="H138" s="171"/>
      <c r="I138" s="171"/>
      <c r="J138" s="171"/>
      <c r="K138" s="171"/>
      <c r="L138" s="171"/>
      <c r="M138" s="173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1"/>
      <c r="AF138" s="171"/>
      <c r="AG138" s="171"/>
      <c r="AH138" s="171"/>
      <c r="AI138" s="171"/>
      <c r="AJ138" s="171"/>
      <c r="AK138" s="171"/>
      <c r="AL138" s="171"/>
      <c r="AM138" s="171"/>
      <c r="AR138" s="89"/>
      <c r="AS138" s="89"/>
      <c r="AT138" s="89"/>
      <c r="AU138" s="89"/>
      <c r="AV138" s="89"/>
      <c r="AW138" s="89"/>
    </row>
    <row r="139" spans="2:49" x14ac:dyDescent="0.2">
      <c r="B139" s="127"/>
      <c r="D139" s="171"/>
      <c r="E139" s="171"/>
      <c r="F139" s="171"/>
      <c r="G139" s="171"/>
      <c r="H139" s="171"/>
      <c r="I139" s="171"/>
      <c r="J139" s="171"/>
      <c r="K139" s="171"/>
      <c r="L139" s="171"/>
      <c r="M139" s="173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  <c r="AA139" s="171"/>
      <c r="AB139" s="171"/>
      <c r="AC139" s="171"/>
      <c r="AD139" s="171"/>
      <c r="AE139" s="171"/>
      <c r="AF139" s="171"/>
      <c r="AG139" s="171"/>
      <c r="AH139" s="171"/>
      <c r="AI139" s="171"/>
      <c r="AJ139" s="171"/>
      <c r="AK139" s="171"/>
      <c r="AL139" s="171"/>
      <c r="AM139" s="171"/>
      <c r="AR139" s="89"/>
      <c r="AS139" s="89"/>
      <c r="AT139" s="89"/>
      <c r="AU139" s="89"/>
      <c r="AV139" s="89"/>
      <c r="AW139" s="89"/>
    </row>
    <row r="140" spans="2:49" x14ac:dyDescent="0.2">
      <c r="B140" s="127"/>
      <c r="D140" s="171"/>
      <c r="E140" s="171"/>
      <c r="F140" s="171"/>
      <c r="G140" s="171"/>
      <c r="H140" s="171"/>
      <c r="I140" s="171"/>
      <c r="J140" s="171"/>
      <c r="K140" s="171"/>
      <c r="L140" s="171"/>
      <c r="M140" s="173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R140" s="89"/>
      <c r="AS140" s="89"/>
      <c r="AT140" s="89"/>
      <c r="AU140" s="89"/>
      <c r="AV140" s="89"/>
      <c r="AW140" s="89"/>
    </row>
    <row r="141" spans="2:49" x14ac:dyDescent="0.2">
      <c r="B141" s="127"/>
      <c r="D141" s="171"/>
      <c r="E141" s="171"/>
      <c r="F141" s="171"/>
      <c r="G141" s="171"/>
      <c r="H141" s="171"/>
      <c r="I141" s="171"/>
      <c r="J141" s="171"/>
      <c r="K141" s="171"/>
      <c r="L141" s="171"/>
      <c r="M141" s="173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  <c r="AA141" s="171"/>
      <c r="AB141" s="171"/>
      <c r="AC141" s="171"/>
      <c r="AD141" s="171"/>
      <c r="AE141" s="171"/>
      <c r="AF141" s="171"/>
      <c r="AG141" s="171"/>
      <c r="AH141" s="171"/>
      <c r="AI141" s="171"/>
      <c r="AJ141" s="171"/>
      <c r="AK141" s="171"/>
      <c r="AL141" s="171"/>
      <c r="AM141" s="171"/>
      <c r="AR141" s="89"/>
      <c r="AS141" s="89"/>
      <c r="AT141" s="89"/>
      <c r="AU141" s="89"/>
      <c r="AV141" s="89"/>
      <c r="AW141" s="89"/>
    </row>
    <row r="142" spans="2:49" x14ac:dyDescent="0.2">
      <c r="B142" s="127"/>
      <c r="D142" s="171"/>
      <c r="E142" s="171"/>
      <c r="F142" s="171"/>
      <c r="G142" s="171"/>
      <c r="H142" s="171"/>
      <c r="I142" s="171"/>
      <c r="J142" s="171"/>
      <c r="K142" s="171"/>
      <c r="L142" s="171"/>
      <c r="M142" s="173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  <c r="AA142" s="171"/>
      <c r="AB142" s="171"/>
      <c r="AC142" s="171"/>
      <c r="AD142" s="171"/>
      <c r="AE142" s="171"/>
      <c r="AF142" s="171"/>
      <c r="AG142" s="171"/>
      <c r="AH142" s="171"/>
      <c r="AI142" s="171"/>
      <c r="AJ142" s="171"/>
      <c r="AK142" s="171"/>
      <c r="AL142" s="171"/>
      <c r="AM142" s="171"/>
      <c r="AR142" s="89"/>
      <c r="AS142" s="89"/>
      <c r="AT142" s="89"/>
      <c r="AU142" s="89"/>
      <c r="AV142" s="89"/>
      <c r="AW142" s="89"/>
    </row>
    <row r="143" spans="2:49" x14ac:dyDescent="0.2">
      <c r="B143" s="127"/>
      <c r="D143" s="171"/>
      <c r="E143" s="171"/>
      <c r="F143" s="171"/>
      <c r="G143" s="171"/>
      <c r="H143" s="171"/>
      <c r="I143" s="171"/>
      <c r="J143" s="171"/>
      <c r="K143" s="171"/>
      <c r="L143" s="171"/>
      <c r="M143" s="173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  <c r="AA143" s="171"/>
      <c r="AB143" s="171"/>
      <c r="AC143" s="171"/>
      <c r="AD143" s="171"/>
      <c r="AE143" s="171"/>
      <c r="AF143" s="171"/>
      <c r="AG143" s="171"/>
      <c r="AH143" s="171"/>
      <c r="AI143" s="171"/>
      <c r="AJ143" s="171"/>
      <c r="AK143" s="171"/>
      <c r="AL143" s="171"/>
      <c r="AM143" s="171"/>
      <c r="AR143" s="89"/>
      <c r="AS143" s="89"/>
      <c r="AT143" s="89"/>
      <c r="AU143" s="89"/>
      <c r="AV143" s="89"/>
      <c r="AW143" s="89"/>
    </row>
    <row r="144" spans="2:49" x14ac:dyDescent="0.2">
      <c r="B144" s="127"/>
      <c r="D144" s="171"/>
      <c r="E144" s="171"/>
      <c r="F144" s="171"/>
      <c r="G144" s="171"/>
      <c r="H144" s="171"/>
      <c r="I144" s="171"/>
      <c r="J144" s="171"/>
      <c r="K144" s="171"/>
      <c r="L144" s="171"/>
      <c r="M144" s="173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  <c r="AA144" s="171"/>
      <c r="AB144" s="171"/>
      <c r="AC144" s="171"/>
      <c r="AD144" s="171"/>
      <c r="AE144" s="171"/>
      <c r="AF144" s="171"/>
      <c r="AG144" s="171"/>
      <c r="AH144" s="171"/>
      <c r="AI144" s="171"/>
      <c r="AJ144" s="171"/>
      <c r="AK144" s="171"/>
      <c r="AL144" s="171"/>
      <c r="AM144" s="171"/>
      <c r="AR144" s="89"/>
      <c r="AS144" s="89"/>
      <c r="AT144" s="89"/>
      <c r="AU144" s="89"/>
      <c r="AV144" s="89"/>
      <c r="AW144" s="89"/>
    </row>
    <row r="145" spans="2:49" x14ac:dyDescent="0.2">
      <c r="B145" s="127"/>
      <c r="D145" s="171"/>
      <c r="E145" s="171"/>
      <c r="F145" s="171"/>
      <c r="G145" s="171"/>
      <c r="H145" s="171"/>
      <c r="I145" s="171"/>
      <c r="J145" s="171"/>
      <c r="K145" s="171"/>
      <c r="L145" s="171"/>
      <c r="M145" s="173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  <c r="AA145" s="171"/>
      <c r="AB145" s="171"/>
      <c r="AC145" s="171"/>
      <c r="AD145" s="171"/>
      <c r="AE145" s="171"/>
      <c r="AF145" s="171"/>
      <c r="AG145" s="171"/>
      <c r="AH145" s="171"/>
      <c r="AI145" s="171"/>
      <c r="AJ145" s="171"/>
      <c r="AK145" s="171"/>
      <c r="AL145" s="171"/>
      <c r="AM145" s="171"/>
      <c r="AR145" s="89"/>
      <c r="AS145" s="89"/>
      <c r="AT145" s="89"/>
      <c r="AU145" s="89"/>
      <c r="AV145" s="89"/>
      <c r="AW145" s="89"/>
    </row>
    <row r="146" spans="2:49" x14ac:dyDescent="0.2">
      <c r="B146" s="127"/>
      <c r="D146" s="171"/>
      <c r="E146" s="171"/>
      <c r="F146" s="171"/>
      <c r="G146" s="171"/>
      <c r="H146" s="171"/>
      <c r="I146" s="171"/>
      <c r="J146" s="171"/>
      <c r="K146" s="171"/>
      <c r="L146" s="171"/>
      <c r="M146" s="173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  <c r="AA146" s="171"/>
      <c r="AB146" s="171"/>
      <c r="AC146" s="171"/>
      <c r="AD146" s="171"/>
      <c r="AE146" s="171"/>
      <c r="AF146" s="171"/>
      <c r="AG146" s="171"/>
      <c r="AH146" s="171"/>
      <c r="AI146" s="171"/>
      <c r="AJ146" s="171"/>
      <c r="AK146" s="171"/>
      <c r="AL146" s="171"/>
      <c r="AM146" s="171"/>
      <c r="AR146" s="89"/>
      <c r="AS146" s="89"/>
      <c r="AT146" s="89"/>
      <c r="AU146" s="89"/>
      <c r="AV146" s="89"/>
      <c r="AW146" s="89"/>
    </row>
    <row r="147" spans="2:49" x14ac:dyDescent="0.2">
      <c r="B147" s="127"/>
      <c r="D147" s="171"/>
      <c r="E147" s="171"/>
      <c r="F147" s="171"/>
      <c r="G147" s="171"/>
      <c r="H147" s="171"/>
      <c r="I147" s="171"/>
      <c r="J147" s="171"/>
      <c r="K147" s="171"/>
      <c r="L147" s="171"/>
      <c r="M147" s="173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  <c r="AA147" s="171"/>
      <c r="AB147" s="171"/>
      <c r="AC147" s="171"/>
      <c r="AD147" s="171"/>
      <c r="AE147" s="171"/>
      <c r="AF147" s="171"/>
      <c r="AG147" s="171"/>
      <c r="AH147" s="171"/>
      <c r="AI147" s="171"/>
      <c r="AJ147" s="171"/>
      <c r="AK147" s="171"/>
      <c r="AL147" s="171"/>
      <c r="AM147" s="171"/>
      <c r="AR147" s="89"/>
      <c r="AS147" s="89"/>
      <c r="AT147" s="89"/>
      <c r="AU147" s="89"/>
      <c r="AV147" s="89"/>
      <c r="AW147" s="89"/>
    </row>
    <row r="148" spans="2:49" x14ac:dyDescent="0.2">
      <c r="B148" s="127"/>
      <c r="D148" s="171"/>
      <c r="E148" s="171"/>
      <c r="F148" s="171"/>
      <c r="G148" s="171"/>
      <c r="H148" s="171"/>
      <c r="I148" s="171"/>
      <c r="J148" s="171"/>
      <c r="K148" s="171"/>
      <c r="L148" s="171"/>
      <c r="M148" s="173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  <c r="AA148" s="171"/>
      <c r="AB148" s="171"/>
      <c r="AC148" s="171"/>
      <c r="AD148" s="171"/>
      <c r="AE148" s="171"/>
      <c r="AF148" s="171"/>
      <c r="AG148" s="171"/>
      <c r="AH148" s="171"/>
      <c r="AI148" s="171"/>
      <c r="AJ148" s="171"/>
      <c r="AK148" s="171"/>
      <c r="AL148" s="171"/>
      <c r="AM148" s="171"/>
      <c r="AR148" s="89"/>
      <c r="AS148" s="89"/>
      <c r="AT148" s="89"/>
      <c r="AU148" s="89"/>
      <c r="AV148" s="89"/>
      <c r="AW148" s="89"/>
    </row>
    <row r="149" spans="2:49" x14ac:dyDescent="0.2">
      <c r="B149" s="127"/>
      <c r="D149" s="171"/>
      <c r="E149" s="171"/>
      <c r="F149" s="171"/>
      <c r="G149" s="171"/>
      <c r="H149" s="171"/>
      <c r="I149" s="171"/>
      <c r="J149" s="171"/>
      <c r="K149" s="171"/>
      <c r="L149" s="171"/>
      <c r="M149" s="173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  <c r="AA149" s="171"/>
      <c r="AB149" s="171"/>
      <c r="AC149" s="171"/>
      <c r="AD149" s="171"/>
      <c r="AE149" s="171"/>
      <c r="AF149" s="171"/>
      <c r="AG149" s="171"/>
      <c r="AH149" s="171"/>
      <c r="AI149" s="171"/>
      <c r="AJ149" s="171"/>
      <c r="AK149" s="171"/>
      <c r="AL149" s="171"/>
      <c r="AM149" s="171"/>
      <c r="AR149" s="89"/>
      <c r="AS149" s="89"/>
      <c r="AT149" s="89"/>
      <c r="AU149" s="89"/>
      <c r="AV149" s="89"/>
      <c r="AW149" s="89"/>
    </row>
    <row r="150" spans="2:49" x14ac:dyDescent="0.2">
      <c r="B150" s="127"/>
      <c r="D150" s="171"/>
      <c r="E150" s="171"/>
      <c r="F150" s="171"/>
      <c r="G150" s="171"/>
      <c r="H150" s="171"/>
      <c r="I150" s="171"/>
      <c r="J150" s="171"/>
      <c r="K150" s="171"/>
      <c r="L150" s="171"/>
      <c r="M150" s="173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  <c r="AA150" s="171"/>
      <c r="AB150" s="171"/>
      <c r="AC150" s="171"/>
      <c r="AD150" s="171"/>
      <c r="AE150" s="171"/>
      <c r="AF150" s="171"/>
      <c r="AG150" s="171"/>
      <c r="AH150" s="171"/>
      <c r="AI150" s="171"/>
      <c r="AJ150" s="171"/>
      <c r="AK150" s="171"/>
      <c r="AL150" s="171"/>
      <c r="AM150" s="171"/>
      <c r="AR150" s="89"/>
      <c r="AS150" s="89"/>
      <c r="AT150" s="89"/>
      <c r="AU150" s="89"/>
      <c r="AV150" s="89"/>
      <c r="AW150" s="89"/>
    </row>
    <row r="151" spans="2:49" x14ac:dyDescent="0.2">
      <c r="B151" s="127"/>
      <c r="D151" s="171"/>
      <c r="E151" s="171"/>
      <c r="F151" s="171"/>
      <c r="G151" s="171"/>
      <c r="H151" s="171"/>
      <c r="I151" s="171"/>
      <c r="J151" s="171"/>
      <c r="K151" s="171"/>
      <c r="L151" s="171"/>
      <c r="M151" s="173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  <c r="AA151" s="171"/>
      <c r="AB151" s="171"/>
      <c r="AC151" s="171"/>
      <c r="AD151" s="171"/>
      <c r="AE151" s="171"/>
      <c r="AF151" s="171"/>
      <c r="AG151" s="171"/>
      <c r="AH151" s="171"/>
      <c r="AI151" s="171"/>
      <c r="AJ151" s="171"/>
      <c r="AK151" s="171"/>
      <c r="AL151" s="171"/>
      <c r="AM151" s="171"/>
      <c r="AR151" s="89"/>
      <c r="AS151" s="89"/>
      <c r="AT151" s="89"/>
      <c r="AU151" s="89"/>
      <c r="AV151" s="89"/>
      <c r="AW151" s="89"/>
    </row>
    <row r="152" spans="2:49" x14ac:dyDescent="0.2">
      <c r="B152" s="127"/>
      <c r="D152" s="171"/>
      <c r="E152" s="171"/>
      <c r="F152" s="171"/>
      <c r="G152" s="171"/>
      <c r="H152" s="171"/>
      <c r="I152" s="171"/>
      <c r="J152" s="171"/>
      <c r="K152" s="171"/>
      <c r="L152" s="171"/>
      <c r="M152" s="173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  <c r="AA152" s="171"/>
      <c r="AB152" s="171"/>
      <c r="AC152" s="171"/>
      <c r="AD152" s="171"/>
      <c r="AE152" s="171"/>
      <c r="AF152" s="171"/>
      <c r="AG152" s="171"/>
      <c r="AH152" s="171"/>
      <c r="AI152" s="171"/>
      <c r="AJ152" s="171"/>
      <c r="AK152" s="171"/>
      <c r="AL152" s="171"/>
      <c r="AM152" s="171"/>
      <c r="AR152" s="89"/>
      <c r="AS152" s="89"/>
      <c r="AT152" s="89"/>
      <c r="AU152" s="89"/>
      <c r="AV152" s="89"/>
      <c r="AW152" s="89"/>
    </row>
    <row r="153" spans="2:49" x14ac:dyDescent="0.2">
      <c r="B153" s="127"/>
      <c r="D153" s="171"/>
      <c r="E153" s="171"/>
      <c r="F153" s="171"/>
      <c r="G153" s="171"/>
      <c r="H153" s="171"/>
      <c r="I153" s="171"/>
      <c r="J153" s="171"/>
      <c r="K153" s="171"/>
      <c r="L153" s="171"/>
      <c r="M153" s="173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  <c r="AA153" s="171"/>
      <c r="AB153" s="171"/>
      <c r="AC153" s="171"/>
      <c r="AD153" s="171"/>
      <c r="AE153" s="171"/>
      <c r="AF153" s="171"/>
      <c r="AG153" s="171"/>
      <c r="AH153" s="171"/>
      <c r="AI153" s="171"/>
      <c r="AJ153" s="171"/>
      <c r="AK153" s="171"/>
      <c r="AL153" s="171"/>
      <c r="AM153" s="171"/>
      <c r="AR153" s="89"/>
      <c r="AS153" s="89"/>
      <c r="AT153" s="89"/>
      <c r="AU153" s="89"/>
      <c r="AV153" s="89"/>
      <c r="AW153" s="89"/>
    </row>
    <row r="154" spans="2:49" x14ac:dyDescent="0.2">
      <c r="B154" s="127"/>
      <c r="D154" s="171"/>
      <c r="E154" s="171"/>
      <c r="F154" s="171"/>
      <c r="G154" s="171"/>
      <c r="H154" s="171"/>
      <c r="I154" s="171"/>
      <c r="J154" s="171"/>
      <c r="K154" s="171"/>
      <c r="L154" s="171"/>
      <c r="M154" s="173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  <c r="AA154" s="171"/>
      <c r="AB154" s="171"/>
      <c r="AC154" s="171"/>
      <c r="AD154" s="171"/>
      <c r="AE154" s="171"/>
      <c r="AF154" s="171"/>
      <c r="AG154" s="171"/>
      <c r="AH154" s="171"/>
      <c r="AI154" s="171"/>
      <c r="AJ154" s="171"/>
      <c r="AK154" s="171"/>
      <c r="AL154" s="171"/>
      <c r="AM154" s="171"/>
      <c r="AR154" s="89"/>
      <c r="AS154" s="89"/>
      <c r="AT154" s="89"/>
      <c r="AU154" s="89"/>
      <c r="AV154" s="89"/>
      <c r="AW154" s="89"/>
    </row>
    <row r="155" spans="2:49" x14ac:dyDescent="0.2">
      <c r="B155" s="127"/>
      <c r="D155" s="171"/>
      <c r="E155" s="171"/>
      <c r="F155" s="171"/>
      <c r="G155" s="171"/>
      <c r="H155" s="171"/>
      <c r="I155" s="171"/>
      <c r="J155" s="171"/>
      <c r="K155" s="171"/>
      <c r="L155" s="171"/>
      <c r="M155" s="173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  <c r="AA155" s="171"/>
      <c r="AB155" s="171"/>
      <c r="AC155" s="171"/>
      <c r="AD155" s="171"/>
      <c r="AE155" s="171"/>
      <c r="AF155" s="171"/>
      <c r="AG155" s="171"/>
      <c r="AH155" s="171"/>
      <c r="AI155" s="171"/>
      <c r="AJ155" s="171"/>
      <c r="AK155" s="171"/>
      <c r="AL155" s="171"/>
      <c r="AM155" s="171"/>
      <c r="AR155" s="89"/>
      <c r="AS155" s="89"/>
      <c r="AT155" s="89"/>
      <c r="AU155" s="89"/>
      <c r="AV155" s="89"/>
      <c r="AW155" s="89"/>
    </row>
    <row r="156" spans="2:49" x14ac:dyDescent="0.2">
      <c r="B156" s="127"/>
      <c r="D156" s="171"/>
      <c r="E156" s="171"/>
      <c r="F156" s="171"/>
      <c r="G156" s="171"/>
      <c r="H156" s="171"/>
      <c r="I156" s="171"/>
      <c r="J156" s="171"/>
      <c r="K156" s="171"/>
      <c r="L156" s="171"/>
      <c r="M156" s="173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  <c r="AA156" s="171"/>
      <c r="AB156" s="171"/>
      <c r="AC156" s="171"/>
      <c r="AD156" s="171"/>
      <c r="AE156" s="171"/>
      <c r="AF156" s="171"/>
      <c r="AG156" s="171"/>
      <c r="AH156" s="171"/>
      <c r="AI156" s="171"/>
      <c r="AJ156" s="171"/>
      <c r="AK156" s="171"/>
      <c r="AL156" s="171"/>
      <c r="AM156" s="171"/>
      <c r="AR156" s="89"/>
      <c r="AS156" s="89"/>
      <c r="AT156" s="89"/>
      <c r="AU156" s="89"/>
      <c r="AV156" s="89"/>
      <c r="AW156" s="89"/>
    </row>
    <row r="157" spans="2:49" x14ac:dyDescent="0.2">
      <c r="B157" s="127"/>
      <c r="D157" s="171"/>
      <c r="E157" s="171"/>
      <c r="F157" s="171"/>
      <c r="G157" s="171"/>
      <c r="H157" s="171"/>
      <c r="I157" s="171"/>
      <c r="J157" s="171"/>
      <c r="K157" s="171"/>
      <c r="L157" s="171"/>
      <c r="M157" s="173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  <c r="AA157" s="171"/>
      <c r="AB157" s="171"/>
      <c r="AC157" s="171"/>
      <c r="AD157" s="171"/>
      <c r="AE157" s="171"/>
      <c r="AF157" s="171"/>
      <c r="AG157" s="171"/>
      <c r="AH157" s="171"/>
      <c r="AI157" s="171"/>
      <c r="AJ157" s="171"/>
      <c r="AK157" s="171"/>
      <c r="AL157" s="171"/>
      <c r="AM157" s="171"/>
      <c r="AR157" s="89"/>
      <c r="AS157" s="89"/>
      <c r="AT157" s="89"/>
      <c r="AU157" s="89"/>
      <c r="AV157" s="89"/>
      <c r="AW157" s="89"/>
    </row>
    <row r="158" spans="2:49" x14ac:dyDescent="0.2">
      <c r="B158" s="127"/>
      <c r="D158" s="171"/>
      <c r="E158" s="171"/>
      <c r="F158" s="171"/>
      <c r="G158" s="171"/>
      <c r="H158" s="171"/>
      <c r="I158" s="171"/>
      <c r="J158" s="171"/>
      <c r="K158" s="171"/>
      <c r="L158" s="171"/>
      <c r="M158" s="173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  <c r="AA158" s="171"/>
      <c r="AB158" s="171"/>
      <c r="AC158" s="171"/>
      <c r="AD158" s="171"/>
      <c r="AE158" s="171"/>
      <c r="AF158" s="171"/>
      <c r="AG158" s="171"/>
      <c r="AH158" s="171"/>
      <c r="AI158" s="171"/>
      <c r="AJ158" s="171"/>
      <c r="AK158" s="171"/>
      <c r="AL158" s="171"/>
      <c r="AM158" s="171"/>
      <c r="AR158" s="89"/>
      <c r="AS158" s="89"/>
      <c r="AT158" s="89"/>
      <c r="AU158" s="89"/>
      <c r="AV158" s="89"/>
      <c r="AW158" s="89"/>
    </row>
    <row r="159" spans="2:49" x14ac:dyDescent="0.2">
      <c r="B159" s="127"/>
      <c r="D159" s="171"/>
      <c r="E159" s="171"/>
      <c r="F159" s="171"/>
      <c r="G159" s="171"/>
      <c r="H159" s="171"/>
      <c r="I159" s="171"/>
      <c r="J159" s="171"/>
      <c r="K159" s="171"/>
      <c r="L159" s="171"/>
      <c r="M159" s="173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  <c r="AA159" s="171"/>
      <c r="AB159" s="171"/>
      <c r="AC159" s="171"/>
      <c r="AD159" s="171"/>
      <c r="AE159" s="171"/>
      <c r="AF159" s="171"/>
      <c r="AG159" s="171"/>
      <c r="AH159" s="171"/>
      <c r="AI159" s="171"/>
      <c r="AJ159" s="171"/>
      <c r="AK159" s="171"/>
      <c r="AL159" s="171"/>
      <c r="AM159" s="171"/>
      <c r="AR159" s="89"/>
      <c r="AS159" s="89"/>
      <c r="AT159" s="89"/>
      <c r="AU159" s="89"/>
      <c r="AV159" s="89"/>
      <c r="AW159" s="89"/>
    </row>
    <row r="160" spans="2:49" x14ac:dyDescent="0.2">
      <c r="B160" s="127"/>
      <c r="D160" s="171"/>
      <c r="E160" s="171"/>
      <c r="F160" s="171"/>
      <c r="G160" s="171"/>
      <c r="H160" s="171"/>
      <c r="I160" s="171"/>
      <c r="J160" s="171"/>
      <c r="K160" s="171"/>
      <c r="L160" s="171"/>
      <c r="M160" s="173"/>
      <c r="N160" s="171"/>
      <c r="O160" s="171"/>
      <c r="P160" s="171"/>
      <c r="Q160" s="171"/>
      <c r="R160" s="171"/>
      <c r="S160" s="171"/>
      <c r="T160" s="171"/>
      <c r="U160" s="171"/>
      <c r="V160" s="171"/>
      <c r="AR160" s="89"/>
      <c r="AS160" s="89"/>
      <c r="AT160" s="89"/>
      <c r="AU160" s="89"/>
      <c r="AV160" s="89"/>
      <c r="AW160" s="89"/>
    </row>
    <row r="161" spans="2:49" x14ac:dyDescent="0.2">
      <c r="B161" s="127"/>
      <c r="D161" s="171"/>
      <c r="E161" s="171"/>
      <c r="F161" s="171"/>
      <c r="G161" s="171"/>
      <c r="H161" s="171"/>
      <c r="I161" s="171"/>
      <c r="J161" s="171"/>
      <c r="K161" s="171"/>
      <c r="L161" s="171"/>
      <c r="M161" s="173"/>
      <c r="N161" s="171"/>
      <c r="O161" s="171"/>
      <c r="P161" s="171"/>
      <c r="Q161" s="171"/>
      <c r="R161" s="171"/>
      <c r="S161" s="171"/>
      <c r="T161" s="171"/>
      <c r="U161" s="171"/>
      <c r="V161" s="171"/>
      <c r="AR161" s="89"/>
      <c r="AS161" s="89"/>
      <c r="AT161" s="89"/>
      <c r="AU161" s="89"/>
      <c r="AV161" s="89"/>
      <c r="AW161" s="89"/>
    </row>
    <row r="162" spans="2:49" x14ac:dyDescent="0.2">
      <c r="B162" s="127"/>
      <c r="D162" s="171"/>
      <c r="E162" s="171"/>
      <c r="F162" s="171"/>
      <c r="G162" s="171"/>
      <c r="H162" s="171"/>
      <c r="I162" s="171"/>
      <c r="J162" s="171"/>
      <c r="K162" s="171"/>
      <c r="L162" s="171"/>
      <c r="M162" s="173"/>
      <c r="N162" s="171"/>
      <c r="O162" s="171"/>
      <c r="P162" s="171"/>
      <c r="Q162" s="171"/>
      <c r="R162" s="171"/>
      <c r="S162" s="171"/>
      <c r="T162" s="171"/>
      <c r="U162" s="171"/>
      <c r="V162" s="171"/>
      <c r="AR162" s="89"/>
      <c r="AS162" s="89"/>
      <c r="AT162" s="89"/>
      <c r="AU162" s="89"/>
      <c r="AV162" s="89"/>
      <c r="AW162" s="89"/>
    </row>
    <row r="163" spans="2:49" x14ac:dyDescent="0.2">
      <c r="B163" s="127"/>
      <c r="D163" s="171"/>
      <c r="E163" s="171"/>
      <c r="F163" s="171"/>
      <c r="G163" s="171"/>
      <c r="H163" s="171"/>
      <c r="I163" s="171"/>
      <c r="J163" s="171"/>
      <c r="K163" s="171"/>
      <c r="L163" s="171"/>
      <c r="M163" s="173"/>
      <c r="N163" s="171"/>
      <c r="O163" s="171"/>
      <c r="P163" s="171"/>
      <c r="Q163" s="171"/>
      <c r="R163" s="171"/>
      <c r="S163" s="171"/>
      <c r="T163" s="171"/>
      <c r="U163" s="171"/>
      <c r="V163" s="171"/>
      <c r="AR163" s="89"/>
      <c r="AS163" s="89"/>
      <c r="AT163" s="89"/>
      <c r="AU163" s="89"/>
      <c r="AV163" s="89"/>
      <c r="AW163" s="89"/>
    </row>
    <row r="164" spans="2:49" x14ac:dyDescent="0.2">
      <c r="B164" s="127"/>
      <c r="D164" s="171"/>
      <c r="E164" s="171"/>
      <c r="F164" s="171"/>
      <c r="G164" s="171"/>
      <c r="H164" s="171"/>
      <c r="I164" s="171"/>
      <c r="J164" s="171"/>
      <c r="K164" s="171"/>
      <c r="L164" s="171"/>
      <c r="M164" s="173"/>
      <c r="N164" s="171"/>
      <c r="O164" s="171"/>
      <c r="P164" s="171"/>
      <c r="Q164" s="171"/>
      <c r="R164" s="171"/>
      <c r="S164" s="171"/>
      <c r="T164" s="171"/>
      <c r="U164" s="171"/>
      <c r="V164" s="171"/>
      <c r="AR164" s="89"/>
      <c r="AS164" s="89"/>
      <c r="AT164" s="89"/>
      <c r="AU164" s="89"/>
      <c r="AV164" s="89"/>
      <c r="AW164" s="89"/>
    </row>
    <row r="165" spans="2:49" x14ac:dyDescent="0.2">
      <c r="B165" s="127"/>
      <c r="D165" s="171"/>
      <c r="E165" s="171"/>
      <c r="F165" s="171"/>
      <c r="G165" s="171"/>
      <c r="H165" s="171"/>
      <c r="I165" s="171"/>
      <c r="J165" s="171"/>
      <c r="K165" s="171"/>
      <c r="L165" s="171"/>
      <c r="M165" s="173"/>
      <c r="N165" s="171"/>
      <c r="O165" s="171"/>
      <c r="P165" s="171"/>
      <c r="Q165" s="171"/>
      <c r="R165" s="171"/>
      <c r="S165" s="171"/>
      <c r="T165" s="171"/>
      <c r="U165" s="171"/>
      <c r="V165" s="171"/>
      <c r="AR165" s="89"/>
      <c r="AS165" s="89"/>
      <c r="AT165" s="89"/>
      <c r="AU165" s="89"/>
      <c r="AV165" s="89"/>
      <c r="AW165" s="89"/>
    </row>
    <row r="166" spans="2:49" x14ac:dyDescent="0.2">
      <c r="B166" s="127"/>
      <c r="D166" s="171"/>
      <c r="E166" s="171"/>
      <c r="F166" s="171"/>
      <c r="G166" s="171"/>
      <c r="H166" s="171"/>
      <c r="I166" s="171"/>
      <c r="J166" s="171"/>
      <c r="K166" s="171"/>
      <c r="L166" s="171"/>
      <c r="M166" s="173"/>
      <c r="N166" s="171"/>
      <c r="O166" s="171"/>
      <c r="P166" s="171"/>
      <c r="Q166" s="171"/>
      <c r="R166" s="171"/>
      <c r="S166" s="171"/>
      <c r="T166" s="171"/>
      <c r="U166" s="171"/>
      <c r="V166" s="171"/>
      <c r="AR166" s="89"/>
      <c r="AS166" s="89"/>
      <c r="AT166" s="89"/>
      <c r="AU166" s="89"/>
      <c r="AV166" s="89"/>
      <c r="AW166" s="89"/>
    </row>
    <row r="167" spans="2:49" x14ac:dyDescent="0.2">
      <c r="B167" s="127"/>
      <c r="D167" s="171"/>
      <c r="E167" s="171"/>
      <c r="F167" s="171"/>
      <c r="G167" s="171"/>
      <c r="H167" s="171"/>
      <c r="I167" s="171"/>
      <c r="J167" s="171"/>
      <c r="K167" s="171"/>
      <c r="L167" s="171"/>
      <c r="M167" s="173"/>
      <c r="N167" s="171"/>
      <c r="O167" s="171"/>
      <c r="P167" s="171"/>
      <c r="Q167" s="171"/>
      <c r="R167" s="171"/>
      <c r="S167" s="171"/>
      <c r="T167" s="171"/>
      <c r="U167" s="171"/>
      <c r="V167" s="171"/>
      <c r="AR167" s="89"/>
      <c r="AS167" s="89"/>
      <c r="AT167" s="89"/>
      <c r="AU167" s="89"/>
      <c r="AV167" s="89"/>
      <c r="AW167" s="89"/>
    </row>
    <row r="168" spans="2:49" x14ac:dyDescent="0.2">
      <c r="B168" s="127"/>
      <c r="D168" s="171"/>
      <c r="E168" s="171"/>
      <c r="F168" s="171"/>
      <c r="G168" s="171"/>
      <c r="H168" s="171"/>
      <c r="I168" s="171"/>
      <c r="J168" s="171"/>
      <c r="K168" s="171"/>
      <c r="L168" s="171"/>
      <c r="M168" s="173"/>
      <c r="N168" s="171"/>
      <c r="O168" s="171"/>
      <c r="P168" s="171"/>
      <c r="Q168" s="171"/>
      <c r="R168" s="171"/>
      <c r="S168" s="171"/>
      <c r="T168" s="171"/>
      <c r="U168" s="171"/>
      <c r="V168" s="171"/>
      <c r="AR168" s="89"/>
      <c r="AS168" s="89"/>
      <c r="AT168" s="89"/>
      <c r="AU168" s="89"/>
      <c r="AV168" s="89"/>
      <c r="AW168" s="89"/>
    </row>
    <row r="169" spans="2:49" x14ac:dyDescent="0.2">
      <c r="B169" s="127"/>
      <c r="D169" s="171"/>
      <c r="E169" s="171"/>
      <c r="F169" s="171"/>
      <c r="G169" s="171"/>
      <c r="H169" s="171"/>
      <c r="I169" s="171"/>
      <c r="J169" s="171"/>
      <c r="K169" s="171"/>
      <c r="L169" s="171"/>
      <c r="M169" s="173"/>
      <c r="N169" s="171"/>
      <c r="O169" s="171"/>
      <c r="P169" s="171"/>
      <c r="Q169" s="171"/>
      <c r="R169" s="171"/>
      <c r="S169" s="171"/>
      <c r="T169" s="171"/>
      <c r="U169" s="171"/>
      <c r="V169" s="171"/>
      <c r="AR169" s="89"/>
      <c r="AS169" s="89"/>
      <c r="AT169" s="89"/>
      <c r="AU169" s="89"/>
      <c r="AV169" s="89"/>
      <c r="AW169" s="89"/>
    </row>
    <row r="170" spans="2:49" x14ac:dyDescent="0.2">
      <c r="B170" s="127"/>
      <c r="D170" s="171"/>
      <c r="E170" s="171"/>
      <c r="F170" s="171"/>
      <c r="G170" s="171"/>
      <c r="H170" s="171"/>
      <c r="I170" s="171"/>
      <c r="J170" s="171"/>
      <c r="K170" s="171"/>
      <c r="L170" s="171"/>
      <c r="M170" s="173"/>
      <c r="N170" s="171"/>
      <c r="O170" s="171"/>
      <c r="P170" s="171"/>
      <c r="Q170" s="171"/>
      <c r="R170" s="171"/>
      <c r="S170" s="171"/>
      <c r="T170" s="171"/>
      <c r="U170" s="171"/>
      <c r="V170" s="171"/>
      <c r="AR170" s="89"/>
      <c r="AS170" s="89"/>
      <c r="AT170" s="89"/>
      <c r="AU170" s="89"/>
      <c r="AV170" s="89"/>
      <c r="AW170" s="89"/>
    </row>
    <row r="171" spans="2:49" x14ac:dyDescent="0.2">
      <c r="B171" s="127"/>
      <c r="D171" s="171"/>
      <c r="E171" s="171"/>
      <c r="F171" s="171"/>
      <c r="G171" s="171"/>
      <c r="H171" s="171"/>
      <c r="I171" s="171"/>
      <c r="J171" s="171"/>
      <c r="K171" s="171"/>
      <c r="L171" s="171"/>
      <c r="M171" s="173"/>
      <c r="N171" s="171"/>
      <c r="O171" s="171"/>
      <c r="P171" s="171"/>
      <c r="Q171" s="171"/>
      <c r="R171" s="171"/>
      <c r="S171" s="171"/>
      <c r="T171" s="171"/>
      <c r="U171" s="171"/>
      <c r="V171" s="171"/>
      <c r="AR171" s="89"/>
      <c r="AS171" s="89"/>
      <c r="AT171" s="89"/>
      <c r="AU171" s="89"/>
      <c r="AV171" s="89"/>
      <c r="AW171" s="89"/>
    </row>
    <row r="172" spans="2:49" x14ac:dyDescent="0.2">
      <c r="B172" s="127"/>
      <c r="D172" s="171"/>
      <c r="E172" s="171"/>
      <c r="F172" s="171"/>
      <c r="G172" s="171"/>
      <c r="H172" s="171"/>
      <c r="I172" s="171"/>
      <c r="J172" s="171"/>
      <c r="K172" s="171"/>
      <c r="L172" s="171"/>
      <c r="M172" s="173"/>
      <c r="N172" s="171"/>
      <c r="O172" s="171"/>
      <c r="P172" s="171"/>
      <c r="Q172" s="171"/>
      <c r="R172" s="171"/>
      <c r="S172" s="171"/>
      <c r="T172" s="171"/>
      <c r="U172" s="171"/>
      <c r="V172" s="171"/>
      <c r="AR172" s="89"/>
      <c r="AS172" s="89"/>
      <c r="AT172" s="89"/>
      <c r="AU172" s="89"/>
      <c r="AV172" s="89"/>
      <c r="AW172" s="89"/>
    </row>
    <row r="173" spans="2:49" x14ac:dyDescent="0.2">
      <c r="B173" s="127"/>
      <c r="D173" s="171"/>
      <c r="E173" s="171"/>
      <c r="F173" s="171"/>
      <c r="G173" s="171"/>
      <c r="H173" s="171"/>
      <c r="I173" s="171"/>
      <c r="J173" s="171"/>
      <c r="K173" s="171"/>
      <c r="L173" s="171"/>
      <c r="M173" s="173"/>
      <c r="N173" s="171"/>
      <c r="O173" s="171"/>
      <c r="P173" s="171"/>
      <c r="Q173" s="171"/>
      <c r="R173" s="171"/>
      <c r="S173" s="171"/>
      <c r="T173" s="171"/>
      <c r="U173" s="171"/>
      <c r="V173" s="171"/>
      <c r="AR173" s="89"/>
      <c r="AS173" s="89"/>
      <c r="AT173" s="89"/>
      <c r="AU173" s="89"/>
      <c r="AV173" s="89"/>
      <c r="AW173" s="89"/>
    </row>
    <row r="174" spans="2:49" x14ac:dyDescent="0.2">
      <c r="B174" s="127"/>
      <c r="D174" s="171"/>
      <c r="E174" s="171"/>
      <c r="F174" s="171"/>
      <c r="G174" s="171"/>
      <c r="H174" s="171"/>
      <c r="I174" s="171"/>
      <c r="J174" s="171"/>
      <c r="K174" s="171"/>
      <c r="L174" s="171"/>
      <c r="M174" s="173"/>
      <c r="N174" s="171"/>
      <c r="O174" s="171"/>
      <c r="P174" s="171"/>
      <c r="Q174" s="171"/>
      <c r="R174" s="171"/>
      <c r="S174" s="171"/>
      <c r="T174" s="171"/>
      <c r="U174" s="171"/>
      <c r="V174" s="171"/>
      <c r="AR174" s="89"/>
      <c r="AS174" s="89"/>
      <c r="AT174" s="89"/>
      <c r="AU174" s="89"/>
      <c r="AV174" s="89"/>
      <c r="AW174" s="89"/>
    </row>
    <row r="175" spans="2:49" x14ac:dyDescent="0.2">
      <c r="B175" s="127"/>
      <c r="D175" s="171"/>
      <c r="E175" s="171"/>
      <c r="F175" s="171"/>
      <c r="G175" s="171"/>
      <c r="H175" s="171"/>
      <c r="I175" s="171"/>
      <c r="J175" s="171"/>
      <c r="K175" s="171"/>
      <c r="L175" s="171"/>
      <c r="M175" s="173"/>
      <c r="N175" s="171"/>
      <c r="O175" s="171"/>
      <c r="P175" s="171"/>
      <c r="Q175" s="171"/>
      <c r="R175" s="171"/>
      <c r="S175" s="171"/>
      <c r="T175" s="171"/>
      <c r="U175" s="171"/>
      <c r="V175" s="171"/>
      <c r="AR175" s="89"/>
      <c r="AS175" s="89"/>
      <c r="AT175" s="89"/>
      <c r="AU175" s="89"/>
      <c r="AV175" s="89"/>
      <c r="AW175" s="89"/>
    </row>
    <row r="176" spans="2:49" x14ac:dyDescent="0.2">
      <c r="B176" s="127"/>
      <c r="D176" s="171"/>
      <c r="E176" s="171"/>
      <c r="F176" s="171"/>
      <c r="G176" s="171"/>
      <c r="H176" s="171"/>
      <c r="I176" s="171"/>
      <c r="J176" s="171"/>
      <c r="K176" s="171"/>
      <c r="L176" s="171"/>
      <c r="M176" s="173"/>
      <c r="N176" s="171"/>
      <c r="O176" s="171"/>
      <c r="P176" s="171"/>
      <c r="Q176" s="171"/>
      <c r="R176" s="171"/>
      <c r="S176" s="171"/>
      <c r="T176" s="171"/>
      <c r="U176" s="171"/>
      <c r="V176" s="171"/>
      <c r="AR176" s="89"/>
      <c r="AS176" s="89"/>
      <c r="AT176" s="89"/>
      <c r="AU176" s="89"/>
      <c r="AV176" s="89"/>
      <c r="AW176" s="89"/>
    </row>
    <row r="177" spans="2:49" x14ac:dyDescent="0.2">
      <c r="B177" s="127"/>
      <c r="D177" s="171"/>
      <c r="E177" s="171"/>
      <c r="F177" s="171"/>
      <c r="G177" s="171"/>
      <c r="H177" s="171"/>
      <c r="I177" s="171"/>
      <c r="J177" s="171"/>
      <c r="K177" s="171"/>
      <c r="L177" s="171"/>
      <c r="M177" s="173"/>
      <c r="N177" s="171"/>
      <c r="O177" s="171"/>
      <c r="P177" s="171"/>
      <c r="Q177" s="171"/>
      <c r="R177" s="171"/>
      <c r="S177" s="171"/>
      <c r="T177" s="171"/>
      <c r="U177" s="171"/>
      <c r="V177" s="171"/>
      <c r="AR177" s="89"/>
      <c r="AS177" s="89"/>
      <c r="AT177" s="89"/>
      <c r="AU177" s="89"/>
      <c r="AV177" s="89"/>
      <c r="AW177" s="89"/>
    </row>
    <row r="178" spans="2:49" x14ac:dyDescent="0.2">
      <c r="B178" s="127"/>
      <c r="D178" s="171"/>
      <c r="E178" s="171"/>
      <c r="F178" s="171"/>
      <c r="G178" s="171"/>
      <c r="H178" s="171"/>
      <c r="I178" s="171"/>
      <c r="J178" s="171"/>
      <c r="K178" s="171"/>
      <c r="L178" s="171"/>
      <c r="M178" s="173"/>
      <c r="N178" s="171"/>
      <c r="O178" s="171"/>
      <c r="P178" s="171"/>
      <c r="Q178" s="171"/>
      <c r="R178" s="171"/>
      <c r="S178" s="171"/>
      <c r="T178" s="171"/>
      <c r="U178" s="171"/>
      <c r="V178" s="171"/>
      <c r="AR178" s="89"/>
      <c r="AS178" s="89"/>
      <c r="AT178" s="89"/>
      <c r="AU178" s="89"/>
      <c r="AV178" s="89"/>
      <c r="AW178" s="89"/>
    </row>
    <row r="179" spans="2:49" x14ac:dyDescent="0.2">
      <c r="B179" s="127"/>
      <c r="D179" s="171"/>
      <c r="E179" s="171"/>
      <c r="F179" s="171"/>
      <c r="G179" s="171"/>
      <c r="H179" s="171"/>
      <c r="I179" s="171"/>
      <c r="J179" s="171"/>
      <c r="K179" s="171"/>
      <c r="L179" s="171"/>
      <c r="M179" s="173"/>
      <c r="N179" s="171"/>
      <c r="O179" s="171"/>
      <c r="P179" s="171"/>
      <c r="Q179" s="171"/>
      <c r="R179" s="171"/>
      <c r="S179" s="171"/>
      <c r="T179" s="171"/>
      <c r="U179" s="171"/>
      <c r="V179" s="171"/>
      <c r="AR179" s="89"/>
      <c r="AS179" s="89"/>
      <c r="AT179" s="89"/>
      <c r="AU179" s="89"/>
      <c r="AV179" s="89"/>
      <c r="AW179" s="89"/>
    </row>
    <row r="180" spans="2:49" x14ac:dyDescent="0.2">
      <c r="B180" s="127"/>
      <c r="D180" s="171"/>
      <c r="E180" s="171"/>
      <c r="F180" s="171"/>
      <c r="G180" s="171"/>
      <c r="H180" s="171"/>
      <c r="I180" s="171"/>
      <c r="J180" s="171"/>
      <c r="K180" s="171"/>
      <c r="L180" s="171"/>
      <c r="M180" s="173"/>
      <c r="N180" s="171"/>
      <c r="O180" s="171"/>
      <c r="P180" s="171"/>
      <c r="Q180" s="171"/>
      <c r="R180" s="171"/>
      <c r="S180" s="171"/>
      <c r="T180" s="171"/>
      <c r="U180" s="171"/>
      <c r="V180" s="171"/>
      <c r="AR180" s="89"/>
      <c r="AS180" s="89"/>
      <c r="AT180" s="89"/>
      <c r="AU180" s="89"/>
      <c r="AV180" s="89"/>
      <c r="AW180" s="89"/>
    </row>
    <row r="181" spans="2:49" x14ac:dyDescent="0.2">
      <c r="B181" s="127"/>
      <c r="D181" s="171"/>
      <c r="E181" s="171"/>
      <c r="F181" s="171"/>
      <c r="G181" s="171"/>
      <c r="H181" s="171"/>
      <c r="I181" s="171"/>
      <c r="J181" s="171"/>
      <c r="K181" s="171"/>
      <c r="L181" s="171"/>
      <c r="M181" s="173"/>
      <c r="N181" s="171"/>
      <c r="O181" s="171"/>
      <c r="P181" s="171"/>
      <c r="Q181" s="171"/>
      <c r="R181" s="171"/>
      <c r="S181" s="171"/>
      <c r="T181" s="171"/>
      <c r="U181" s="171"/>
      <c r="V181" s="171"/>
      <c r="AR181" s="89"/>
      <c r="AS181" s="89"/>
      <c r="AT181" s="89"/>
      <c r="AU181" s="89"/>
      <c r="AV181" s="89"/>
      <c r="AW181" s="89"/>
    </row>
    <row r="182" spans="2:49" x14ac:dyDescent="0.2">
      <c r="B182" s="127"/>
      <c r="D182" s="171"/>
      <c r="E182" s="171"/>
      <c r="F182" s="171"/>
      <c r="G182" s="171"/>
      <c r="H182" s="171"/>
      <c r="I182" s="171"/>
      <c r="J182" s="171"/>
      <c r="K182" s="171"/>
      <c r="L182" s="171"/>
      <c r="M182" s="173"/>
      <c r="N182" s="171"/>
      <c r="O182" s="171"/>
      <c r="P182" s="171"/>
      <c r="Q182" s="171"/>
      <c r="R182" s="171"/>
      <c r="S182" s="171"/>
      <c r="T182" s="171"/>
      <c r="U182" s="171"/>
      <c r="V182" s="171"/>
      <c r="AR182" s="89"/>
      <c r="AS182" s="89"/>
      <c r="AT182" s="89"/>
      <c r="AU182" s="89"/>
      <c r="AV182" s="89"/>
      <c r="AW182" s="89"/>
    </row>
    <row r="183" spans="2:49" x14ac:dyDescent="0.2">
      <c r="B183" s="127"/>
      <c r="D183" s="171"/>
      <c r="E183" s="171"/>
      <c r="F183" s="171"/>
      <c r="G183" s="171"/>
      <c r="H183" s="171"/>
      <c r="I183" s="171"/>
      <c r="J183" s="171"/>
      <c r="K183" s="171"/>
      <c r="L183" s="171"/>
      <c r="M183" s="173"/>
      <c r="N183" s="171"/>
      <c r="O183" s="171"/>
      <c r="P183" s="171"/>
      <c r="Q183" s="171"/>
      <c r="R183" s="171"/>
      <c r="S183" s="171"/>
      <c r="T183" s="171"/>
      <c r="U183" s="171"/>
      <c r="V183" s="171"/>
      <c r="AR183" s="89"/>
      <c r="AS183" s="89"/>
      <c r="AT183" s="89"/>
      <c r="AU183" s="89"/>
      <c r="AV183" s="89"/>
      <c r="AW183" s="89"/>
    </row>
    <row r="184" spans="2:49" x14ac:dyDescent="0.2">
      <c r="B184" s="127"/>
      <c r="D184" s="171"/>
      <c r="E184" s="171"/>
      <c r="F184" s="171"/>
      <c r="G184" s="171"/>
      <c r="H184" s="171"/>
      <c r="I184" s="171"/>
      <c r="J184" s="171"/>
      <c r="K184" s="171"/>
      <c r="L184" s="171"/>
      <c r="M184" s="173"/>
      <c r="N184" s="171"/>
      <c r="O184" s="171"/>
      <c r="P184" s="171"/>
      <c r="Q184" s="171"/>
      <c r="R184" s="171"/>
      <c r="S184" s="171"/>
      <c r="T184" s="171"/>
      <c r="U184" s="171"/>
      <c r="V184" s="171"/>
      <c r="AR184" s="89"/>
      <c r="AS184" s="89"/>
      <c r="AT184" s="89"/>
      <c r="AU184" s="89"/>
      <c r="AV184" s="89"/>
      <c r="AW184" s="89"/>
    </row>
    <row r="185" spans="2:49" x14ac:dyDescent="0.2">
      <c r="B185" s="127"/>
      <c r="D185" s="171"/>
      <c r="E185" s="171"/>
      <c r="F185" s="171"/>
      <c r="G185" s="171"/>
      <c r="H185" s="171"/>
      <c r="I185" s="171"/>
      <c r="J185" s="171"/>
      <c r="K185" s="171"/>
      <c r="L185" s="171"/>
      <c r="M185" s="173"/>
      <c r="N185" s="171"/>
      <c r="O185" s="171"/>
      <c r="P185" s="171"/>
      <c r="Q185" s="171"/>
      <c r="R185" s="171"/>
      <c r="S185" s="171"/>
      <c r="T185" s="171"/>
      <c r="U185" s="171"/>
      <c r="V185" s="171"/>
      <c r="AR185" s="89"/>
      <c r="AS185" s="89"/>
      <c r="AT185" s="89"/>
      <c r="AU185" s="89"/>
      <c r="AV185" s="89"/>
      <c r="AW185" s="89"/>
    </row>
    <row r="186" spans="2:49" x14ac:dyDescent="0.2">
      <c r="B186" s="127"/>
      <c r="D186" s="171"/>
      <c r="E186" s="171"/>
      <c r="F186" s="171"/>
      <c r="G186" s="171"/>
      <c r="H186" s="171"/>
      <c r="I186" s="171"/>
      <c r="J186" s="171"/>
      <c r="K186" s="171"/>
      <c r="L186" s="171"/>
      <c r="M186" s="173"/>
      <c r="N186" s="171"/>
      <c r="O186" s="171"/>
      <c r="P186" s="171"/>
      <c r="Q186" s="171"/>
      <c r="R186" s="171"/>
      <c r="S186" s="171"/>
      <c r="T186" s="171"/>
      <c r="U186" s="171"/>
      <c r="V186" s="171"/>
      <c r="AR186" s="89"/>
      <c r="AS186" s="89"/>
      <c r="AT186" s="89"/>
      <c r="AU186" s="89"/>
      <c r="AV186" s="89"/>
      <c r="AW186" s="89"/>
    </row>
    <row r="187" spans="2:49" x14ac:dyDescent="0.2">
      <c r="B187" s="127"/>
      <c r="AR187" s="89"/>
      <c r="AS187" s="89"/>
      <c r="AT187" s="89"/>
      <c r="AU187" s="89"/>
      <c r="AV187" s="89"/>
      <c r="AW187" s="89"/>
    </row>
    <row r="188" spans="2:49" x14ac:dyDescent="0.2">
      <c r="B188" s="127"/>
      <c r="AR188" s="89"/>
      <c r="AS188" s="89"/>
      <c r="AT188" s="89"/>
      <c r="AU188" s="89"/>
      <c r="AV188" s="89"/>
      <c r="AW188" s="89"/>
    </row>
    <row r="189" spans="2:49" x14ac:dyDescent="0.2">
      <c r="B189" s="127"/>
      <c r="AR189" s="89"/>
      <c r="AS189" s="89"/>
      <c r="AT189" s="89"/>
      <c r="AU189" s="89"/>
      <c r="AV189" s="89"/>
      <c r="AW189" s="89"/>
    </row>
    <row r="190" spans="2:49" x14ac:dyDescent="0.2">
      <c r="B190" s="127"/>
      <c r="AR190" s="89"/>
      <c r="AS190" s="89"/>
      <c r="AT190" s="89"/>
      <c r="AU190" s="89"/>
      <c r="AV190" s="89"/>
      <c r="AW190" s="89"/>
    </row>
    <row r="191" spans="2:49" x14ac:dyDescent="0.2">
      <c r="B191" s="127"/>
    </row>
    <row r="192" spans="2:49" x14ac:dyDescent="0.2">
      <c r="B192" s="127"/>
    </row>
    <row r="193" spans="2:2" x14ac:dyDescent="0.2">
      <c r="B193" s="127"/>
    </row>
  </sheetData>
  <pageMargins left="0.75" right="0.75" top="1" bottom="1" header="0.5" footer="0.5"/>
  <pageSetup scale="25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Line="0" autoPict="0" macro="[3]!SortHourlyScalars">
                <anchor moveWithCells="1" sizeWithCells="1">
                  <from>
                    <xdr:col>2</xdr:col>
                    <xdr:colOff>276225</xdr:colOff>
                    <xdr:row>0</xdr:row>
                    <xdr:rowOff>276225</xdr:rowOff>
                  </from>
                  <to>
                    <xdr:col>17</xdr:col>
                    <xdr:colOff>219075</xdr:colOff>
                    <xdr:row>1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75"/>
  <sheetViews>
    <sheetView topLeftCell="A77" zoomScale="85" workbookViewId="0">
      <selection activeCell="E86" sqref="E86"/>
    </sheetView>
  </sheetViews>
  <sheetFormatPr defaultRowHeight="12.75" x14ac:dyDescent="0.2"/>
  <cols>
    <col min="1" max="1" width="30.5703125" customWidth="1"/>
    <col min="2" max="2" width="19" customWidth="1"/>
    <col min="3" max="3" width="17.7109375" customWidth="1"/>
    <col min="4" max="4" width="19.28515625" customWidth="1"/>
    <col min="5" max="5" width="15.42578125" customWidth="1"/>
    <col min="6" max="6" width="18.140625" customWidth="1"/>
    <col min="7" max="7" width="19.140625" bestFit="1" customWidth="1"/>
    <col min="8" max="8" width="17.7109375" customWidth="1"/>
    <col min="9" max="9" width="19.7109375" customWidth="1"/>
    <col min="10" max="10" width="17.85546875" customWidth="1"/>
    <col min="11" max="11" width="15.7109375" customWidth="1"/>
    <col min="12" max="12" width="12.7109375" customWidth="1"/>
    <col min="13" max="13" width="12.5703125" customWidth="1"/>
    <col min="14" max="14" width="11.28515625" customWidth="1"/>
    <col min="15" max="15" width="13.140625" customWidth="1"/>
    <col min="16" max="18" width="12.7109375" customWidth="1"/>
    <col min="19" max="19" width="13.140625" customWidth="1"/>
    <col min="22" max="24" width="12.7109375" customWidth="1"/>
    <col min="25" max="25" width="15.7109375" customWidth="1"/>
  </cols>
  <sheetData>
    <row r="2" spans="1:7" ht="15.75" x14ac:dyDescent="0.25">
      <c r="A2" s="29" t="s">
        <v>44</v>
      </c>
    </row>
    <row r="3" spans="1:7" x14ac:dyDescent="0.2">
      <c r="A3" s="26"/>
      <c r="B3" s="26"/>
      <c r="C3" s="26"/>
      <c r="D3" s="26"/>
      <c r="E3" s="26"/>
      <c r="F3" s="26"/>
      <c r="G3" s="26"/>
    </row>
    <row r="4" spans="1:7" x14ac:dyDescent="0.2">
      <c r="A4" s="26" t="s">
        <v>51</v>
      </c>
      <c r="B4" s="26"/>
      <c r="C4" s="35">
        <v>17.7</v>
      </c>
      <c r="D4" s="26"/>
      <c r="E4" s="26"/>
      <c r="F4" s="26"/>
      <c r="G4" s="26"/>
    </row>
    <row r="5" spans="1:7" x14ac:dyDescent="0.2">
      <c r="A5" s="26"/>
      <c r="B5" s="26"/>
      <c r="C5" s="34" t="s">
        <v>45</v>
      </c>
      <c r="D5" s="26" t="s">
        <v>33</v>
      </c>
      <c r="E5" s="26"/>
      <c r="F5" s="26"/>
      <c r="G5" s="26"/>
    </row>
    <row r="6" spans="1:7" x14ac:dyDescent="0.2">
      <c r="A6" s="26"/>
      <c r="B6" s="26" t="s">
        <v>30</v>
      </c>
      <c r="C6" s="38">
        <v>1.085</v>
      </c>
      <c r="D6" s="15">
        <f>C6*$C$4</f>
        <v>19.204499999999999</v>
      </c>
      <c r="E6" s="26"/>
      <c r="F6" s="26"/>
      <c r="G6" s="26"/>
    </row>
    <row r="7" spans="1:7" x14ac:dyDescent="0.2">
      <c r="A7" s="26"/>
      <c r="B7" s="26" t="s">
        <v>220</v>
      </c>
      <c r="C7" s="38">
        <v>1.07</v>
      </c>
      <c r="D7" s="15">
        <f>C7*C4</f>
        <v>18.939</v>
      </c>
      <c r="E7" s="26"/>
      <c r="F7" s="26"/>
      <c r="G7" s="26"/>
    </row>
    <row r="8" spans="1:7" x14ac:dyDescent="0.2">
      <c r="A8" s="26"/>
      <c r="B8" s="26" t="s">
        <v>261</v>
      </c>
      <c r="C8" s="38">
        <v>0.93500000000000005</v>
      </c>
      <c r="D8" s="126">
        <v>16.393861892583111</v>
      </c>
      <c r="E8" s="26"/>
      <c r="F8" s="26"/>
      <c r="G8" s="26"/>
    </row>
    <row r="9" spans="1:7" x14ac:dyDescent="0.2">
      <c r="A9" s="26"/>
      <c r="B9" s="26" t="s">
        <v>260</v>
      </c>
      <c r="C9" s="38">
        <v>0.94499999999999995</v>
      </c>
      <c r="D9" s="15">
        <v>15.805785123966947</v>
      </c>
      <c r="E9" s="26"/>
      <c r="F9" s="26"/>
      <c r="G9" s="26"/>
    </row>
    <row r="10" spans="1:7" x14ac:dyDescent="0.2">
      <c r="A10" s="26"/>
      <c r="B10" s="26" t="s">
        <v>31</v>
      </c>
      <c r="C10" s="38">
        <v>0.94499999999999995</v>
      </c>
      <c r="D10" s="15">
        <v>15.783511002873444</v>
      </c>
      <c r="E10" s="26"/>
      <c r="F10" s="26"/>
      <c r="G10" s="26"/>
    </row>
    <row r="11" spans="1:7" x14ac:dyDescent="0.2">
      <c r="A11" s="26"/>
      <c r="B11" s="26" t="s">
        <v>32</v>
      </c>
      <c r="C11" s="38">
        <v>0.89500000000000002</v>
      </c>
      <c r="D11" s="15">
        <v>14.989376547103889</v>
      </c>
      <c r="E11" s="15">
        <f>AVERAGE(D6:D11)</f>
        <v>16.852672427754566</v>
      </c>
      <c r="F11" s="15">
        <f>(D7+D8*2+D10*3+D11*3)/9</f>
        <v>16.005042937233135</v>
      </c>
      <c r="G11" s="26"/>
    </row>
    <row r="12" spans="1:7" x14ac:dyDescent="0.2">
      <c r="A12" s="240" t="s">
        <v>52</v>
      </c>
      <c r="B12" s="240"/>
      <c r="C12" s="15">
        <v>17.5</v>
      </c>
      <c r="D12" s="15"/>
      <c r="E12" s="26"/>
      <c r="F12" s="26"/>
      <c r="G12" s="26"/>
    </row>
    <row r="13" spans="1:7" x14ac:dyDescent="0.2">
      <c r="A13" s="240" t="s">
        <v>53</v>
      </c>
      <c r="B13" s="240"/>
      <c r="C13" s="15">
        <v>15.55</v>
      </c>
      <c r="D13" s="15"/>
      <c r="E13" s="26"/>
      <c r="F13" s="26"/>
      <c r="G13" s="26"/>
    </row>
    <row r="14" spans="1:7" x14ac:dyDescent="0.2">
      <c r="A14" s="240" t="s">
        <v>54</v>
      </c>
      <c r="B14" s="240"/>
      <c r="C14" s="15">
        <v>15.2</v>
      </c>
      <c r="D14" s="15"/>
      <c r="E14" s="26"/>
      <c r="F14" s="26"/>
      <c r="G14" s="26"/>
    </row>
    <row r="15" spans="1:7" x14ac:dyDescent="0.2">
      <c r="A15" s="240" t="s">
        <v>55</v>
      </c>
      <c r="B15" s="240"/>
      <c r="C15" s="15">
        <v>15.15</v>
      </c>
      <c r="D15" s="15"/>
      <c r="E15" s="26"/>
      <c r="F15" s="26"/>
      <c r="G15" s="26"/>
    </row>
    <row r="16" spans="1:7" x14ac:dyDescent="0.2">
      <c r="A16" s="240" t="s">
        <v>232</v>
      </c>
      <c r="B16" s="240"/>
      <c r="C16" s="15">
        <v>15.1</v>
      </c>
      <c r="D16" s="15"/>
      <c r="E16" s="26"/>
      <c r="F16" s="26"/>
      <c r="G16" s="26"/>
    </row>
    <row r="17" spans="1:14" x14ac:dyDescent="0.2">
      <c r="A17" s="26"/>
      <c r="B17" s="26"/>
      <c r="C17" s="12"/>
      <c r="D17" s="26"/>
      <c r="E17" s="26"/>
      <c r="F17" s="26"/>
      <c r="G17" s="26"/>
    </row>
    <row r="18" spans="1:14" x14ac:dyDescent="0.2">
      <c r="A18" s="26" t="s">
        <v>231</v>
      </c>
      <c r="B18" s="26"/>
      <c r="C18" s="36" t="s">
        <v>34</v>
      </c>
      <c r="D18" s="37" t="s">
        <v>41</v>
      </c>
      <c r="E18" s="26"/>
      <c r="F18" s="26"/>
      <c r="G18" s="26"/>
    </row>
    <row r="19" spans="1:14" x14ac:dyDescent="0.2">
      <c r="A19" s="26"/>
      <c r="B19" s="84">
        <v>2000</v>
      </c>
      <c r="C19" s="12">
        <v>1</v>
      </c>
      <c r="D19" s="12">
        <v>1</v>
      </c>
      <c r="E19" s="26"/>
      <c r="F19" s="26"/>
      <c r="G19" s="26"/>
    </row>
    <row r="20" spans="1:14" x14ac:dyDescent="0.2">
      <c r="A20" s="26"/>
      <c r="B20" s="26"/>
      <c r="C20" s="12"/>
      <c r="D20" s="26"/>
      <c r="E20" s="26"/>
      <c r="F20" s="26"/>
      <c r="G20" s="26"/>
    </row>
    <row r="21" spans="1:14" x14ac:dyDescent="0.2">
      <c r="A21" s="26" t="s">
        <v>56</v>
      </c>
      <c r="B21" s="26"/>
      <c r="C21" s="12"/>
      <c r="D21" s="26"/>
      <c r="E21" s="26"/>
      <c r="F21" s="26"/>
      <c r="G21" s="26"/>
    </row>
    <row r="22" spans="1:14" x14ac:dyDescent="0.2">
      <c r="A22" s="26" t="s">
        <v>57</v>
      </c>
      <c r="B22" s="38">
        <v>0.02</v>
      </c>
      <c r="C22" s="12"/>
      <c r="D22" s="26"/>
      <c r="E22" s="26"/>
      <c r="F22" s="26"/>
      <c r="G22" s="26"/>
    </row>
    <row r="23" spans="1:14" x14ac:dyDescent="0.2"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5" spans="1:14" x14ac:dyDescent="0.2">
      <c r="K25" s="33"/>
    </row>
    <row r="26" spans="1:14" x14ac:dyDescent="0.2">
      <c r="A26" s="30" t="s">
        <v>29</v>
      </c>
    </row>
    <row r="28" spans="1:14" x14ac:dyDescent="0.2">
      <c r="A28" t="s">
        <v>24</v>
      </c>
      <c r="B28" s="5" t="s">
        <v>39</v>
      </c>
      <c r="D28" s="5" t="s">
        <v>40</v>
      </c>
      <c r="F28" s="5" t="s">
        <v>42</v>
      </c>
      <c r="H28" s="5" t="s">
        <v>19</v>
      </c>
      <c r="K28" t="s">
        <v>142</v>
      </c>
      <c r="M28" t="s">
        <v>63</v>
      </c>
      <c r="N28" t="s">
        <v>64</v>
      </c>
    </row>
    <row r="29" spans="1:14" x14ac:dyDescent="0.2">
      <c r="B29" s="5" t="s">
        <v>34</v>
      </c>
      <c r="D29" s="5" t="s">
        <v>41</v>
      </c>
      <c r="F29" s="5" t="s">
        <v>43</v>
      </c>
      <c r="H29" s="5"/>
    </row>
    <row r="30" spans="1:14" x14ac:dyDescent="0.2">
      <c r="A30" s="39">
        <v>36526</v>
      </c>
      <c r="B30" s="40" t="e">
        <f ca="1">J82/H82</f>
        <v>#DIV/0!</v>
      </c>
      <c r="D30" s="40" t="e">
        <f ca="1">K82/H82</f>
        <v>#DIV/0!</v>
      </c>
      <c r="F30" s="40" t="e">
        <f ca="1">L82/H82</f>
        <v>#DIV/0!</v>
      </c>
      <c r="H30" s="40" t="e">
        <f ca="1">M82/H82</f>
        <v>#DIV/0!</v>
      </c>
      <c r="K30" s="40" t="e">
        <f ca="1">N82/H82</f>
        <v>#DIV/0!</v>
      </c>
      <c r="M30" s="40" t="e">
        <f ca="1">O82/H82</f>
        <v>#DIV/0!</v>
      </c>
      <c r="N30" s="40" t="e">
        <f ca="1">P82/H82</f>
        <v>#REF!</v>
      </c>
    </row>
    <row r="31" spans="1:14" x14ac:dyDescent="0.2">
      <c r="A31" t="s">
        <v>25</v>
      </c>
      <c r="B31" s="16">
        <f ca="1">SUM(J82:J84)/SUM($H82:$H84)</f>
        <v>30</v>
      </c>
      <c r="D31" s="16">
        <f ca="1">SUM(K82:K84)/SUM($H82:$H84)</f>
        <v>41</v>
      </c>
      <c r="F31" s="16">
        <f ca="1">SUM(L82:L84)/SUM($H82:$H84)</f>
        <v>91.221374999999995</v>
      </c>
      <c r="H31" s="16">
        <f ca="1">SUM(M82:M84)/SUM($H82:$H84)</f>
        <v>84.065027777777772</v>
      </c>
      <c r="K31" s="16" t="e">
        <f ca="1">SUM(N82:N84)/SUM($H82:$H84)</f>
        <v>#REF!</v>
      </c>
      <c r="M31" s="16">
        <f ca="1">SUM(O82:O84)/SUM($H82:$H84)</f>
        <v>115.61437500000001</v>
      </c>
      <c r="N31" s="16" t="e">
        <f ca="1">SUM(P82:P84)/SUM($H82:$H84)</f>
        <v>#REF!</v>
      </c>
    </row>
    <row r="32" spans="1:14" x14ac:dyDescent="0.2">
      <c r="A32" t="s">
        <v>26</v>
      </c>
      <c r="B32" s="16">
        <f ca="1">SUM(J85:J87)/SUM($H85:$H87)</f>
        <v>32.011904761904766</v>
      </c>
      <c r="D32" s="16">
        <f ca="1">SUM(K85:K87)/SUM($H85:$H87)</f>
        <v>44</v>
      </c>
      <c r="F32" s="16">
        <f ca="1">SUM(L85:L87)/SUM($H85:$H87)</f>
        <v>67.236750000000001</v>
      </c>
      <c r="H32" s="16">
        <f ca="1">SUM(M85:M87)/SUM($H85:$H87)</f>
        <v>58.51025661375661</v>
      </c>
      <c r="K32" s="16">
        <f ca="1">SUM(N85:N87)/SUM($H85:$H87)</f>
        <v>4.7833333333333332</v>
      </c>
      <c r="M32" s="16">
        <f ca="1">SUM(O85:O87)/SUM($H85:$H87)</f>
        <v>103.61965000000002</v>
      </c>
      <c r="N32" s="16">
        <f ca="1">SUM(P85:P87)/SUM($H85:$H87)</f>
        <v>98.223455185185188</v>
      </c>
    </row>
    <row r="33" spans="1:14" x14ac:dyDescent="0.2">
      <c r="A33" t="s">
        <v>27</v>
      </c>
      <c r="B33" s="16">
        <f ca="1">SUM(J88:J90)/SUM($H88:$H90)</f>
        <v>33.004933694738256</v>
      </c>
      <c r="D33" s="16">
        <f ca="1">SUM(K88:K90)/SUM($H88:$H90)</f>
        <v>40.669955796492168</v>
      </c>
      <c r="F33" s="16">
        <f ca="1">SUM(L88:L90)/SUM($H88:$H90)</f>
        <v>63.490955286742448</v>
      </c>
      <c r="H33" s="16">
        <f ca="1">SUM(M88:M90)/SUM($H88:$H90)</f>
        <v>49.665671072331584</v>
      </c>
      <c r="K33" s="16">
        <f ca="1">SUM(N88:N90)/SUM($H88:$H90)</f>
        <v>5.0265926514015282</v>
      </c>
      <c r="M33" s="16">
        <f ca="1">SUM(O88:O90)/SUM($H88:$H90)</f>
        <v>109.06765314530217</v>
      </c>
      <c r="N33" s="16">
        <f ca="1">SUM(P88:P90)/SUM($H88:$H90)</f>
        <v>91.020730930619763</v>
      </c>
    </row>
    <row r="34" spans="1:14" x14ac:dyDescent="0.2">
      <c r="A34" t="s">
        <v>28</v>
      </c>
      <c r="B34" s="16">
        <f ca="1">SUM(J91:J93)/SUM($H91:$H93)</f>
        <v>32.334992384954916</v>
      </c>
      <c r="D34" s="16">
        <f ca="1">SUM(K91:K93)/SUM($H91:$H93)</f>
        <v>38.676638094204812</v>
      </c>
      <c r="F34" s="16">
        <f ca="1">SUM(L91:L93)/SUM($H91:$H93)</f>
        <v>69.426650932561316</v>
      </c>
      <c r="H34" s="16">
        <f ca="1">SUM(M91:M93)/SUM($H91:$H93)</f>
        <v>51.670061227266771</v>
      </c>
      <c r="K34" s="16">
        <f ca="1">SUM(N91:N93)/SUM($H91:$H93)</f>
        <v>5.2912295856582494</v>
      </c>
      <c r="M34" s="16">
        <f ca="1">SUM(O91:O93)/SUM($H91:$H93)</f>
        <v>88.165077111338263</v>
      </c>
      <c r="N34" s="16">
        <f ca="1">SUM(P91:P93)/SUM($H91:$H93)</f>
        <v>79.803168360994093</v>
      </c>
    </row>
    <row r="35" spans="1:14" x14ac:dyDescent="0.2">
      <c r="A35" t="s">
        <v>67</v>
      </c>
      <c r="B35" s="16">
        <f ca="1">SUM(J94:J96)/SUM($H94:$H96)</f>
        <v>31.336702095725371</v>
      </c>
      <c r="D35" s="16">
        <f ca="1">SUM(K94:K96)/SUM($H94:$H96)</f>
        <v>37.834990534038823</v>
      </c>
      <c r="F35" s="16">
        <f ca="1">SUM(L94:L96)/SUM($H94:$H96)</f>
        <v>92.062850678950326</v>
      </c>
      <c r="H35" s="16">
        <f ca="1">SUM(M94:M96)/SUM($H94:$H96)</f>
        <v>62.4007524165037</v>
      </c>
      <c r="K35" s="16">
        <f ca="1">SUM(N94:N96)/SUM($H94:$H96)</f>
        <v>5.2607343245114473</v>
      </c>
      <c r="M35" s="16">
        <f ca="1">SUM(O94:O96)/SUM($H94:$H96)</f>
        <v>70.700253446886833</v>
      </c>
      <c r="N35" s="16">
        <f ca="1">SUM(P94:P96)/SUM($H94:$H96)</f>
        <v>60.660740982736982</v>
      </c>
    </row>
    <row r="36" spans="1:14" x14ac:dyDescent="0.2">
      <c r="A36" t="s">
        <v>68</v>
      </c>
      <c r="B36" s="16">
        <f ca="1">SUM(J97:J99)/SUM($H97:$H99)</f>
        <v>31.162443084021898</v>
      </c>
      <c r="D36" s="16">
        <f ca="1">SUM(K97:K99)/SUM($H97:$H99)</f>
        <v>37.5</v>
      </c>
      <c r="F36" s="16">
        <f ca="1">SUM(L97:L99)/SUM($H97:$H99)</f>
        <v>76.852609754724625</v>
      </c>
      <c r="H36" s="16">
        <f ca="1">SUM(M97:M99)/SUM($H97:$H99)</f>
        <v>54.71896698095555</v>
      </c>
      <c r="K36" s="16">
        <f ca="1">SUM(N97:N99)/SUM($H97:$H99)</f>
        <v>4.3915777002699778</v>
      </c>
      <c r="M36" s="16">
        <f ca="1">SUM(O97:O99)/SUM($H97:$H99)</f>
        <v>59.889773683271343</v>
      </c>
      <c r="N36" s="16">
        <f ca="1">SUM(P97:P99)/SUM($H97:$H99)</f>
        <v>47.954166789492191</v>
      </c>
    </row>
    <row r="37" spans="1:14" ht="12.75" hidden="1" customHeight="1" x14ac:dyDescent="0.2">
      <c r="A37" t="s">
        <v>69</v>
      </c>
      <c r="B37" s="16">
        <f ca="1">SUM(J100:J102)/SUM($H100:$H102)</f>
        <v>30.000000000000004</v>
      </c>
      <c r="D37" s="16">
        <f ca="1">SUM(K100:K102)/SUM($H100:$H102)</f>
        <v>39.556492755388341</v>
      </c>
      <c r="F37" s="16">
        <f ca="1">SUM(L100:L102)/SUM($H100:$H102)</f>
        <v>74.647824214745029</v>
      </c>
      <c r="H37" s="16">
        <f ca="1">SUM(M100:M102)/SUM($H100:$H102)</f>
        <v>53.834516708373144</v>
      </c>
      <c r="K37" s="16">
        <f ca="1">SUM(N100:N102)/SUM($H100:$H102)</f>
        <v>4.265589955128287</v>
      </c>
      <c r="M37" s="16">
        <f ca="1">SUM(O100:O102)/SUM($H100:$H102)</f>
        <v>105.84384205469955</v>
      </c>
      <c r="N37" s="16">
        <f ca="1">SUM(P100:P102)/SUM($H100:$H102)</f>
        <v>82.728014257563643</v>
      </c>
    </row>
    <row r="38" spans="1:14" x14ac:dyDescent="0.2">
      <c r="A38" t="s">
        <v>65</v>
      </c>
      <c r="B38" s="16">
        <f ca="1">SUM(J103:J105)/SUM($H103:$H105)</f>
        <v>31.994864754634335</v>
      </c>
      <c r="D38" s="16">
        <f ca="1">SUM(K103:K105)/SUM($H103:$H105)</f>
        <v>40</v>
      </c>
      <c r="F38" s="16">
        <f ca="1">SUM(L103:L105)/SUM($H103:$H105)</f>
        <v>76.727170533020896</v>
      </c>
      <c r="H38" s="16">
        <f ca="1">SUM(M103:M105)/SUM($H103:$H105)</f>
        <v>55.616920990496752</v>
      </c>
      <c r="K38" s="16">
        <f ca="1">SUM(N103:N105)/SUM($H103:$H105)</f>
        <v>4.3844097447440511</v>
      </c>
      <c r="M38" s="16">
        <f ca="1">SUM(O103:O105)/SUM($H103:$H105)</f>
        <v>76.596549895965552</v>
      </c>
      <c r="N38" s="16">
        <f ca="1">SUM(P103:P105)/SUM($H103:$H105)</f>
        <v>65.768856336375066</v>
      </c>
    </row>
    <row r="39" spans="1:14" x14ac:dyDescent="0.2">
      <c r="A39" t="s">
        <v>70</v>
      </c>
      <c r="B39" s="16">
        <f ca="1">SUM(J106:J108)/SUM($H106:$H108)</f>
        <v>31.963496844357973</v>
      </c>
      <c r="D39" s="16">
        <f ca="1">SUM(K106:K108)/SUM($H106:$H108)</f>
        <v>38.591718966440268</v>
      </c>
      <c r="F39" s="16">
        <f ca="1">SUM(L106:L108)/SUM($H106:$H108)</f>
        <v>67.033635731790454</v>
      </c>
      <c r="H39" s="16">
        <f ca="1">SUM(M106:M108)/SUM($H106:$H108)</f>
        <v>50.550035439916009</v>
      </c>
      <c r="K39" s="16">
        <f ca="1">SUM(N106:N108)/SUM($H106:$H108)</f>
        <v>4.3108447415942415</v>
      </c>
      <c r="M39" s="16">
        <f ca="1">SUM(O106:O108)/SUM($H106:$H108)</f>
        <v>52.319504307653602</v>
      </c>
      <c r="N39" s="16">
        <f ca="1">SUM(P106:P108)/SUM($H106:$H108)</f>
        <v>47.842173106033101</v>
      </c>
    </row>
    <row r="40" spans="1:14" x14ac:dyDescent="0.2">
      <c r="A40" t="s">
        <v>71</v>
      </c>
      <c r="B40" s="16">
        <f ca="1">SUM(J109:J111)/SUM($H109:$H111)</f>
        <v>31.785627705377724</v>
      </c>
      <c r="D40" s="16">
        <f ca="1">SUM(K109:K111)/SUM($H109:$H111)</f>
        <v>38.25</v>
      </c>
      <c r="F40" s="16">
        <f ca="1">SUM(L109:L111)/SUM($H109:$H111)</f>
        <v>57.998335726394991</v>
      </c>
      <c r="H40" s="16">
        <f ca="1">SUM(M109:M111)/SUM($H109:$H111)</f>
        <v>46.121647182795321</v>
      </c>
      <c r="K40" s="16">
        <f ca="1">SUM(N109:N111)/SUM($H109:$H111)</f>
        <v>3.7297965097360115</v>
      </c>
      <c r="M40" s="16">
        <f ca="1">SUM(O109:O111)/SUM($H109:$H111)</f>
        <v>48.930330131333179</v>
      </c>
      <c r="N40" s="16">
        <f ca="1">SUM(P109:P111)/SUM($H109:$H111)</f>
        <v>38.946965813242414</v>
      </c>
    </row>
    <row r="41" spans="1:14" x14ac:dyDescent="0.2">
      <c r="A41" t="s">
        <v>72</v>
      </c>
      <c r="B41" s="16">
        <f ca="1">SUM(J112:J114)/SUM($H112:$H114)</f>
        <v>30.6</v>
      </c>
      <c r="D41" s="16">
        <f ca="1">SUM(K112:K114)/SUM($H112:$H114)</f>
        <v>40.347613975330219</v>
      </c>
      <c r="F41" s="16">
        <f ca="1">SUM(L112:L114)/SUM($H112:$H114)</f>
        <v>56.553783461874417</v>
      </c>
      <c r="H41" s="16">
        <f ca="1">SUM(M112:M114)/SUM($H112:$H114)</f>
        <v>45.785745774056458</v>
      </c>
      <c r="K41" s="16">
        <f ca="1">SUM(N112:N114)/SUM($H112:$H114)</f>
        <v>3.6368992579983543</v>
      </c>
      <c r="M41" s="16">
        <f ca="1">SUM(O112:O114)/SUM($H112:$H114)</f>
        <v>96.916843349789005</v>
      </c>
      <c r="N41" s="16">
        <f ca="1">SUM(P112:P114)/SUM($H112:$H114)</f>
        <v>74.695267139660245</v>
      </c>
    </row>
    <row r="42" spans="1:14" x14ac:dyDescent="0.2">
      <c r="A42" t="s">
        <v>66</v>
      </c>
      <c r="B42" s="16">
        <f ca="1">SUM(J115:J117)/SUM($H115:$H117)</f>
        <v>32.634777005770843</v>
      </c>
      <c r="D42" s="16">
        <f ca="1">SUM(K115:K117)/SUM($H115:$H117)</f>
        <v>40.799999999999997</v>
      </c>
      <c r="F42" s="16">
        <f ca="1">SUM(L115:L117)/SUM($H115:$H117)</f>
        <v>58.506585516499904</v>
      </c>
      <c r="H42" s="16">
        <f ca="1">SUM(M115:M117)/SUM($H115:$H117)</f>
        <v>47.292557275377085</v>
      </c>
      <c r="K42" s="16">
        <f ca="1">SUM(N115:N117)/SUM($H115:$H117)</f>
        <v>3.7624813836977431</v>
      </c>
      <c r="M42" s="16">
        <f ca="1">SUM(O115:O117)/SUM($H115:$H117)</f>
        <v>66.524249099138331</v>
      </c>
      <c r="N42" s="16">
        <f ca="1">SUM(P115:P117)/SUM($H115:$H117)</f>
        <v>56.865819607765943</v>
      </c>
    </row>
    <row r="43" spans="1:14" x14ac:dyDescent="0.2">
      <c r="A43" t="s">
        <v>130</v>
      </c>
      <c r="B43" s="16">
        <f ca="1">SUM(J118:J120)/SUM($H118:$H120)</f>
        <v>32.602739036648842</v>
      </c>
      <c r="D43" s="16">
        <f ca="1">SUM(K118:K120)/SUM($H118:$H120)</f>
        <v>39.363539258794276</v>
      </c>
      <c r="F43" s="16">
        <f ca="1">SUM(L118:L120)/SUM($H118:$H120)</f>
        <v>56.678536089925153</v>
      </c>
      <c r="H43" s="16">
        <f ca="1">SUM(M118:M120)/SUM($H118:$H120)</f>
        <v>46.007693573844762</v>
      </c>
      <c r="K43" s="16">
        <f ca="1">SUM(N118:N120)/SUM($H118:$H120)</f>
        <v>3.7288510585477086</v>
      </c>
      <c r="M43" s="16">
        <f ca="1">SUM(O118:O120)/SUM($H118:$H120)</f>
        <v>42.491553168315129</v>
      </c>
      <c r="N43" s="16">
        <f ca="1">SUM(P118:P120)/SUM($H118:$H120)</f>
        <v>39.306926461261234</v>
      </c>
    </row>
    <row r="44" spans="1:14" x14ac:dyDescent="0.2">
      <c r="A44" t="s">
        <v>131</v>
      </c>
      <c r="B44" s="16">
        <f ca="1">SUM(J121:J124)/SUM($H121:$H124)</f>
        <v>32.121344494564134</v>
      </c>
      <c r="D44" s="16">
        <f ca="1">SUM(K121:K124)/SUM($H121:$H124)</f>
        <v>39.19568773065901</v>
      </c>
      <c r="F44" s="16">
        <f ca="1">SUM(L121:L124)/SUM($H121:$H124)</f>
        <v>49.487178495591458</v>
      </c>
      <c r="H44" s="16">
        <f ca="1">SUM(M121:M124)/SUM($H121:$H124)</f>
        <v>42.441489683788333</v>
      </c>
      <c r="K44" s="16">
        <f ca="1">SUM(N121:N124)/SUM($H121:$H124)</f>
        <v>3.2557354273415435</v>
      </c>
      <c r="M44" s="16">
        <f ca="1">SUM(O121:O124)/SUM($H121:$H124)</f>
        <v>49.365117038552263</v>
      </c>
      <c r="N44" s="16">
        <f ca="1">SUM(P121:P124)/SUM($H121:$H124)</f>
        <v>37.530043863467483</v>
      </c>
    </row>
    <row r="45" spans="1:14" x14ac:dyDescent="0.2">
      <c r="A45" t="s">
        <v>132</v>
      </c>
      <c r="B45" s="16">
        <f ca="1">SUM(J125:J127)/SUM($H125:$H127)</f>
        <v>31.212</v>
      </c>
      <c r="D45" s="16">
        <f ca="1">SUM(K125:K127)/SUM($H125:$H127)</f>
        <v>41.782884882602687</v>
      </c>
      <c r="F45" s="16">
        <f ca="1">SUM(L125:L127)/SUM($H125:$H127)</f>
        <v>50.640349522361724</v>
      </c>
      <c r="H45" s="16">
        <f ca="1">SUM(M125:M127)/SUM($H125:$H127)</f>
        <v>43.492023314186717</v>
      </c>
      <c r="K45" s="16">
        <f ca="1">SUM(N125:N127)/SUM($H125:$H127)</f>
        <v>3.3316019422606393</v>
      </c>
      <c r="M45" s="16">
        <f ca="1">SUM(O125:O127)/SUM($H125:$H127)</f>
        <v>81.132129106116167</v>
      </c>
      <c r="N45" s="16">
        <f ca="1">SUM(P125:P127)/SUM($H125:$H127)</f>
        <v>64.447174720605616</v>
      </c>
    </row>
    <row r="46" spans="1:14" x14ac:dyDescent="0.2">
      <c r="A46" t="s">
        <v>133</v>
      </c>
      <c r="B46" s="16">
        <f ca="1">SUM(J128:J130)/SUM($H128:$H130)</f>
        <v>34.560917212559687</v>
      </c>
      <c r="D46" s="16">
        <f ca="1">SUM(K128:K130)/SUM($H128:$H130)</f>
        <v>41.364130961865797</v>
      </c>
      <c r="F46" s="16">
        <f ca="1">SUM(L128:L130)/SUM($H128:$H130)</f>
        <v>54.219354245619634</v>
      </c>
      <c r="H46" s="16">
        <f ca="1">SUM(M128:M130)/SUM($H128:$H130)</f>
        <v>45.833906637808923</v>
      </c>
      <c r="K46" s="16">
        <f ca="1">SUM(N128:N130)/SUM($H128:$H130)</f>
        <v>3.5710817228059519</v>
      </c>
      <c r="M46" s="16">
        <f ca="1">SUM(O128:O130)/SUM($H128:$H130)</f>
        <v>49.471835909071125</v>
      </c>
      <c r="N46" s="16">
        <f ca="1">SUM(P128:P130)/SUM($H128:$H130)</f>
        <v>42.901427840181682</v>
      </c>
    </row>
    <row r="47" spans="1:14" x14ac:dyDescent="0.2">
      <c r="A47" t="s">
        <v>134</v>
      </c>
      <c r="B47" s="16">
        <f ca="1">SUM(J131:J133)/SUM($H131:$H133)</f>
        <v>32.014039932211155</v>
      </c>
      <c r="D47" s="16">
        <f ca="1">SUM(K131:K133)/SUM($H131:$H133)</f>
        <v>39.795300000000005</v>
      </c>
      <c r="F47" s="16">
        <f ca="1">SUM(L131:L133)/SUM($H131:$H133)</f>
        <v>53.766667788214768</v>
      </c>
      <c r="H47" s="16">
        <f ca="1">SUM(M131:M133)/SUM($H131:$H133)</f>
        <v>44.656195583455236</v>
      </c>
      <c r="K47" s="16">
        <f ca="1">SUM(N131:N133)/SUM($H131:$H133)</f>
        <v>3.5489549695191265</v>
      </c>
      <c r="M47" s="16">
        <f ca="1">SUM(O131:O133)/SUM($H131:$H133)</f>
        <v>34.002753355145238</v>
      </c>
      <c r="N47" s="16">
        <f ca="1">SUM(P131:P133)/SUM($H131:$H133)</f>
        <v>30.688364439765913</v>
      </c>
    </row>
    <row r="48" spans="1:14" x14ac:dyDescent="0.2">
      <c r="A48" t="s">
        <v>135</v>
      </c>
      <c r="B48" s="16">
        <f ca="1">SUM(J134:J136)/SUM($H134:$H136)</f>
        <v>33.254767839890967</v>
      </c>
      <c r="D48" s="16">
        <f ca="1">SUM(K134:K136)/SUM($H134:$H136)</f>
        <v>40.04166085603817</v>
      </c>
      <c r="F48" s="16">
        <f ca="1">SUM(L134:L136)/SUM($H134:$H136)</f>
        <v>51.935193045090301</v>
      </c>
      <c r="H48" s="16">
        <f ca="1">SUM(M134:M136)/SUM($H134:$H136)</f>
        <v>44.046522967294372</v>
      </c>
      <c r="K48" s="16">
        <f ca="1">SUM(N134:N136)/SUM($H134:$H136)</f>
        <v>3.4280655475307129</v>
      </c>
      <c r="M48" s="16">
        <f ca="1">SUM(O134:O136)/SUM($H134:$H136)</f>
        <v>46.581794878596646</v>
      </c>
      <c r="N48" s="16">
        <f ca="1">SUM(P134:P136)/SUM($H134:$H136)</f>
        <v>33.322850468297446</v>
      </c>
    </row>
    <row r="49" spans="1:14" x14ac:dyDescent="0.2">
      <c r="A49" t="s">
        <v>136</v>
      </c>
      <c r="B49" s="16">
        <f ca="1">SUM(J137:J139)/SUM($H137:$H139)</f>
        <v>31.836239999999997</v>
      </c>
      <c r="D49" s="16">
        <f ca="1">SUM(K137:K139)/SUM($H137:$H139)</f>
        <v>42.618543596133769</v>
      </c>
      <c r="F49" s="16">
        <f ca="1">SUM(L137:L139)/SUM($H137:$H139)</f>
        <v>52.4829519282817</v>
      </c>
      <c r="H49" s="16">
        <f ca="1">SUM(M137:M139)/SUM($H137:$H139)</f>
        <v>44.722269222726325</v>
      </c>
      <c r="K49" s="16">
        <f ca="1">SUM(N137:N139)/SUM($H137:$H139)</f>
        <v>3.4642212493915312</v>
      </c>
      <c r="M49" s="16">
        <f ca="1">SUM(O137:O139)/SUM($H137:$H139)</f>
        <v>74.680829287259314</v>
      </c>
      <c r="N49" s="16">
        <f ca="1">SUM(P137:P139)/SUM($H137:$H139)</f>
        <v>58.47065368516779</v>
      </c>
    </row>
    <row r="50" spans="1:14" x14ac:dyDescent="0.2">
      <c r="A50" t="s">
        <v>137</v>
      </c>
      <c r="B50" s="16">
        <f ca="1">SUM(J140:J142)/SUM($H140:$H142)</f>
        <v>35.252132732786144</v>
      </c>
      <c r="D50" s="16">
        <f ca="1">SUM(K140:K142)/SUM($H140:$H142)</f>
        <v>42.19141670464564</v>
      </c>
      <c r="F50" s="16">
        <f ca="1">SUM(L140:L142)/SUM($H140:$H142)</f>
        <v>57.508867246954701</v>
      </c>
      <c r="H50" s="16">
        <f ca="1">SUM(M140:M142)/SUM($H140:$H142)</f>
        <v>47.814025017535599</v>
      </c>
      <c r="K50" s="16">
        <f ca="1">SUM(N140:N142)/SUM($H140:$H142)</f>
        <v>3.8003195546054505</v>
      </c>
      <c r="M50" s="16">
        <f ca="1">SUM(O140:O142)/SUM($H140:$H142)</f>
        <v>43.476747271063601</v>
      </c>
      <c r="N50" s="16">
        <f ca="1">SUM(P140:P142)/SUM($H140:$H142)</f>
        <v>37.650442017242305</v>
      </c>
    </row>
    <row r="51" spans="1:14" x14ac:dyDescent="0.2">
      <c r="A51" t="s">
        <v>138</v>
      </c>
      <c r="B51" s="16">
        <f ca="1">SUM(J143:J145)/SUM($H143:$H145)</f>
        <v>32.654333133591273</v>
      </c>
      <c r="D51" s="16">
        <f ca="1">SUM(K143:K145)/SUM($H143:$H145)</f>
        <v>40.591206000000007</v>
      </c>
      <c r="F51" s="16">
        <f ca="1">SUM(L143:L145)/SUM($H143:$H145)</f>
        <v>54.682358267789446</v>
      </c>
      <c r="H51" s="16">
        <f ca="1">SUM(M143:M145)/SUM($H143:$H145)</f>
        <v>45.457990663063413</v>
      </c>
      <c r="K51" s="16">
        <f ca="1">SUM(N143:N145)/SUM($H143:$H145)</f>
        <v>3.62134822965493</v>
      </c>
      <c r="M51" s="16">
        <f ca="1">SUM(O143:O145)/SUM($H143:$H145)</f>
        <v>29.103972964175117</v>
      </c>
      <c r="N51" s="16">
        <f ca="1">SUM(P143:P145)/SUM($H143:$H145)</f>
        <v>26.452796360029549</v>
      </c>
    </row>
    <row r="52" spans="1:14" x14ac:dyDescent="0.2">
      <c r="A52" t="s">
        <v>139</v>
      </c>
      <c r="B52" s="16">
        <f ca="1">SUM(J146:J148)/SUM($H146:$H148)</f>
        <v>33.919879546923518</v>
      </c>
      <c r="D52" s="16">
        <f ca="1">SUM(K146:K148)/SUM($H146:$H148)</f>
        <v>40.842488350576772</v>
      </c>
      <c r="F52" s="16">
        <f ca="1">SUM(L146:L148)/SUM($H146:$H148)</f>
        <v>51.321043525917034</v>
      </c>
      <c r="H52" s="16">
        <f ca="1">SUM(M146:M148)/SUM($H146:$H148)</f>
        <v>44.155876774550343</v>
      </c>
      <c r="K52" s="16">
        <f ca="1">SUM(N146:N148)/SUM($H146:$H148)</f>
        <v>3.3987446043653669</v>
      </c>
      <c r="M52" s="16">
        <f ca="1">SUM(O146:O148)/SUM($H146:$H148)</f>
        <v>41.809231033857124</v>
      </c>
      <c r="N52" s="16">
        <f ca="1">SUM(P146:P148)/SUM($H146:$H148)</f>
        <v>29.093997222287101</v>
      </c>
    </row>
    <row r="53" spans="1:14" x14ac:dyDescent="0.2">
      <c r="A53" t="s">
        <v>140</v>
      </c>
      <c r="B53" s="16">
        <f ca="1">SUM(J149:J151)/SUM($H149:$H151)</f>
        <v>32.472964800000007</v>
      </c>
      <c r="D53" s="16">
        <f ca="1">SUM(K149:K151)/SUM($H149:$H151)</f>
        <v>43.470918359199075</v>
      </c>
      <c r="F53" s="16">
        <f ca="1">SUM(L149:L151)/SUM($H149:$H151)</f>
        <v>51.861251018784394</v>
      </c>
      <c r="H53" s="16">
        <f ca="1">SUM(M149:M151)/SUM($H149:$H151)</f>
        <v>44.849835002638137</v>
      </c>
      <c r="K53" s="16">
        <f ca="1">SUM(N149:N151)/SUM($H149:$H151)</f>
        <v>3.4345199350188342</v>
      </c>
      <c r="M53" s="16">
        <f ca="1">SUM(O149:O151)/SUM($H149:$H151)</f>
        <v>69.65896761393374</v>
      </c>
      <c r="N53" s="16">
        <f ca="1">SUM(P149:P151)/SUM($H149:$H151)</f>
        <v>54.300090873157188</v>
      </c>
    </row>
    <row r="54" spans="1:14" x14ac:dyDescent="0.2">
      <c r="A54" t="s">
        <v>141</v>
      </c>
      <c r="B54" s="16">
        <f ca="1">SUM(J152:J154)/SUM($H152:$H154)</f>
        <v>35.957163835561545</v>
      </c>
      <c r="D54" s="16">
        <f ca="1">SUM(K152:K154)/SUM($H152:$H154)</f>
        <v>43.035257815818305</v>
      </c>
      <c r="F54" s="16">
        <f ca="1">SUM(L152:L154)/SUM($H152:$H154)</f>
        <v>55.595704420883216</v>
      </c>
      <c r="H54" s="16">
        <f ca="1">SUM(M152:M154)/SUM($H152:$H154)</f>
        <v>47.244281038624592</v>
      </c>
      <c r="K54" s="16">
        <f ca="1">SUM(N152:N154)/SUM($H152:$H154)</f>
        <v>3.6818347298598155</v>
      </c>
      <c r="M54" s="16">
        <f ca="1">SUM(O152:O154)/SUM($H152:$H154)</f>
        <v>43.785175429430318</v>
      </c>
      <c r="N54" s="16">
        <f ca="1">SUM(P152:P154)/SUM($H152:$H154)</f>
        <v>37.747135933856825</v>
      </c>
    </row>
    <row r="55" spans="1:14" x14ac:dyDescent="0.2">
      <c r="B55" s="16"/>
      <c r="D55" s="16"/>
      <c r="F55" s="16"/>
      <c r="H55" s="16"/>
      <c r="K55" s="16"/>
      <c r="M55" s="16"/>
      <c r="N55" s="16"/>
    </row>
    <row r="56" spans="1:14" x14ac:dyDescent="0.2">
      <c r="B56" s="16"/>
      <c r="D56" s="16"/>
      <c r="F56" s="16"/>
      <c r="H56" s="16"/>
      <c r="K56" s="16"/>
      <c r="M56" s="16"/>
      <c r="N56" s="16"/>
    </row>
    <row r="57" spans="1:14" x14ac:dyDescent="0.2">
      <c r="B57" s="16"/>
      <c r="D57" s="16"/>
      <c r="F57" s="16"/>
      <c r="H57" s="16"/>
      <c r="K57" s="16"/>
      <c r="M57" s="16"/>
      <c r="N57" s="16"/>
    </row>
    <row r="58" spans="1:14" x14ac:dyDescent="0.2">
      <c r="A58" s="27" t="s">
        <v>15</v>
      </c>
      <c r="B58" s="16">
        <f ca="1">SUM(J82:J93)/SUM($H82:$H93)</f>
        <v>32.203073253535017</v>
      </c>
      <c r="D58" s="16">
        <f ca="1">SUM(K82:K93)/SUM($H82:$H93)</f>
        <v>41.120522937825349</v>
      </c>
      <c r="F58" s="16">
        <f ca="1">SUM(L82:L93)/SUM($H82:$H93)</f>
        <v>69.178435792175065</v>
      </c>
      <c r="H58" s="16">
        <f ca="1">SUM(M82:M93)/SUM($H82:$H93)</f>
        <v>56.404291207320597</v>
      </c>
      <c r="K58" s="16" t="e">
        <f ca="1">SUM(N82:N93)/SUM($H82:$H93)</f>
        <v>#REF!</v>
      </c>
      <c r="M58" s="16">
        <f ca="1">SUM(O82:O93)/SUM($H82:$H93)</f>
        <v>101.89030626093066</v>
      </c>
      <c r="N58" s="16" t="e">
        <f ca="1">SUM(P82:P93)/SUM($H82:$H93)</f>
        <v>#REF!</v>
      </c>
    </row>
    <row r="59" spans="1:14" x14ac:dyDescent="0.2">
      <c r="A59" s="27" t="s">
        <v>46</v>
      </c>
      <c r="B59" s="16">
        <f ca="1">SUM(J94:J105)/(SUM($H94:$H105))</f>
        <v>31.12200006620375</v>
      </c>
      <c r="D59" s="16">
        <f ca="1">SUM(K94:K105)/(SUM($H94:$H105))</f>
        <v>38.706600899712029</v>
      </c>
      <c r="F59" s="16">
        <f ca="1">SUM(L94:L105)/(SUM($H94:$H105))</f>
        <v>80.164528514400146</v>
      </c>
      <c r="H59" s="16">
        <f ca="1">SUM(M94:M105)/(SUM($H94:$H105))</f>
        <v>56.683298826842858</v>
      </c>
      <c r="I59" s="12">
        <f ca="1">H59+3.5</f>
        <v>60.183298826842858</v>
      </c>
      <c r="J59" s="12">
        <f ca="1">F59+3.5</f>
        <v>83.664528514400146</v>
      </c>
      <c r="K59" s="16">
        <f ca="1">SUM(N94:N105)/(SUM($H94:$H105))</f>
        <v>4.5808302008228656</v>
      </c>
      <c r="M59" s="16">
        <f ca="1">SUM(O94:O105)/(SUM($H94:$H105))</f>
        <v>78.135866057950977</v>
      </c>
      <c r="N59" s="16">
        <f ca="1">SUM(P94:P105)/(SUM($H94:$H105))</f>
        <v>64.182266741164824</v>
      </c>
    </row>
    <row r="60" spans="1:14" x14ac:dyDescent="0.2">
      <c r="A60" s="27" t="s">
        <v>47</v>
      </c>
      <c r="B60" s="16">
        <f ca="1">SUM(J106:J117)/SUM($H106:$H117)</f>
        <v>31.744464968851002</v>
      </c>
      <c r="D60" s="16">
        <f ca="1">SUM(K106:K117)/SUM($H106:$H117)</f>
        <v>39.480626626736004</v>
      </c>
      <c r="F60" s="16">
        <f ca="1">SUM(L106:L117)/SUM($H106:$H117)</f>
        <v>60.075164802584112</v>
      </c>
      <c r="H60" s="16">
        <f ca="1">SUM(M106:M117)/SUM($H106:$H117)</f>
        <v>47.457024146235902</v>
      </c>
      <c r="K60" s="16">
        <f ca="1">SUM(N106:N117)/SUM($H106:$H117)</f>
        <v>3.8633546496838664</v>
      </c>
      <c r="M60" s="16">
        <f ca="1">SUM(O106:O117)/SUM($H106:$H117)</f>
        <v>65.997907676407067</v>
      </c>
      <c r="N60" s="16">
        <f ca="1">SUM(P106:P117)/SUM($H106:$H117)</f>
        <v>54.466583864180386</v>
      </c>
    </row>
    <row r="61" spans="1:14" x14ac:dyDescent="0.2">
      <c r="A61" s="27" t="s">
        <v>48</v>
      </c>
      <c r="B61" s="16">
        <f ca="1">SUM(J118:J129)/SUM($H118:$H129)</f>
        <v>32.379342453012818</v>
      </c>
      <c r="D61" s="16">
        <f ca="1">SUM(K118:K129)/SUM($H118:$H129)</f>
        <v>40.270328069462117</v>
      </c>
      <c r="F61" s="16">
        <f ca="1">SUM(L118:L129)/SUM($H118:$H129)</f>
        <v>52.251005265984347</v>
      </c>
      <c r="H61" s="16">
        <f ca="1">SUM(M118:M129)/SUM($H118:$H129)</f>
        <v>44.105917533919829</v>
      </c>
      <c r="K61" s="16">
        <f ca="1">SUM(N118:N129)/SUM($H118:$H129)</f>
        <v>3.4375661359200227</v>
      </c>
      <c r="M61" s="16">
        <f ca="1">SUM(O118:O129)/SUM($H118:$H129)</f>
        <v>56.314740395420976</v>
      </c>
      <c r="N61" s="16">
        <f ca="1">SUM(P118:P129)/SUM($H118:$H129)</f>
        <v>46.07496170832912</v>
      </c>
    </row>
    <row r="62" spans="1:14" x14ac:dyDescent="0.2">
      <c r="A62" s="27" t="s">
        <v>49</v>
      </c>
      <c r="B62" s="16">
        <f ca="1">SUM(J130:J141)/SUM($H130:$H141)</f>
        <v>33.026930607403408</v>
      </c>
      <c r="D62" s="16">
        <f ca="1">SUM(K130:K141)/SUM($H130:$H141)</f>
        <v>41.075694026692346</v>
      </c>
      <c r="F62" s="16">
        <f ca="1">SUM(L130:L141)/SUM($H130:$H141)</f>
        <v>53.566929034566208</v>
      </c>
      <c r="H62" s="16">
        <f ca="1">SUM(M130:M141)/SUM($H130:$H141)</f>
        <v>45.128423206527934</v>
      </c>
      <c r="K62" s="16">
        <f ca="1">SUM(N130:N141)/SUM($H130:$H141)</f>
        <v>3.5357708933707062</v>
      </c>
      <c r="M62" s="16">
        <f ca="1">SUM(O130:O141)/SUM($H130:$H141)</f>
        <v>49.921083033814135</v>
      </c>
      <c r="N62" s="16">
        <f ca="1">SUM(P130:P141)/SUM($H130:$H141)</f>
        <v>40.280531149794498</v>
      </c>
    </row>
    <row r="63" spans="1:14" x14ac:dyDescent="0.2">
      <c r="A63" s="27" t="s">
        <v>50</v>
      </c>
      <c r="B63" s="16">
        <f ca="1">SUM(J142:J153)/SUM($H142:$H153)</f>
        <v>33.687420873417892</v>
      </c>
      <c r="D63" s="16">
        <f ca="1">SUM(K142:K153)/SUM($H142:$H153)</f>
        <v>41.897118969716821</v>
      </c>
      <c r="F63" s="16">
        <f ca="1">SUM(L142:L153)/SUM($H142:$H153)</f>
        <v>53.526503700426218</v>
      </c>
      <c r="H63" s="16">
        <f ca="1">SUM(M142:M153)/SUM($H142:$H153)</f>
        <v>45.457412943062941</v>
      </c>
      <c r="K63" s="16">
        <f ca="1">SUM(N142:N153)/SUM($H142:$H153)</f>
        <v>3.5448015695646502</v>
      </c>
      <c r="M63" s="16">
        <f ca="1">SUM(O142:O153)/SUM($H142:$H153)</f>
        <v>44.99994002263611</v>
      </c>
      <c r="N63" s="16">
        <f ca="1">SUM(P142:P153)/SUM($H142:$H153)</f>
        <v>36.038393658492922</v>
      </c>
    </row>
    <row r="64" spans="1:14" x14ac:dyDescent="0.2">
      <c r="A64" s="27"/>
      <c r="B64" s="28"/>
      <c r="C64" s="27"/>
      <c r="D64" s="28"/>
      <c r="E64" s="27"/>
      <c r="F64" s="28"/>
      <c r="G64" s="27"/>
      <c r="H64" s="28"/>
      <c r="K64" s="28"/>
      <c r="M64" s="28"/>
      <c r="N64" s="28"/>
    </row>
    <row r="65" spans="1:15" x14ac:dyDescent="0.2">
      <c r="A65" s="27" t="s">
        <v>60</v>
      </c>
      <c r="B65" s="16">
        <f ca="1">SUM(J86:J121)/SUM($H86:$H121)</f>
        <v>31.731042851837682</v>
      </c>
      <c r="D65" s="16">
        <f ca="1">SUM(K86:K121)/SUM($H86:$H121)</f>
        <v>39.503889922482934</v>
      </c>
      <c r="F65" s="16">
        <f ca="1">SUM(L86:L121)/SUM($H86:$H121)</f>
        <v>67.251938578036686</v>
      </c>
      <c r="H65" s="16">
        <f ca="1">SUM(M86:M121)/SUM($H86:$H121)</f>
        <v>50.848147093107301</v>
      </c>
      <c r="J65" s="16"/>
      <c r="K65" s="16">
        <f ca="1">SUM(N86:N121)/SUM($H86:$H121)</f>
        <v>4.3678886298709916</v>
      </c>
      <c r="M65" s="16">
        <f ca="1">SUM(O86:O121)/SUM($H86:$H121)</f>
        <v>75.349532457338782</v>
      </c>
      <c r="N65" s="16">
        <f ca="1">SUM(P86:P121)/SUM($H86:$H121)</f>
        <v>63.76749486252708</v>
      </c>
    </row>
    <row r="66" spans="1:15" x14ac:dyDescent="0.2">
      <c r="A66" s="27" t="s">
        <v>76</v>
      </c>
      <c r="B66" s="16">
        <f ca="1">SUM(J88:J147)/SUM($H$88:$H$147)</f>
        <v>32.251163170848912</v>
      </c>
      <c r="D66" s="16">
        <f ca="1">SUM(K88:K147)/SUM($H$88:$H$147)</f>
        <v>39.889363605624602</v>
      </c>
      <c r="F66" s="16">
        <f ca="1">SUM(L88:L147)/SUM($H$88:$H$147)</f>
        <v>61.996578029008816</v>
      </c>
      <c r="H66" s="16">
        <f ca="1">SUM(M88:M147)/SUM($H$88:$H$147)</f>
        <v>48.601720894319357</v>
      </c>
      <c r="J66" s="16"/>
      <c r="K66" s="16">
        <f ca="1">SUM(N88:N147)/SUM($H$88:$H$147)</f>
        <v>4.0031361732288442</v>
      </c>
      <c r="M66" s="16"/>
      <c r="N66" s="16"/>
    </row>
    <row r="67" spans="1:15" x14ac:dyDescent="0.2">
      <c r="A67" s="27" t="s">
        <v>75</v>
      </c>
      <c r="B67" s="16">
        <f ca="1">SUM(J94:J153)/SUM($H$94:$H$153)</f>
        <v>32.313806565550273</v>
      </c>
      <c r="D67" s="16">
        <f ca="1">SUM(K94:K153)/SUM($H$94:$H$153)</f>
        <v>40.188786577704754</v>
      </c>
      <c r="F67" s="16">
        <f ca="1">SUM(L94:L153)/SUM($H$94:$H$153)</f>
        <v>60.664876985643907</v>
      </c>
      <c r="H67" s="16">
        <f ca="1">SUM(M94:M153)/SUM($H$94:$H$153)</f>
        <v>48.077638134802797</v>
      </c>
      <c r="I67" s="12">
        <f ca="1">H67+3.5</f>
        <v>51.577638134802797</v>
      </c>
      <c r="J67" s="16">
        <f ca="1">F67+3.5</f>
        <v>64.1648769856439</v>
      </c>
      <c r="K67" s="16">
        <f ca="1">SUM(N94:N153)/SUM($H$94:$H$153)</f>
        <v>3.8224878322362033</v>
      </c>
      <c r="M67" s="16"/>
      <c r="N67" s="16"/>
    </row>
    <row r="68" spans="1:15" x14ac:dyDescent="0.2">
      <c r="A68" s="27"/>
      <c r="B68" s="16"/>
      <c r="D68" s="16"/>
      <c r="F68" s="16"/>
      <c r="H68" s="16"/>
      <c r="J68" s="16"/>
      <c r="K68" s="16"/>
      <c r="M68" s="16"/>
      <c r="N68" s="16"/>
    </row>
    <row r="70" spans="1:15" ht="15.75" x14ac:dyDescent="0.25">
      <c r="A70" s="29" t="s">
        <v>58</v>
      </c>
    </row>
    <row r="72" spans="1:15" ht="15" x14ac:dyDescent="0.2">
      <c r="A72" s="209" t="s">
        <v>384</v>
      </c>
    </row>
    <row r="74" spans="1:15" x14ac:dyDescent="0.2">
      <c r="A74" t="s">
        <v>386</v>
      </c>
    </row>
    <row r="75" spans="1:15" ht="14.25" x14ac:dyDescent="0.2">
      <c r="A75" s="210" t="s">
        <v>316</v>
      </c>
      <c r="B75" s="31">
        <v>0.8</v>
      </c>
    </row>
    <row r="76" spans="1:15" ht="14.25" x14ac:dyDescent="0.2">
      <c r="A76" s="210" t="s">
        <v>387</v>
      </c>
      <c r="B76" s="31">
        <v>0.75</v>
      </c>
    </row>
    <row r="78" spans="1:15" x14ac:dyDescent="0.2">
      <c r="A78" s="26" t="s">
        <v>61</v>
      </c>
      <c r="B78" s="26"/>
      <c r="C78" s="12"/>
      <c r="D78" s="41"/>
      <c r="E78" s="41"/>
      <c r="F78" s="26"/>
      <c r="G78" s="26"/>
      <c r="H78" s="26" t="s">
        <v>62</v>
      </c>
      <c r="I78" s="26"/>
      <c r="J78" s="26"/>
      <c r="K78" s="26"/>
      <c r="L78" s="26"/>
      <c r="M78" s="26"/>
      <c r="N78" s="26"/>
      <c r="O78" s="26"/>
    </row>
    <row r="79" spans="1:15" ht="15.75" x14ac:dyDescent="0.25">
      <c r="A79" s="29" t="s">
        <v>29</v>
      </c>
      <c r="B79" s="26">
        <v>1.5</v>
      </c>
      <c r="C79" s="12"/>
      <c r="D79" s="41"/>
      <c r="E79" s="41"/>
      <c r="F79" s="41"/>
      <c r="G79" s="26"/>
      <c r="H79" s="29" t="s">
        <v>29</v>
      </c>
      <c r="I79" s="26"/>
      <c r="J79" s="26"/>
      <c r="K79" s="26"/>
      <c r="L79" s="26"/>
      <c r="M79" s="26"/>
      <c r="N79" s="26"/>
      <c r="O79" s="26"/>
    </row>
    <row r="80" spans="1:15" x14ac:dyDescent="0.2">
      <c r="A80" s="26"/>
      <c r="B80" s="26"/>
      <c r="C80" s="12"/>
      <c r="D80" s="41"/>
      <c r="E80" s="41"/>
      <c r="F80" s="41"/>
      <c r="G80" s="26"/>
      <c r="H80" s="26"/>
      <c r="I80" s="26"/>
      <c r="J80" s="26"/>
      <c r="K80" s="26"/>
      <c r="L80" s="26"/>
      <c r="M80" s="26"/>
      <c r="N80" s="26"/>
      <c r="O80" s="26"/>
    </row>
    <row r="81" spans="1:17" x14ac:dyDescent="0.2">
      <c r="A81" t="s">
        <v>16</v>
      </c>
      <c r="B81" t="s">
        <v>385</v>
      </c>
      <c r="C81" t="s">
        <v>316</v>
      </c>
      <c r="D81" t="s">
        <v>387</v>
      </c>
      <c r="F81" t="s">
        <v>38</v>
      </c>
      <c r="G81" t="s">
        <v>14</v>
      </c>
      <c r="H81" s="26" t="s">
        <v>12</v>
      </c>
      <c r="I81" s="26" t="s">
        <v>233</v>
      </c>
      <c r="J81" t="s">
        <v>36</v>
      </c>
      <c r="K81" t="s">
        <v>37</v>
      </c>
      <c r="L81" t="s">
        <v>38</v>
      </c>
      <c r="M81" t="s">
        <v>14</v>
      </c>
      <c r="N81" s="26" t="s">
        <v>59</v>
      </c>
      <c r="O81" s="26" t="s">
        <v>63</v>
      </c>
      <c r="P81" s="26" t="s">
        <v>64</v>
      </c>
      <c r="Q81" s="26" t="s">
        <v>3</v>
      </c>
    </row>
    <row r="82" spans="1:17" hidden="1" x14ac:dyDescent="0.2">
      <c r="A82" s="26">
        <v>36526</v>
      </c>
      <c r="B82" s="33">
        <v>30</v>
      </c>
      <c r="C82" s="33">
        <v>33.5</v>
      </c>
      <c r="D82" s="33"/>
      <c r="E82" s="33"/>
      <c r="F82" s="33">
        <v>59.3</v>
      </c>
      <c r="G82" s="61">
        <v>46.46</v>
      </c>
      <c r="H82" s="14">
        <f ca="1">external_curves!O13</f>
        <v>0</v>
      </c>
      <c r="I82" s="26"/>
      <c r="J82" s="33">
        <f t="shared" ref="J82:J113" ca="1" si="0">$H82*B82</f>
        <v>0</v>
      </c>
      <c r="K82" s="33">
        <f t="shared" ref="K82:K113" ca="1" si="1">$H82*C82</f>
        <v>0</v>
      </c>
      <c r="L82" s="33">
        <f t="shared" ref="L82:L113" ca="1" si="2">$H82*F82</f>
        <v>0</v>
      </c>
      <c r="M82" s="33">
        <f t="shared" ref="M82:M113" ca="1" si="3">$H82*G82</f>
        <v>0</v>
      </c>
      <c r="N82" s="33">
        <f ca="1">H82*[1]external_curves!J15</f>
        <v>0</v>
      </c>
      <c r="O82" s="33">
        <f ca="1">H82*external_curves!Q14</f>
        <v>0</v>
      </c>
      <c r="P82" s="33" t="e">
        <f ca="1">H82*external_curves!S14</f>
        <v>#REF!</v>
      </c>
      <c r="Q82" s="14">
        <f ca="1">H82*external_curves!M14</f>
        <v>0</v>
      </c>
    </row>
    <row r="83" spans="1:17" hidden="1" x14ac:dyDescent="0.2">
      <c r="A83" s="26">
        <v>36557</v>
      </c>
      <c r="B83" s="61">
        <v>25.5</v>
      </c>
      <c r="C83" s="61">
        <v>30</v>
      </c>
      <c r="D83" s="61"/>
      <c r="E83" s="61"/>
      <c r="F83" s="33">
        <v>50.94</v>
      </c>
      <c r="G83" s="61">
        <v>47.07</v>
      </c>
      <c r="H83" s="14">
        <f ca="1">external_curves!O14</f>
        <v>0</v>
      </c>
      <c r="I83" s="26"/>
      <c r="J83" s="33">
        <f t="shared" ca="1" si="0"/>
        <v>0</v>
      </c>
      <c r="K83" s="33">
        <f t="shared" ca="1" si="1"/>
        <v>0</v>
      </c>
      <c r="L83" s="33">
        <f t="shared" ca="1" si="2"/>
        <v>0</v>
      </c>
      <c r="M83" s="33">
        <f t="shared" ca="1" si="3"/>
        <v>0</v>
      </c>
      <c r="N83" s="33" t="e">
        <f ca="1">H83*[1]external_curves!#REF!</f>
        <v>#REF!</v>
      </c>
      <c r="O83" s="33">
        <f ca="1">H83*external_curves!Q15</f>
        <v>0</v>
      </c>
      <c r="P83" s="33" t="e">
        <f ca="1">H83*external_curves!S15</f>
        <v>#DIV/0!</v>
      </c>
      <c r="Q83" s="14">
        <f ca="1">H83*external_curves!M15</f>
        <v>0</v>
      </c>
    </row>
    <row r="84" spans="1:17" hidden="1" x14ac:dyDescent="0.2">
      <c r="A84" s="26">
        <v>36586</v>
      </c>
      <c r="B84" s="61">
        <v>30</v>
      </c>
      <c r="C84" s="61">
        <v>41</v>
      </c>
      <c r="D84" s="61"/>
      <c r="E84" s="61"/>
      <c r="F84" s="33">
        <f ca="1">D6*external_curves!K16</f>
        <v>91.221374999999995</v>
      </c>
      <c r="G84" s="33">
        <f ca="1">((F84*external_curves!AI16)+(Fwd_curves!B84*external_curves!AL16)+(Fwd_curves!C84*external_curves!AM16))/(external_curves!AH16)</f>
        <v>84.065027777777772</v>
      </c>
      <c r="H84" s="14">
        <f ca="1">external_curves!O16</f>
        <v>1</v>
      </c>
      <c r="I84" s="15">
        <f ca="1">F84/N84</f>
        <v>19.204499999999999</v>
      </c>
      <c r="J84" s="33">
        <f t="shared" ca="1" si="0"/>
        <v>30</v>
      </c>
      <c r="K84" s="33">
        <f t="shared" ca="1" si="1"/>
        <v>41</v>
      </c>
      <c r="L84" s="33">
        <f t="shared" ca="1" si="2"/>
        <v>91.221374999999995</v>
      </c>
      <c r="M84" s="33">
        <f t="shared" ca="1" si="3"/>
        <v>84.065027777777772</v>
      </c>
      <c r="N84" s="33">
        <f ca="1">H84*external_curves!K16</f>
        <v>4.75</v>
      </c>
      <c r="O84" s="33">
        <f ca="1">H84*external_curves!Q16</f>
        <v>115.61437500000001</v>
      </c>
      <c r="P84" s="33">
        <f ca="1">H84*external_curves!S16</f>
        <v>112.85090277777779</v>
      </c>
      <c r="Q84" s="14">
        <f ca="1">H84*external_curves!M16</f>
        <v>1.4775</v>
      </c>
    </row>
    <row r="85" spans="1:17" hidden="1" x14ac:dyDescent="0.2">
      <c r="A85" s="26">
        <v>36617</v>
      </c>
      <c r="B85" s="61">
        <v>32.75</v>
      </c>
      <c r="C85" s="61">
        <v>44</v>
      </c>
      <c r="D85" s="61"/>
      <c r="E85" s="61"/>
      <c r="F85" s="33">
        <f ca="1">D7*external_curves!K16</f>
        <v>89.960250000000002</v>
      </c>
      <c r="G85" s="33">
        <f ca="1">((F85*external_curves!AI16)+(Fwd_curves!B85*external_curves!AL16)+(Fwd_curves!C85*external_curves!AM16))/(external_curves!AH16)</f>
        <v>82.841351851851854</v>
      </c>
      <c r="H85" s="14">
        <f ca="1">external_curves!O16</f>
        <v>1</v>
      </c>
      <c r="I85" s="15">
        <f t="shared" ref="I85:I148" ca="1" si="4">F85/N85</f>
        <v>18.939</v>
      </c>
      <c r="J85" s="33">
        <f t="shared" ca="1" si="0"/>
        <v>32.75</v>
      </c>
      <c r="K85" s="33">
        <f t="shared" ca="1" si="1"/>
        <v>44</v>
      </c>
      <c r="L85" s="33">
        <f t="shared" ca="1" si="2"/>
        <v>89.960250000000002</v>
      </c>
      <c r="M85" s="33">
        <f t="shared" ca="1" si="3"/>
        <v>82.841351851851854</v>
      </c>
      <c r="N85" s="33">
        <f ca="1">H85*external_curves!K16</f>
        <v>4.75</v>
      </c>
      <c r="O85" s="33">
        <f ca="1">H85*external_curves!Q16</f>
        <v>115.61437500000001</v>
      </c>
      <c r="P85" s="33">
        <f ca="1">H85*external_curves!S16</f>
        <v>112.85090277777779</v>
      </c>
      <c r="Q85" s="14">
        <f ca="1">H85*external_curves!M16</f>
        <v>1.4775</v>
      </c>
    </row>
    <row r="86" spans="1:17" x14ac:dyDescent="0.2">
      <c r="A86" s="26">
        <v>36647</v>
      </c>
      <c r="B86" s="61">
        <v>28.285714285714299</v>
      </c>
      <c r="C86" s="61">
        <v>46</v>
      </c>
      <c r="D86" s="61"/>
      <c r="E86" s="61"/>
      <c r="F86" s="61">
        <v>53</v>
      </c>
      <c r="G86" s="33">
        <f ca="1">IF(swap_model!$B$37="Y",swap_model!B39,((F86*external_curves!AI16)+(Fwd_curves!B86*external_curves!AL16)+(Fwd_curves!C86*external_curves!AM16))/(external_curves!AH16))</f>
        <v>44.211640211640216</v>
      </c>
      <c r="H86" s="14">
        <f ca="1">external_curves!O16</f>
        <v>1</v>
      </c>
      <c r="I86" s="15">
        <f t="shared" ca="1" si="4"/>
        <v>11.157894736842104</v>
      </c>
      <c r="J86" s="33">
        <f t="shared" ca="1" si="0"/>
        <v>28.285714285714299</v>
      </c>
      <c r="K86" s="33">
        <f t="shared" ca="1" si="1"/>
        <v>46</v>
      </c>
      <c r="L86" s="33">
        <f t="shared" ca="1" si="2"/>
        <v>53</v>
      </c>
      <c r="M86" s="33">
        <f t="shared" ca="1" si="3"/>
        <v>44.211640211640216</v>
      </c>
      <c r="N86" s="33">
        <f ca="1">H86*external_curves!K16</f>
        <v>4.75</v>
      </c>
      <c r="O86" s="33">
        <f ca="1">H86*external_curves!Q16</f>
        <v>115.61437500000001</v>
      </c>
      <c r="P86" s="33">
        <f ca="1">H86*external_curves!S16</f>
        <v>112.85090277777779</v>
      </c>
      <c r="Q86" s="14">
        <f ca="1">H86*external_curves!M16</f>
        <v>1.4775</v>
      </c>
    </row>
    <row r="87" spans="1:17" x14ac:dyDescent="0.2">
      <c r="A87" s="26">
        <v>36678</v>
      </c>
      <c r="B87" s="61">
        <v>35</v>
      </c>
      <c r="C87" s="61">
        <v>42</v>
      </c>
      <c r="D87" s="61"/>
      <c r="E87" s="61"/>
      <c r="F87" s="61">
        <v>58.75</v>
      </c>
      <c r="G87" s="33">
        <f ca="1">IF(swap_model!$B$37="Y",swap_model!B40,((F87*external_curves!AI17)+(Fwd_curves!B87*external_curves!AL17)+(Fwd_curves!C87*external_curves!AM17))/(external_curves!AH17))</f>
        <v>48.477777777777774</v>
      </c>
      <c r="H87" s="14">
        <f ca="1">external_curves!O17</f>
        <v>1</v>
      </c>
      <c r="I87" s="15">
        <f t="shared" ca="1" si="4"/>
        <v>12.113402061855671</v>
      </c>
      <c r="J87" s="33">
        <f t="shared" ca="1" si="0"/>
        <v>35</v>
      </c>
      <c r="K87" s="33">
        <f t="shared" ca="1" si="1"/>
        <v>42</v>
      </c>
      <c r="L87" s="33">
        <f t="shared" ca="1" si="2"/>
        <v>58.75</v>
      </c>
      <c r="M87" s="33">
        <f t="shared" ca="1" si="3"/>
        <v>48.477777777777774</v>
      </c>
      <c r="N87" s="33">
        <f ca="1">H87*external_curves!K17</f>
        <v>4.8499999999999996</v>
      </c>
      <c r="O87" s="33">
        <f ca="1">H87*external_curves!Q17</f>
        <v>79.630200000000002</v>
      </c>
      <c r="P87" s="33">
        <f ca="1">H87*external_curves!S17</f>
        <v>68.968559999999982</v>
      </c>
      <c r="Q87" s="14">
        <f ca="1">H87*external_curves!M17</f>
        <v>1.476</v>
      </c>
    </row>
    <row r="88" spans="1:17" x14ac:dyDescent="0.2">
      <c r="A88" s="26">
        <v>36708</v>
      </c>
      <c r="B88" s="61">
        <v>35</v>
      </c>
      <c r="C88" s="61">
        <v>42</v>
      </c>
      <c r="D88" s="61"/>
      <c r="E88" s="61"/>
      <c r="F88" s="61">
        <v>59.5</v>
      </c>
      <c r="G88" s="33">
        <f ca="1">IF(swap_model!$B$37="Y",swap_model!B41,((F88*external_curves!AI18)+(Fwd_curves!B88*external_curves!AL18)+(Fwd_curves!C88*external_curves!AM18))/(external_curves!AH18))</f>
        <v>48.322580645161288</v>
      </c>
      <c r="H88" s="14">
        <f ca="1">external_curves!O18</f>
        <v>0.9981141715324906</v>
      </c>
      <c r="I88" s="15">
        <f t="shared" ca="1" si="4"/>
        <v>11.910573186090572</v>
      </c>
      <c r="J88" s="33">
        <f t="shared" ca="1" si="0"/>
        <v>34.933996003637169</v>
      </c>
      <c r="K88" s="33">
        <f t="shared" ca="1" si="1"/>
        <v>41.920795204364609</v>
      </c>
      <c r="L88" s="33">
        <f t="shared" ca="1" si="2"/>
        <v>59.38779320618319</v>
      </c>
      <c r="M88" s="33">
        <f t="shared" ca="1" si="3"/>
        <v>48.231452546957122</v>
      </c>
      <c r="N88" s="33">
        <f ca="1">H88*external_curves!K18</f>
        <v>4.9955614285201158</v>
      </c>
      <c r="O88" s="33">
        <f ca="1">H88*external_curves!Q18</f>
        <v>95.723613551449546</v>
      </c>
      <c r="P88" s="33">
        <f ca="1">H88*external_curves!S18</f>
        <v>77.837786999528575</v>
      </c>
      <c r="Q88" s="14">
        <f ca="1">H88*external_curves!M18</f>
        <v>1.4726709777146083</v>
      </c>
    </row>
    <row r="89" spans="1:17" x14ac:dyDescent="0.2">
      <c r="A89" s="26">
        <v>36739</v>
      </c>
      <c r="B89" s="61">
        <v>32</v>
      </c>
      <c r="C89" s="61">
        <v>40</v>
      </c>
      <c r="D89" s="61"/>
      <c r="E89" s="61"/>
      <c r="F89" s="61">
        <v>66</v>
      </c>
      <c r="G89" s="33">
        <f ca="1">IF(swap_model!$B$37="Y",swap_model!B42,((F89*external_curves!AI19)+(Fwd_curves!B89*external_curves!AL19)+(Fwd_curves!C89*external_curves!AM19))/(external_curves!AH19))</f>
        <v>50.881720430107528</v>
      </c>
      <c r="H89" s="14">
        <f ca="1">external_curves!O19</f>
        <v>0.99321513033005648</v>
      </c>
      <c r="I89" s="15">
        <f t="shared" ca="1" si="4"/>
        <v>13.224051826359382</v>
      </c>
      <c r="J89" s="33">
        <f t="shared" ca="1" si="0"/>
        <v>31.782884170561807</v>
      </c>
      <c r="K89" s="33">
        <f t="shared" ca="1" si="1"/>
        <v>39.728605213202258</v>
      </c>
      <c r="L89" s="33">
        <f t="shared" ca="1" si="2"/>
        <v>65.552198601783729</v>
      </c>
      <c r="M89" s="33">
        <f t="shared" ca="1" si="3"/>
        <v>50.536494588406747</v>
      </c>
      <c r="N89" s="33">
        <f ca="1">H89*external_curves!K19</f>
        <v>4.9909060299085342</v>
      </c>
      <c r="O89" s="33">
        <f ca="1">H89*external_curves!Q19</f>
        <v>117.14844769563628</v>
      </c>
      <c r="P89" s="33">
        <f ca="1">H89*external_curves!S19</f>
        <v>99.954078759663858</v>
      </c>
      <c r="Q89" s="14">
        <f ca="1">H89*external_curves!M19</f>
        <v>1.4643555961954535</v>
      </c>
    </row>
    <row r="90" spans="1:17" x14ac:dyDescent="0.2">
      <c r="A90" s="26">
        <v>36770</v>
      </c>
      <c r="B90" s="61">
        <v>32</v>
      </c>
      <c r="C90" s="61">
        <v>40</v>
      </c>
      <c r="D90" s="61"/>
      <c r="E90" s="61"/>
      <c r="F90" s="61">
        <v>65</v>
      </c>
      <c r="G90" s="33">
        <f ca="1">IF(swap_model!$B$37="Y",swap_model!B43,((F90*external_curves!AI20)+(Fwd_curves!B90*external_curves!AL20)+(Fwd_curves!C90*external_curves!AM20))/(external_curves!AH20))</f>
        <v>49.8</v>
      </c>
      <c r="H90" s="14">
        <f ca="1">external_curves!O20</f>
        <v>0.98831256931322498</v>
      </c>
      <c r="I90" s="15">
        <f t="shared" ca="1" si="4"/>
        <v>13.023498363131297</v>
      </c>
      <c r="J90" s="33">
        <f t="shared" ca="1" si="0"/>
        <v>31.626002218023199</v>
      </c>
      <c r="K90" s="33">
        <f t="shared" ca="1" si="1"/>
        <v>39.532502772529</v>
      </c>
      <c r="L90" s="33">
        <f t="shared" ca="1" si="2"/>
        <v>64.240317005359628</v>
      </c>
      <c r="M90" s="33">
        <f t="shared" ca="1" si="3"/>
        <v>49.217965951798604</v>
      </c>
      <c r="N90" s="33">
        <f ca="1">H90*external_curves!K20</f>
        <v>4.9909784750317856</v>
      </c>
      <c r="O90" s="33">
        <f ca="1">H90*external_curves!Q20</f>
        <v>112.11048485553241</v>
      </c>
      <c r="P90" s="33">
        <f ca="1">H90*external_curves!S20</f>
        <v>93.417315266705899</v>
      </c>
      <c r="Q90" s="14">
        <f ca="1">H90*external_curves!M20</f>
        <v>1.4559803227991222</v>
      </c>
    </row>
    <row r="91" spans="1:17" x14ac:dyDescent="0.2">
      <c r="A91" s="26">
        <v>36800</v>
      </c>
      <c r="B91" s="61">
        <v>33</v>
      </c>
      <c r="C91" s="61">
        <v>43</v>
      </c>
      <c r="D91" s="61"/>
      <c r="E91" s="61"/>
      <c r="F91" s="61">
        <v>74</v>
      </c>
      <c r="G91" s="33">
        <f ca="1">IF(swap_model!$B$37="Y",swap_model!B44,((F91*external_curves!AI21)+(Fwd_curves!B91*external_curves!AL21)+(Fwd_curves!C91*external_curves!AM21))/(external_curves!AH21))</f>
        <v>55.301075268817208</v>
      </c>
      <c r="H91" s="14">
        <f ca="1">external_curves!O21</f>
        <v>0.98355595907844195</v>
      </c>
      <c r="I91" s="15">
        <f t="shared" ca="1" si="4"/>
        <v>14.566738365099432</v>
      </c>
      <c r="J91" s="33">
        <f t="shared" ca="1" si="0"/>
        <v>32.457346649588587</v>
      </c>
      <c r="K91" s="33">
        <f t="shared" ca="1" si="1"/>
        <v>42.292906240373007</v>
      </c>
      <c r="L91" s="33">
        <f t="shared" ca="1" si="2"/>
        <v>72.783140971804698</v>
      </c>
      <c r="M91" s="33">
        <f t="shared" ca="1" si="3"/>
        <v>54.391702124090614</v>
      </c>
      <c r="N91" s="33">
        <f ca="1">H91*external_curves!K21</f>
        <v>5.0800665286401525</v>
      </c>
      <c r="O91" s="33">
        <f ca="1">H91*external_curves!Q21</f>
        <v>97.727616155521872</v>
      </c>
      <c r="P91" s="33">
        <f ca="1">H91*external_curves!S21</f>
        <v>89.110772580518869</v>
      </c>
      <c r="Q91" s="14">
        <f ca="1">H91*external_curves!M21</f>
        <v>1.4478165356373611</v>
      </c>
    </row>
    <row r="92" spans="1:17" s="26" customFormat="1" ht="12.75" customHeight="1" x14ac:dyDescent="0.2">
      <c r="A92" s="26">
        <v>36831</v>
      </c>
      <c r="B92" s="61">
        <v>32</v>
      </c>
      <c r="C92" s="61">
        <v>36</v>
      </c>
      <c r="D92" s="61"/>
      <c r="E92" s="61"/>
      <c r="F92" s="61">
        <v>66.25</v>
      </c>
      <c r="G92" s="33">
        <f ca="1">IF(swap_model!$B$37="Y",swap_model!B45,((F92*external_curves!AI22)+(Fwd_curves!B92*external_curves!AL22)+(Fwd_curves!C92*external_curves!AM22))/(external_curves!AH22))</f>
        <v>49.81111111111111</v>
      </c>
      <c r="H92" s="14">
        <f ca="1">external_curves!O22</f>
        <v>0.9786346339809312</v>
      </c>
      <c r="I92" s="15">
        <f t="shared" ca="1" si="4"/>
        <v>12.821279821058297</v>
      </c>
      <c r="J92" s="33">
        <f t="shared" ca="1" si="0"/>
        <v>31.316308287389798</v>
      </c>
      <c r="K92" s="33">
        <f t="shared" ca="1" si="1"/>
        <v>35.23084682331352</v>
      </c>
      <c r="L92" s="33">
        <f t="shared" ca="1" si="2"/>
        <v>64.834544501236692</v>
      </c>
      <c r="M92" s="33">
        <f t="shared" ca="1" si="3"/>
        <v>48.746878490405713</v>
      </c>
      <c r="N92" s="33">
        <f ca="1">H92*external_curves!K22</f>
        <v>5.1671908674193165</v>
      </c>
      <c r="O92" s="33">
        <f ca="1">H92*external_curves!Q22</f>
        <v>83.485314504915181</v>
      </c>
      <c r="P92" s="33">
        <f ca="1">H92*external_curves!S22</f>
        <v>78.895221542671749</v>
      </c>
      <c r="Q92" s="14">
        <f ca="1">H92*external_curves!M22</f>
        <v>1.4394019742226754</v>
      </c>
    </row>
    <row r="93" spans="1:17" s="26" customFormat="1" ht="12.75" customHeight="1" x14ac:dyDescent="0.2">
      <c r="A93" s="26">
        <v>36861</v>
      </c>
      <c r="B93" s="61">
        <v>32</v>
      </c>
      <c r="C93" s="61">
        <v>37</v>
      </c>
      <c r="D93" s="61"/>
      <c r="E93" s="61"/>
      <c r="F93" s="61">
        <v>68</v>
      </c>
      <c r="G93" s="33">
        <f ca="1">IF(swap_model!$B$37="Y",swap_model!B46,((F93*external_curves!AI23)+(Fwd_curves!B93*external_curves!AL23)+(Fwd_curves!C93*external_curves!AM23))/(external_curves!AH23))</f>
        <v>49.87096774193548</v>
      </c>
      <c r="H93" s="14">
        <f ca="1">external_curves!O23</f>
        <v>0.97386408535017499</v>
      </c>
      <c r="I93" s="15">
        <f t="shared" ca="1" si="4"/>
        <v>12.859104721295838</v>
      </c>
      <c r="J93" s="33">
        <f t="shared" ca="1" si="0"/>
        <v>31.1636507312056</v>
      </c>
      <c r="K93" s="33">
        <f t="shared" ca="1" si="1"/>
        <v>36.032971157956474</v>
      </c>
      <c r="L93" s="33">
        <f t="shared" ca="1" si="2"/>
        <v>66.222757803811902</v>
      </c>
      <c r="M93" s="33">
        <f t="shared" ca="1" si="3"/>
        <v>48.56754438552808</v>
      </c>
      <c r="N93" s="33">
        <f ca="1">H93*external_curves!K23</f>
        <v>5.2880819834514501</v>
      </c>
      <c r="O93" s="33">
        <f ca="1">H93*external_curves!Q23</f>
        <v>77.644556464646243</v>
      </c>
      <c r="P93" s="33">
        <f ca="1">H93*external_curves!S23</f>
        <v>66.300471695010955</v>
      </c>
      <c r="Q93" s="14">
        <f ca="1">H93*external_curves!M23</f>
        <v>1.4312360638644468</v>
      </c>
    </row>
    <row r="94" spans="1:17" s="26" customFormat="1" ht="12.75" customHeight="1" x14ac:dyDescent="0.2">
      <c r="A94" s="26">
        <v>36892</v>
      </c>
      <c r="B94" s="61">
        <v>33</v>
      </c>
      <c r="C94" s="61">
        <v>38.5</v>
      </c>
      <c r="D94" s="61"/>
      <c r="E94" s="61"/>
      <c r="F94" s="33">
        <f ca="1">$C$12*external_curves!K24</f>
        <v>96.075000000000003</v>
      </c>
      <c r="G94" s="33">
        <f ca="1">IF(swap_model!$B$37="Y",swap_model!B47,((F94*external_curves!AI24)+(Fwd_curves!B94*external_curves!AL24)+(Fwd_curves!C94*external_curves!AM24))/(external_curves!AH24))</f>
        <v>65.617741935483863</v>
      </c>
      <c r="H94" s="14">
        <f ca="1">external_curves!O24</f>
        <v>0.96892463111314631</v>
      </c>
      <c r="I94" s="15">
        <f t="shared" ca="1" si="4"/>
        <v>18.061260327230173</v>
      </c>
      <c r="J94" s="33">
        <f t="shared" ca="1" si="0"/>
        <v>31.974512826733829</v>
      </c>
      <c r="K94" s="33">
        <f t="shared" ca="1" si="1"/>
        <v>37.303598297856134</v>
      </c>
      <c r="L94" s="33">
        <f t="shared" ca="1" si="2"/>
        <v>93.08943393419554</v>
      </c>
      <c r="M94" s="33">
        <f t="shared" ca="1" si="3"/>
        <v>63.578646399316334</v>
      </c>
      <c r="N94" s="33">
        <f ca="1">H94*external_curves!K24</f>
        <v>5.3193962248111735</v>
      </c>
      <c r="O94" s="33">
        <f ca="1">H94*external_curves!Q24</f>
        <v>75.407157560777321</v>
      </c>
      <c r="P94" s="33">
        <f ca="1">H94*external_curves!S24</f>
        <v>64.468606606028743</v>
      </c>
      <c r="Q94" s="14">
        <f ca="1">H94*external_curves!M24</f>
        <v>1.4227765577505158</v>
      </c>
    </row>
    <row r="95" spans="1:17" s="26" customFormat="1" ht="12.75" customHeight="1" x14ac:dyDescent="0.2">
      <c r="A95" s="26">
        <v>36923</v>
      </c>
      <c r="B95" s="61">
        <v>30</v>
      </c>
      <c r="C95" s="61">
        <v>37.5</v>
      </c>
      <c r="D95" s="61"/>
      <c r="E95" s="61"/>
      <c r="F95" s="33">
        <f ca="1">$C$12*external_curves!K25</f>
        <v>91.875</v>
      </c>
      <c r="G95" s="33">
        <f ca="1">IF(swap_model!$B$37="Y",swap_model!B48,((F95*external_curves!AI25)+(Fwd_curves!B95*external_curves!AL25)+(Fwd_curves!C95*external_curves!AM25))/(external_curves!AH25))</f>
        <v>61.607142857142854</v>
      </c>
      <c r="H95" s="14">
        <f ca="1">external_curves!O25</f>
        <v>0.96397412025610285</v>
      </c>
      <c r="I95" s="15">
        <f t="shared" ca="1" si="4"/>
        <v>18.154014337387714</v>
      </c>
      <c r="J95" s="33">
        <f t="shared" ca="1" si="0"/>
        <v>28.919223607683087</v>
      </c>
      <c r="K95" s="33">
        <f t="shared" ca="1" si="1"/>
        <v>36.149029509603857</v>
      </c>
      <c r="L95" s="33">
        <f t="shared" ca="1" si="2"/>
        <v>88.565122298529445</v>
      </c>
      <c r="M95" s="33">
        <f t="shared" ca="1" si="3"/>
        <v>59.387691337206334</v>
      </c>
      <c r="N95" s="33">
        <f ca="1">H95*external_curves!K25</f>
        <v>5.0608641313445402</v>
      </c>
      <c r="O95" s="33">
        <f ca="1">H95*external_curves!Q25</f>
        <v>70.007725428525035</v>
      </c>
      <c r="P95" s="33">
        <f ca="1">H95*external_curves!S25</f>
        <v>60.461217415544354</v>
      </c>
      <c r="Q95" s="14">
        <f ca="1">H95*external_curves!M25</f>
        <v>1.4142974834045463</v>
      </c>
    </row>
    <row r="96" spans="1:17" s="26" customFormat="1" ht="12.75" customHeight="1" x14ac:dyDescent="0.2">
      <c r="A96" s="26">
        <v>36951</v>
      </c>
      <c r="B96" s="61">
        <v>31</v>
      </c>
      <c r="C96" s="61">
        <v>37.5</v>
      </c>
      <c r="D96" s="61"/>
      <c r="E96" s="61"/>
      <c r="F96" s="33">
        <f ca="1">$C$12*external_curves!K26</f>
        <v>88.2</v>
      </c>
      <c r="G96" s="33">
        <f ca="1">IF(swap_model!$B$37="Y",swap_model!B49,((F96*external_curves!AI26)+(Fwd_curves!B96*external_curves!AL26)+(Fwd_curves!C96*external_curves!AM26))/(external_curves!AH26))</f>
        <v>59.949462365591401</v>
      </c>
      <c r="H96" s="14">
        <f ca="1">external_curves!O26</f>
        <v>0.95949530953534556</v>
      </c>
      <c r="I96" s="15">
        <f t="shared" ca="1" si="4"/>
        <v>18.238755131043551</v>
      </c>
      <c r="J96" s="33">
        <f t="shared" ca="1" si="0"/>
        <v>29.744354595595713</v>
      </c>
      <c r="K96" s="33">
        <f t="shared" ca="1" si="1"/>
        <v>35.981074107575459</v>
      </c>
      <c r="L96" s="33">
        <f t="shared" ca="1" si="2"/>
        <v>84.627486301017484</v>
      </c>
      <c r="M96" s="33">
        <f t="shared" ca="1" si="3"/>
        <v>57.521227948950674</v>
      </c>
      <c r="N96" s="33">
        <f ca="1">H96*external_curves!K26</f>
        <v>4.8358563600581412</v>
      </c>
      <c r="O96" s="33">
        <f ca="1">H96*external_curves!Q26</f>
        <v>59.078110184922707</v>
      </c>
      <c r="P96" s="33">
        <f ca="1">H96*external_curves!S26</f>
        <v>50.524942926967313</v>
      </c>
      <c r="Q96" s="14">
        <f ca="1">H96*external_curves!M26</f>
        <v>1.4066216710695882</v>
      </c>
    </row>
    <row r="97" spans="1:17" s="26" customFormat="1" ht="12.75" customHeight="1" x14ac:dyDescent="0.2">
      <c r="A97" s="26">
        <v>36982</v>
      </c>
      <c r="B97" s="61">
        <v>29.5</v>
      </c>
      <c r="C97" s="61">
        <v>37.5</v>
      </c>
      <c r="D97" s="61"/>
      <c r="E97" s="61"/>
      <c r="F97" s="33">
        <f ca="1">$C$12*external_curves!K27</f>
        <v>79.320382746178993</v>
      </c>
      <c r="G97" s="33">
        <f ca="1">IF(swap_model!$B$37="Y",swap_model!B50,((F97*external_curves!AI27)+(Fwd_curves!B97*external_curves!AL27)+(Fwd_curves!C97*external_curves!AM27))/(external_curves!AH27))</f>
        <v>55.149511948216869</v>
      </c>
      <c r="H97" s="14">
        <f ca="1">external_curves!O27</f>
        <v>0.95454869333052705</v>
      </c>
      <c r="I97" s="15">
        <f t="shared" ca="1" si="4"/>
        <v>18.333271128307288</v>
      </c>
      <c r="J97" s="33">
        <f t="shared" ca="1" si="0"/>
        <v>28.159186453250548</v>
      </c>
      <c r="K97" s="33">
        <f t="shared" ca="1" si="1"/>
        <v>35.795575999894766</v>
      </c>
      <c r="L97" s="33">
        <f t="shared" ca="1" si="2"/>
        <v>75.715167704842443</v>
      </c>
      <c r="M97" s="33">
        <f t="shared" ca="1" si="3"/>
        <v>52.642894567986701</v>
      </c>
      <c r="N97" s="33">
        <f ca="1">H97*external_curves!K27</f>
        <v>4.3265810117052821</v>
      </c>
      <c r="O97" s="33">
        <f ca="1">H97*external_curves!Q27</f>
        <v>59.072753133110815</v>
      </c>
      <c r="P97" s="33">
        <f ca="1">H97*external_curves!S27</f>
        <v>48.664141798677086</v>
      </c>
      <c r="Q97" s="14">
        <f ca="1">H97*external_curves!M27</f>
        <v>1.3981716717896051</v>
      </c>
    </row>
    <row r="98" spans="1:17" s="26" customFormat="1" ht="12.75" customHeight="1" x14ac:dyDescent="0.2">
      <c r="A98" s="26">
        <v>37012</v>
      </c>
      <c r="B98" s="61">
        <v>32</v>
      </c>
      <c r="C98" s="61">
        <v>37.5</v>
      </c>
      <c r="D98" s="61"/>
      <c r="E98" s="61"/>
      <c r="F98" s="33">
        <f ca="1">$C$12*external_curves!K28</f>
        <v>76.000709430052297</v>
      </c>
      <c r="G98" s="33">
        <f ca="1">IF(swap_model!$B$37="Y",swap_model!B51,((F98*external_curves!AI28)+(Fwd_curves!B98*external_curves!AL28)+(Fwd_curves!C98*external_curves!AM28))/(external_curves!AH28))</f>
        <v>55.183146599810819</v>
      </c>
      <c r="H98" s="14">
        <f ca="1">external_curves!O28</f>
        <v>0.94978734582703972</v>
      </c>
      <c r="I98" s="15">
        <f t="shared" ca="1" si="4"/>
        <v>18.425177042932326</v>
      </c>
      <c r="J98" s="33">
        <f t="shared" ca="1" si="0"/>
        <v>30.393195066465271</v>
      </c>
      <c r="K98" s="33">
        <f t="shared" ca="1" si="1"/>
        <v>35.617025468513987</v>
      </c>
      <c r="L98" s="33">
        <f t="shared" ca="1" si="2"/>
        <v>72.184512090541446</v>
      </c>
      <c r="M98" s="33">
        <f t="shared" ca="1" si="3"/>
        <v>52.412254343418752</v>
      </c>
      <c r="N98" s="33">
        <f ca="1">H98*external_curves!K28</f>
        <v>4.1248292623166538</v>
      </c>
      <c r="O98" s="33">
        <f ca="1">H98*external_curves!Q28</f>
        <v>55.256990878109583</v>
      </c>
      <c r="P98" s="33">
        <f ca="1">H98*external_curves!S28</f>
        <v>43.181318596875322</v>
      </c>
      <c r="Q98" s="14">
        <f ca="1">H98*external_curves!M28</f>
        <v>1.39011297806565</v>
      </c>
    </row>
    <row r="99" spans="1:17" s="26" customFormat="1" ht="12.75" customHeight="1" x14ac:dyDescent="0.2">
      <c r="A99" s="26">
        <v>37043</v>
      </c>
      <c r="B99" s="61">
        <v>32</v>
      </c>
      <c r="C99" s="61">
        <v>37.5</v>
      </c>
      <c r="D99" s="61"/>
      <c r="E99" s="61"/>
      <c r="F99" s="33">
        <f ca="1">$C$12*external_curves!K29</f>
        <v>75.215891165576238</v>
      </c>
      <c r="G99" s="33">
        <f ca="1">IF(swap_model!$B$37="Y",swap_model!B52,((F99*external_curves!AI29)+(Fwd_curves!B99*external_curves!AL29)+(Fwd_curves!C99*external_curves!AM29))/(external_curves!AH29))</f>
        <v>53.817415877268914</v>
      </c>
      <c r="H99" s="14">
        <f ca="1">external_curves!O29</f>
        <v>0.9448694151840078</v>
      </c>
      <c r="I99" s="15">
        <f t="shared" ca="1" si="4"/>
        <v>18.52107785348516</v>
      </c>
      <c r="J99" s="33">
        <f t="shared" ca="1" si="0"/>
        <v>30.23582128588825</v>
      </c>
      <c r="K99" s="33">
        <f t="shared" ca="1" si="1"/>
        <v>35.432603069400294</v>
      </c>
      <c r="L99" s="33">
        <f t="shared" ca="1" si="2"/>
        <v>71.069195098161998</v>
      </c>
      <c r="M99" s="33">
        <f t="shared" ca="1" si="3"/>
        <v>50.850430266669612</v>
      </c>
      <c r="N99" s="33">
        <f ca="1">H99*external_curves!K29</f>
        <v>4.0610968627521142</v>
      </c>
      <c r="O99" s="33">
        <f ca="1">H99*external_curves!Q29</f>
        <v>56.308525826438817</v>
      </c>
      <c r="P99" s="33">
        <f ca="1">H99*external_curves!S29</f>
        <v>44.785813179474317</v>
      </c>
      <c r="Q99" s="14">
        <f ca="1">H99*external_curves!M29</f>
        <v>1.3818043147592349</v>
      </c>
    </row>
    <row r="100" spans="1:17" s="26" customFormat="1" ht="12.75" customHeight="1" x14ac:dyDescent="0.2">
      <c r="A100" s="26">
        <v>37073</v>
      </c>
      <c r="B100" s="61">
        <v>30</v>
      </c>
      <c r="C100" s="61">
        <v>38.200000000000003</v>
      </c>
      <c r="D100" s="61"/>
      <c r="E100" s="61"/>
      <c r="F100" s="33">
        <f ca="1">$C$12*external_curves!K30</f>
        <v>74.964007862958425</v>
      </c>
      <c r="G100" s="33">
        <f ca="1">IF(swap_model!$B$37="Y",swap_model!B53,((F100*external_curves!AI30)+(Fwd_curves!B100*external_curves!AL30)+(Fwd_curves!C100*external_curves!AM30))/(external_curves!AH30))</f>
        <v>53.653939203980329</v>
      </c>
      <c r="H100" s="14">
        <f ca="1">external_curves!O30</f>
        <v>0.94014184328448935</v>
      </c>
      <c r="I100" s="15">
        <f t="shared" ca="1" si="4"/>
        <v>18.614212445711185</v>
      </c>
      <c r="J100" s="33">
        <f t="shared" ca="1" si="0"/>
        <v>28.204255298534679</v>
      </c>
      <c r="K100" s="33">
        <f t="shared" ca="1" si="1"/>
        <v>35.913418413467497</v>
      </c>
      <c r="L100" s="33">
        <f t="shared" ca="1" si="2"/>
        <v>70.476800532274694</v>
      </c>
      <c r="M100" s="33">
        <f t="shared" ca="1" si="3"/>
        <v>50.442313302703994</v>
      </c>
      <c r="N100" s="33">
        <f ca="1">H100*external_curves!K30</f>
        <v>4.0272457447014114</v>
      </c>
      <c r="O100" s="33">
        <f ca="1">H100*external_curves!Q30</f>
        <v>92.044611874626341</v>
      </c>
      <c r="P100" s="33">
        <f ca="1">H100*external_curves!S30</f>
        <v>69.598489624025362</v>
      </c>
      <c r="Q100" s="14">
        <f ca="1">H100*external_curves!M30</f>
        <v>1.3738001772332289</v>
      </c>
    </row>
    <row r="101" spans="1:17" s="26" customFormat="1" ht="12.75" customHeight="1" x14ac:dyDescent="0.2">
      <c r="A101" s="26">
        <v>37104</v>
      </c>
      <c r="B101" s="61">
        <v>30</v>
      </c>
      <c r="C101" s="61">
        <v>40.24</v>
      </c>
      <c r="D101" s="61"/>
      <c r="E101" s="61"/>
      <c r="F101" s="33">
        <f ca="1">$C$12*external_curves!K31</f>
        <v>74.758618948601793</v>
      </c>
      <c r="G101" s="33">
        <f ca="1">IF(swap_model!$B$37="Y",swap_model!B54,((F101*external_curves!AI31)+(Fwd_curves!B101*external_curves!AL31)+(Fwd_curves!C101*external_curves!AM31))/(external_curves!AH31))</f>
        <v>54.781252383179378</v>
      </c>
      <c r="H101" s="14">
        <f ca="1">external_curves!O31</f>
        <v>0.93531296529371999</v>
      </c>
      <c r="I101" s="15">
        <f t="shared" ca="1" si="4"/>
        <v>18.710314781645742</v>
      </c>
      <c r="J101" s="33">
        <f t="shared" ca="1" si="0"/>
        <v>28.059388958811599</v>
      </c>
      <c r="K101" s="33">
        <f t="shared" ca="1" si="1"/>
        <v>37.636993723419295</v>
      </c>
      <c r="L101" s="33">
        <f t="shared" ca="1" si="2"/>
        <v>69.922705570080026</v>
      </c>
      <c r="M101" s="33">
        <f t="shared" ca="1" si="3"/>
        <v>51.237615609015172</v>
      </c>
      <c r="N101" s="33">
        <f ca="1">H101*external_curves!K31</f>
        <v>3.9955831754331443</v>
      </c>
      <c r="O101" s="33">
        <f ca="1">H101*external_curves!Q31</f>
        <v>109.92989619597907</v>
      </c>
      <c r="P101" s="33">
        <f ca="1">H101*external_curves!S31</f>
        <v>87.309578946275508</v>
      </c>
      <c r="Q101" s="14">
        <f ca="1">H101*external_curves!M31</f>
        <v>1.365588772620858</v>
      </c>
    </row>
    <row r="102" spans="1:17" s="26" customFormat="1" ht="12.75" customHeight="1" x14ac:dyDescent="0.2">
      <c r="A102" s="26">
        <v>37135</v>
      </c>
      <c r="B102" s="61">
        <v>30</v>
      </c>
      <c r="C102" s="61">
        <v>40.24</v>
      </c>
      <c r="D102" s="61"/>
      <c r="E102" s="61"/>
      <c r="F102" s="33">
        <f ca="1">$C$12*external_curves!K32</f>
        <v>74.216995725451156</v>
      </c>
      <c r="G102" s="33">
        <f ca="1">IF(swap_model!$B$37="Y",swap_model!B55,((F102*external_curves!AI32)+(Fwd_curves!B102*external_curves!AL32)+(Fwd_curves!C102*external_curves!AM32))/(external_curves!AH32))</f>
        <v>53.065331433533849</v>
      </c>
      <c r="H102" s="14">
        <f ca="1">external_curves!O32</f>
        <v>0.93049842076908973</v>
      </c>
      <c r="I102" s="15">
        <f t="shared" ca="1" si="4"/>
        <v>18.807124879949427</v>
      </c>
      <c r="J102" s="33">
        <f t="shared" ca="1" si="0"/>
        <v>27.914952623072693</v>
      </c>
      <c r="K102" s="33">
        <f t="shared" ca="1" si="1"/>
        <v>37.443256451748169</v>
      </c>
      <c r="L102" s="33">
        <f t="shared" ca="1" si="2"/>
        <v>69.058797316758586</v>
      </c>
      <c r="M102" s="33">
        <f t="shared" ca="1" si="3"/>
        <v>49.377207096491581</v>
      </c>
      <c r="N102" s="33">
        <f ca="1">H102*external_curves!K32</f>
        <v>3.9462169895290624</v>
      </c>
      <c r="O102" s="33">
        <f ca="1">H102*external_curves!Q32</f>
        <v>95.018362349304269</v>
      </c>
      <c r="P102" s="33">
        <f ca="1">H102*external_curves!S32</f>
        <v>75.222870193199213</v>
      </c>
      <c r="Q102" s="14">
        <f ca="1">H102*external_curves!M32</f>
        <v>1.3574051764186323</v>
      </c>
    </row>
    <row r="103" spans="1:17" s="26" customFormat="1" ht="12.75" customHeight="1" x14ac:dyDescent="0.2">
      <c r="A103" s="26">
        <v>37165</v>
      </c>
      <c r="B103" s="61">
        <v>30</v>
      </c>
      <c r="C103" s="61">
        <v>40</v>
      </c>
      <c r="D103" s="61"/>
      <c r="E103" s="61"/>
      <c r="F103" s="33">
        <f ca="1">$C$12*external_curves!K33</f>
        <v>74.397827650609429</v>
      </c>
      <c r="G103" s="33">
        <f ca="1">IF(swap_model!$B$37="Y",swap_model!B56,((F103*external_curves!AI33)+(Fwd_curves!B103*external_curves!AL33)+(Fwd_curves!C103*external_curves!AM33))/(external_curves!AH33))</f>
        <v>54.540860988473476</v>
      </c>
      <c r="H103" s="14">
        <f ca="1">external_curves!O33</f>
        <v>0.92585286476638851</v>
      </c>
      <c r="I103" s="15">
        <f t="shared" ca="1" si="4"/>
        <v>18.901491442072285</v>
      </c>
      <c r="J103" s="33">
        <f t="shared" ca="1" si="0"/>
        <v>27.775585942991654</v>
      </c>
      <c r="K103" s="33">
        <f t="shared" ca="1" si="1"/>
        <v>37.034114590655541</v>
      </c>
      <c r="L103" s="33">
        <f t="shared" ca="1" si="2"/>
        <v>68.881441862712776</v>
      </c>
      <c r="M103" s="33">
        <f t="shared" ca="1" si="3"/>
        <v>50.49681239300353</v>
      </c>
      <c r="N103" s="33">
        <f ca="1">H103*external_curves!K33</f>
        <v>3.9360823921550154</v>
      </c>
      <c r="O103" s="33">
        <f ca="1">H103*external_curves!Q33</f>
        <v>74.561797600101173</v>
      </c>
      <c r="P103" s="33">
        <f ca="1">H103*external_curves!S33</f>
        <v>64.799437003503499</v>
      </c>
      <c r="Q103" s="14">
        <f ca="1">H103*external_curves!M33</f>
        <v>1.3495347981918764</v>
      </c>
    </row>
    <row r="104" spans="1:17" s="26" customFormat="1" ht="12.75" customHeight="1" x14ac:dyDescent="0.2">
      <c r="A104" s="26">
        <v>37196</v>
      </c>
      <c r="B104" s="61">
        <v>33</v>
      </c>
      <c r="C104" s="61">
        <v>40</v>
      </c>
      <c r="D104" s="61"/>
      <c r="E104" s="61"/>
      <c r="F104" s="33">
        <f ca="1">$C$12*external_curves!K34</f>
        <v>76.855631134094367</v>
      </c>
      <c r="G104" s="33">
        <f ca="1">IF(swap_model!$B$37="Y",swap_model!B57,((F104*external_curves!AI34)+(Fwd_curves!B104*external_curves!AL34)+(Fwd_curves!C104*external_curves!AM34))/(external_curves!AH34))</f>
        <v>56.307197443335021</v>
      </c>
      <c r="H104" s="14">
        <f ca="1">external_curves!O34</f>
        <v>0.92106662726769717</v>
      </c>
      <c r="I104" s="15">
        <f t="shared" ca="1" si="4"/>
        <v>18.999711293321923</v>
      </c>
      <c r="J104" s="33">
        <f t="shared" ca="1" si="0"/>
        <v>30.395198699834008</v>
      </c>
      <c r="K104" s="33">
        <f t="shared" ca="1" si="1"/>
        <v>36.842665090707889</v>
      </c>
      <c r="L104" s="33">
        <f t="shared" ca="1" si="2"/>
        <v>70.789156955210515</v>
      </c>
      <c r="M104" s="33">
        <f t="shared" ca="1" si="3"/>
        <v>51.862680440028889</v>
      </c>
      <c r="N104" s="33">
        <f ca="1">H104*external_curves!K34</f>
        <v>4.0450946831548871</v>
      </c>
      <c r="O104" s="33">
        <f ca="1">H104*external_curves!Q34</f>
        <v>68.750424381270847</v>
      </c>
      <c r="P104" s="33">
        <f ca="1">H104*external_curves!S34</f>
        <v>59.406701392867774</v>
      </c>
      <c r="Q104" s="14">
        <f ca="1">H104*external_curves!M34</f>
        <v>1.3414716952443093</v>
      </c>
    </row>
    <row r="105" spans="1:17" s="26" customFormat="1" ht="12.75" customHeight="1" x14ac:dyDescent="0.2">
      <c r="A105" s="26">
        <v>37226</v>
      </c>
      <c r="B105" s="61">
        <v>33</v>
      </c>
      <c r="C105" s="61">
        <v>40</v>
      </c>
      <c r="D105" s="61"/>
      <c r="E105" s="61"/>
      <c r="F105" s="33">
        <f ca="1">$C$12*external_curves!K35</f>
        <v>78.951308542586645</v>
      </c>
      <c r="G105" s="33">
        <f ca="1">IF(swap_model!$B$37="Y",swap_model!B58,((F105*external_curves!AI35)+(Fwd_curves!B105*external_curves!AL35)+(Fwd_curves!C105*external_curves!AM35))/(external_curves!AH35))</f>
        <v>56.010268374071394</v>
      </c>
      <c r="H105" s="14">
        <f ca="1">external_curves!O35</f>
        <v>0.91644852943917732</v>
      </c>
      <c r="I105" s="15">
        <f t="shared" ca="1" si="4"/>
        <v>19.095453195510238</v>
      </c>
      <c r="J105" s="33">
        <f t="shared" ca="1" si="0"/>
        <v>30.24280147149285</v>
      </c>
      <c r="K105" s="33">
        <f t="shared" ca="1" si="1"/>
        <v>36.657941177567096</v>
      </c>
      <c r="L105" s="33">
        <f t="shared" ca="1" si="2"/>
        <v>72.354810611152288</v>
      </c>
      <c r="M105" s="33">
        <f t="shared" ca="1" si="3"/>
        <v>51.330528084911393</v>
      </c>
      <c r="N105" s="33">
        <f ca="1">H105*external_curves!K35</f>
        <v>4.1345606063515596</v>
      </c>
      <c r="O105" s="33">
        <f ca="1">H105*external_curves!Q35</f>
        <v>68.352234556320354</v>
      </c>
      <c r="P105" s="33">
        <f ca="1">H105*external_curves!S35</f>
        <v>57.537416012436786</v>
      </c>
      <c r="Q105" s="14">
        <f ca="1">H105*external_curves!M35</f>
        <v>1.3337021376842999</v>
      </c>
    </row>
    <row r="106" spans="1:17" s="26" customFormat="1" ht="12.75" customHeight="1" x14ac:dyDescent="0.2">
      <c r="A106" s="26">
        <v>37257</v>
      </c>
      <c r="B106" s="33">
        <f t="shared" ref="B106:C109" si="5">B94*(1+$B$22)</f>
        <v>33.660000000000004</v>
      </c>
      <c r="C106" s="33">
        <f t="shared" si="5"/>
        <v>39.270000000000003</v>
      </c>
      <c r="D106" s="33"/>
      <c r="E106" s="33"/>
      <c r="F106" s="33">
        <f ca="1">$C$13*external_curves!K36</f>
        <v>70.179196189377294</v>
      </c>
      <c r="G106" s="33">
        <f ca="1">IF(swap_model!$B$37="Y",swap_model!B59,((F106*external_curves!AI36)+(Fwd_curves!B106*external_curves!AL36)+(Fwd_curves!C106*external_curves!AM36))/(external_curves!AH36))</f>
        <v>53.171000265713495</v>
      </c>
      <c r="H106" s="14">
        <f ca="1">external_curves!O36</f>
        <v>0.91169073050767813</v>
      </c>
      <c r="I106" s="15">
        <f t="shared" ca="1" si="4"/>
        <v>17.056222554046293</v>
      </c>
      <c r="J106" s="33">
        <f t="shared" ca="1" si="0"/>
        <v>30.687509988888451</v>
      </c>
      <c r="K106" s="33">
        <f t="shared" ca="1" si="1"/>
        <v>35.802094987036526</v>
      </c>
      <c r="L106" s="33">
        <f t="shared" ca="1" si="2"/>
        <v>63.981722640335043</v>
      </c>
      <c r="M106" s="33">
        <f t="shared" ca="1" si="3"/>
        <v>48.475508074072287</v>
      </c>
      <c r="N106" s="33">
        <f ca="1">H106*external_curves!K36</f>
        <v>4.1145802341051478</v>
      </c>
      <c r="O106" s="33">
        <f ca="1">H106*external_curves!Q36</f>
        <v>50.377096470791507</v>
      </c>
      <c r="P106" s="33">
        <f ca="1">H106*external_curves!S36</f>
        <v>45.619497164869983</v>
      </c>
      <c r="Q106" s="14">
        <f ca="1">H106*external_curves!M36</f>
        <v>1.3257130650208291</v>
      </c>
    </row>
    <row r="107" spans="1:17" s="26" customFormat="1" ht="12.75" customHeight="1" x14ac:dyDescent="0.2">
      <c r="A107" s="26">
        <v>37288</v>
      </c>
      <c r="B107" s="33">
        <f t="shared" si="5"/>
        <v>30.6</v>
      </c>
      <c r="C107" s="33">
        <f t="shared" si="5"/>
        <v>38.25</v>
      </c>
      <c r="D107" s="33"/>
      <c r="E107" s="33"/>
      <c r="F107" s="33">
        <f ca="1">$C$13*external_curves!K37</f>
        <v>67.140059474087408</v>
      </c>
      <c r="G107" s="33">
        <f ca="1">IF(swap_model!$B$37="Y",swap_model!B60,((F107*external_curves!AI37)+(Fwd_curves!B107*external_curves!AL37)+(Fwd_curves!C107*external_curves!AM37))/(external_curves!AH37))</f>
        <v>50.185742606708288</v>
      </c>
      <c r="H107" s="14">
        <f ca="1">external_curves!O37</f>
        <v>0.90694743271991263</v>
      </c>
      <c r="I107" s="15">
        <f t="shared" ca="1" si="4"/>
        <v>17.145425896808529</v>
      </c>
      <c r="J107" s="33">
        <f t="shared" ca="1" si="0"/>
        <v>27.752591441229328</v>
      </c>
      <c r="K107" s="33">
        <f t="shared" ca="1" si="1"/>
        <v>34.690739301536659</v>
      </c>
      <c r="L107" s="33">
        <f t="shared" ca="1" si="2"/>
        <v>60.892504572685823</v>
      </c>
      <c r="M107" s="33">
        <f t="shared" ca="1" si="3"/>
        <v>45.515830416296417</v>
      </c>
      <c r="N107" s="33">
        <f ca="1">H107*external_curves!K37</f>
        <v>3.9159166927772229</v>
      </c>
      <c r="O107" s="33">
        <f ca="1">H107*external_curves!Q37</f>
        <v>47.439601140648591</v>
      </c>
      <c r="P107" s="33">
        <f ca="1">H107*external_curves!S37</f>
        <v>43.768679623812687</v>
      </c>
      <c r="Q107" s="14">
        <f ca="1">H107*external_curves!M37</f>
        <v>1.3177666983513499</v>
      </c>
    </row>
    <row r="108" spans="1:17" s="26" customFormat="1" ht="12.75" customHeight="1" x14ac:dyDescent="0.2">
      <c r="A108" s="26">
        <v>37316</v>
      </c>
      <c r="B108" s="33">
        <f t="shared" si="5"/>
        <v>31.62</v>
      </c>
      <c r="C108" s="33">
        <f t="shared" si="5"/>
        <v>38.25</v>
      </c>
      <c r="D108" s="33"/>
      <c r="E108" s="33"/>
      <c r="F108" s="33">
        <f ca="1">$C$13*external_curves!K38</f>
        <v>63.749732995680375</v>
      </c>
      <c r="G108" s="33">
        <f ca="1">IF(swap_model!$B$37="Y",swap_model!B61,((F108*external_curves!AI38)+(Fwd_curves!B108*external_curves!AL38)+(Fwd_curves!C108*external_curves!AM38))/(external_curves!AH38))</f>
        <v>48.268911675468559</v>
      </c>
      <c r="H108" s="14">
        <f ca="1">external_curves!O38</f>
        <v>0.90267565439573416</v>
      </c>
      <c r="I108" s="15">
        <f t="shared" ca="1" si="4"/>
        <v>17.226564075675029</v>
      </c>
      <c r="J108" s="33">
        <f t="shared" ca="1" si="0"/>
        <v>28.542604191993114</v>
      </c>
      <c r="K108" s="33">
        <f t="shared" ca="1" si="1"/>
        <v>34.527343780636834</v>
      </c>
      <c r="L108" s="33">
        <f t="shared" ca="1" si="2"/>
        <v>57.545331949429112</v>
      </c>
      <c r="M108" s="33">
        <f t="shared" ca="1" si="3"/>
        <v>43.571171433623476</v>
      </c>
      <c r="N108" s="33">
        <f ca="1">H108*external_curves!K38</f>
        <v>3.7006644340468879</v>
      </c>
      <c r="O108" s="33">
        <f ca="1">H108*external_curves!Q38</f>
        <v>44.561092392180718</v>
      </c>
      <c r="P108" s="33">
        <f ca="1">H108*external_curves!S38</f>
        <v>40.805389949892238</v>
      </c>
      <c r="Q108" s="14">
        <f ca="1">H108*external_curves!M38</f>
        <v>1.3106203644759034</v>
      </c>
    </row>
    <row r="109" spans="1:17" s="26" customFormat="1" ht="12.75" customHeight="1" x14ac:dyDescent="0.2">
      <c r="A109" s="26">
        <v>37347</v>
      </c>
      <c r="B109" s="33">
        <f t="shared" si="5"/>
        <v>30.09</v>
      </c>
      <c r="C109" s="33">
        <f t="shared" si="5"/>
        <v>38.25</v>
      </c>
      <c r="D109" s="33"/>
      <c r="E109" s="33"/>
      <c r="F109" s="33">
        <f ca="1">$C$13*external_curves!K39</f>
        <v>59.32007307344756</v>
      </c>
      <c r="G109" s="33">
        <f ca="1">IF(swap_model!$B$37="Y",swap_model!B62,((F109*external_curves!AI39)+(Fwd_curves!B109*external_curves!AL39)+(Fwd_curves!C109*external_curves!AM39))/(external_curves!AH39))</f>
        <v>46.5562579470188</v>
      </c>
      <c r="H109" s="14">
        <f ca="1">external_curves!O39</f>
        <v>0.89796004331556822</v>
      </c>
      <c r="I109" s="15">
        <f t="shared" ca="1" si="4"/>
        <v>17.317028876456696</v>
      </c>
      <c r="J109" s="33">
        <f t="shared" ca="1" si="0"/>
        <v>27.019617703365448</v>
      </c>
      <c r="K109" s="33">
        <f t="shared" ca="1" si="1"/>
        <v>34.346971656820486</v>
      </c>
      <c r="L109" s="33">
        <f t="shared" ca="1" si="2"/>
        <v>53.267055386515644</v>
      </c>
      <c r="M109" s="33">
        <f t="shared" ca="1" si="3"/>
        <v>41.805659402715769</v>
      </c>
      <c r="N109" s="33">
        <f ca="1">H109*external_curves!K39</f>
        <v>3.4255341084575974</v>
      </c>
      <c r="O109" s="33">
        <f ca="1">H109*external_curves!Q39</f>
        <v>43.968905876152299</v>
      </c>
      <c r="P109" s="33">
        <f ca="1">H109*external_curves!S39</f>
        <v>37.630522109365693</v>
      </c>
      <c r="Q109" s="14">
        <f ca="1">H109*external_curves!M39</f>
        <v>1.3027823963304384</v>
      </c>
    </row>
    <row r="110" spans="1:17" s="26" customFormat="1" ht="12.75" customHeight="1" x14ac:dyDescent="0.2">
      <c r="A110" s="26">
        <v>37377</v>
      </c>
      <c r="B110" s="33">
        <f t="shared" ref="B110:C125" si="6">B98*(1+$B$22)</f>
        <v>32.64</v>
      </c>
      <c r="C110" s="33">
        <f t="shared" si="6"/>
        <v>38.25</v>
      </c>
      <c r="D110" s="33"/>
      <c r="E110" s="33"/>
      <c r="F110" s="33">
        <f ca="1">$C$13*external_curves!K40</f>
        <v>57.682751695453241</v>
      </c>
      <c r="G110" s="33">
        <f ca="1">IF(swap_model!$B$37="Y",swap_model!B63,((F110*external_curves!AI40)+(Fwd_curves!B110*external_curves!AL40)+(Fwd_curves!C110*external_curves!AM40))/(external_curves!AH40))</f>
        <v>46.474479333234939</v>
      </c>
      <c r="H110" s="14">
        <f ca="1">external_curves!O40</f>
        <v>0.89341044203194964</v>
      </c>
      <c r="I110" s="15">
        <f t="shared" ca="1" si="4"/>
        <v>17.405214074545047</v>
      </c>
      <c r="J110" s="33">
        <f t="shared" ca="1" si="0"/>
        <v>29.160916827922836</v>
      </c>
      <c r="K110" s="33">
        <f t="shared" ca="1" si="1"/>
        <v>34.172949407722072</v>
      </c>
      <c r="L110" s="33">
        <f t="shared" ca="1" si="2"/>
        <v>51.534372689854074</v>
      </c>
      <c r="M110" s="33">
        <f t="shared" ca="1" si="3"/>
        <v>41.520785124310137</v>
      </c>
      <c r="N110" s="33">
        <f ca="1">H110*external_curves!K40</f>
        <v>3.3141075684793613</v>
      </c>
      <c r="O110" s="33">
        <f ca="1">H110*external_curves!Q40</f>
        <v>43.068583720653166</v>
      </c>
      <c r="P110" s="33">
        <f ca="1">H110*external_curves!S40</f>
        <v>32.829827925473225</v>
      </c>
      <c r="Q110" s="14">
        <f ca="1">H110*external_curves!M40</f>
        <v>1.2952957509970877</v>
      </c>
    </row>
    <row r="111" spans="1:17" s="26" customFormat="1" ht="12.75" customHeight="1" x14ac:dyDescent="0.2">
      <c r="A111" s="26">
        <v>37408</v>
      </c>
      <c r="B111" s="33">
        <f t="shared" si="6"/>
        <v>32.64</v>
      </c>
      <c r="C111" s="33">
        <f t="shared" si="6"/>
        <v>38.25</v>
      </c>
      <c r="D111" s="33"/>
      <c r="E111" s="33"/>
      <c r="F111" s="33">
        <f ca="1">$C$13*external_curves!K41</f>
        <v>56.98010994247683</v>
      </c>
      <c r="G111" s="33">
        <f ca="1">IF(swap_model!$B$37="Y",swap_model!B64,((F111*external_curves!AI41)+(Fwd_curves!B111*external_curves!AL41)+(Fwd_curves!C111*external_curves!AM41))/(external_curves!AH41))</f>
        <v>45.327826641100806</v>
      </c>
      <c r="H111" s="14">
        <f ca="1">external_curves!O41</f>
        <v>0.88872357302434013</v>
      </c>
      <c r="I111" s="15">
        <f t="shared" ca="1" si="4"/>
        <v>17.497004098904579</v>
      </c>
      <c r="J111" s="33">
        <f t="shared" ca="1" si="0"/>
        <v>29.007937423514463</v>
      </c>
      <c r="K111" s="33">
        <f t="shared" ca="1" si="1"/>
        <v>33.99367666818101</v>
      </c>
      <c r="L111" s="33">
        <f t="shared" ca="1" si="2"/>
        <v>50.639566899397735</v>
      </c>
      <c r="M111" s="33">
        <f t="shared" ca="1" si="3"/>
        <v>40.283908049906984</v>
      </c>
      <c r="N111" s="33">
        <f ca="1">H111*external_curves!K41</f>
        <v>3.2565637877426195</v>
      </c>
      <c r="O111" s="33">
        <f ca="1">H111*external_curves!Q41</f>
        <v>44.100397462354067</v>
      </c>
      <c r="P111" s="33">
        <f ca="1">H111*external_curves!S41</f>
        <v>33.921181632843961</v>
      </c>
      <c r="Q111" s="14">
        <f ca="1">H111*external_curves!M41</f>
        <v>1.2876028456161772</v>
      </c>
    </row>
    <row r="112" spans="1:17" s="26" customFormat="1" ht="12.75" customHeight="1" x14ac:dyDescent="0.2">
      <c r="A112" s="26">
        <v>37438</v>
      </c>
      <c r="B112" s="33">
        <f t="shared" si="6"/>
        <v>30.6</v>
      </c>
      <c r="C112" s="33">
        <f t="shared" si="6"/>
        <v>38.964000000000006</v>
      </c>
      <c r="D112" s="33"/>
      <c r="E112" s="33"/>
      <c r="F112" s="33">
        <f ca="1">$C$13*external_curves!K42</f>
        <v>56.746079903115877</v>
      </c>
      <c r="G112" s="33">
        <f ca="1">IF(swap_model!$B$37="Y",swap_model!B65,((F112*external_curves!AI42)+(Fwd_curves!B112*external_curves!AL42)+(Fwd_curves!C112*external_curves!AM42))/(external_curves!AH42))</f>
        <v>45.690921242401402</v>
      </c>
      <c r="H112" s="14">
        <f ca="1">external_curves!O42</f>
        <v>0.88424585983989634</v>
      </c>
      <c r="I112" s="15">
        <f t="shared" ca="1" si="4"/>
        <v>17.585606793585125</v>
      </c>
      <c r="J112" s="33">
        <f t="shared" ca="1" si="0"/>
        <v>27.057923311100829</v>
      </c>
      <c r="K112" s="33">
        <f t="shared" ca="1" si="1"/>
        <v>34.453755682801727</v>
      </c>
      <c r="L112" s="33">
        <f t="shared" ca="1" si="2"/>
        <v>50.177486216474158</v>
      </c>
      <c r="M112" s="33">
        <f t="shared" ca="1" si="3"/>
        <v>40.402007940864209</v>
      </c>
      <c r="N112" s="33">
        <f ca="1">H112*external_curves!K42</f>
        <v>3.226847988197695</v>
      </c>
      <c r="O112" s="33">
        <f ca="1">H112*external_curves!Q42</f>
        <v>78.73238089363501</v>
      </c>
      <c r="P112" s="33">
        <f ca="1">H112*external_curves!S42</f>
        <v>58.809764133807128</v>
      </c>
      <c r="Q112" s="14">
        <f ca="1">H112*external_curves!M42</f>
        <v>1.2802013153436587</v>
      </c>
    </row>
    <row r="113" spans="1:17" s="26" customFormat="1" ht="12.75" customHeight="1" x14ac:dyDescent="0.2">
      <c r="A113" s="26">
        <v>37469</v>
      </c>
      <c r="B113" s="33">
        <f t="shared" si="6"/>
        <v>30.6</v>
      </c>
      <c r="C113" s="33">
        <f t="shared" si="6"/>
        <v>41.044800000000002</v>
      </c>
      <c r="D113" s="33"/>
      <c r="E113" s="33"/>
      <c r="F113" s="33">
        <f ca="1">$C$13*external_curves!K43</f>
        <v>56.637533086607156</v>
      </c>
      <c r="G113" s="33">
        <f ca="1">IF(swap_model!$B$37="Y",swap_model!B66,((F113*external_curves!AI43)+(Fwd_curves!B113*external_curves!AL43)+(Fwd_curves!C113*external_curves!AM43))/(external_curves!AH43))</f>
        <v>45.95119414850231</v>
      </c>
      <c r="H113" s="14">
        <f ca="1">external_curves!O43</f>
        <v>0.87969045149766145</v>
      </c>
      <c r="I113" s="15">
        <f t="shared" ca="1" si="4"/>
        <v>17.676672485788984</v>
      </c>
      <c r="J113" s="33">
        <f t="shared" ca="1" si="0"/>
        <v>26.91852781582844</v>
      </c>
      <c r="K113" s="33">
        <f t="shared" ca="1" si="1"/>
        <v>36.106718643631218</v>
      </c>
      <c r="L113" s="33">
        <f t="shared" ca="1" si="2"/>
        <v>49.823497052671186</v>
      </c>
      <c r="M113" s="33">
        <f t="shared" ca="1" si="3"/>
        <v>40.4228267273527</v>
      </c>
      <c r="N113" s="33">
        <f ca="1">H113*external_curves!K43</f>
        <v>3.2040834117473431</v>
      </c>
      <c r="O113" s="33">
        <f ca="1">H113*external_curves!Q43</f>
        <v>95.444981851705137</v>
      </c>
      <c r="P113" s="33">
        <f ca="1">H113*external_curves!S43</f>
        <v>74.744367884577784</v>
      </c>
      <c r="Q113" s="14">
        <f ca="1">H113*external_curves!M43</f>
        <v>1.2725997580227351</v>
      </c>
    </row>
    <row r="114" spans="1:17" s="26" customFormat="1" ht="12.75" customHeight="1" x14ac:dyDescent="0.2">
      <c r="A114" s="26">
        <v>37500</v>
      </c>
      <c r="B114" s="33">
        <f t="shared" si="6"/>
        <v>30.6</v>
      </c>
      <c r="C114" s="33">
        <f t="shared" si="6"/>
        <v>41.044800000000002</v>
      </c>
      <c r="D114" s="33"/>
      <c r="E114" s="33"/>
      <c r="F114" s="33">
        <f ca="1">$C$13*external_curves!K44</f>
        <v>56.27530639679992</v>
      </c>
      <c r="G114" s="33">
        <f ca="1">IF(swap_model!$B$37="Y",swap_model!B67,((F114*external_curves!AI44)+(Fwd_curves!B114*external_curves!AL44)+(Fwd_curves!C114*external_curves!AM44))/(external_curves!AH44))</f>
        <v>45.715249651839969</v>
      </c>
      <c r="H114" s="14">
        <f ca="1">external_curves!O44</f>
        <v>0.87515672846675319</v>
      </c>
      <c r="I114" s="15">
        <f t="shared" ca="1" si="4"/>
        <v>17.76824595434821</v>
      </c>
      <c r="J114" s="33">
        <f t="shared" ref="J114:J145" ca="1" si="7">$H114*B114</f>
        <v>26.779795891082649</v>
      </c>
      <c r="K114" s="33">
        <f t="shared" ref="K114:K145" ca="1" si="8">$H114*C114</f>
        <v>35.920632888572193</v>
      </c>
      <c r="L114" s="33">
        <f t="shared" ref="L114:L145" ca="1" si="9">$H114*F114</f>
        <v>49.249713039687563</v>
      </c>
      <c r="M114" s="33">
        <f t="shared" ref="M114:M145" ca="1" si="10">$H114*G114</f>
        <v>40.008008326345141</v>
      </c>
      <c r="N114" s="33">
        <f ca="1">H114*external_curves!K44</f>
        <v>3.1671841183078819</v>
      </c>
      <c r="O114" s="33">
        <f ca="1">H114*external_curves!Q44</f>
        <v>81.595203978892741</v>
      </c>
      <c r="P114" s="33">
        <f ca="1">H114*external_curves!S44</f>
        <v>63.573627596216113</v>
      </c>
      <c r="Q114" s="14">
        <f ca="1">H114*external_curves!M44</f>
        <v>1.265041922153376</v>
      </c>
    </row>
    <row r="115" spans="1:17" s="26" customFormat="1" ht="12.75" customHeight="1" x14ac:dyDescent="0.2">
      <c r="A115" s="26">
        <v>37530</v>
      </c>
      <c r="B115" s="33">
        <f t="shared" si="6"/>
        <v>30.6</v>
      </c>
      <c r="C115" s="33">
        <f t="shared" si="6"/>
        <v>40.799999999999997</v>
      </c>
      <c r="D115" s="33"/>
      <c r="E115" s="33"/>
      <c r="F115" s="33">
        <f ca="1">$C$13*external_curves!K45</f>
        <v>56.592186460509986</v>
      </c>
      <c r="G115" s="33">
        <f ca="1">IF(swap_model!$B$37="Y",swap_model!B68,((F115*external_curves!AI45)+(Fwd_curves!B115*external_curves!AL45)+(Fwd_curves!C115*external_curves!AM45))/(external_curves!AH45))</f>
        <v>46.088608356811392</v>
      </c>
      <c r="H115" s="14">
        <f ca="1">external_curves!O45</f>
        <v>0.87078981398590283</v>
      </c>
      <c r="I115" s="15">
        <f t="shared" ca="1" si="4"/>
        <v>17.857351740051172</v>
      </c>
      <c r="J115" s="33">
        <f t="shared" ca="1" si="7"/>
        <v>26.646168307968626</v>
      </c>
      <c r="K115" s="33">
        <f t="shared" ca="1" si="8"/>
        <v>35.52822441062483</v>
      </c>
      <c r="L115" s="33">
        <f t="shared" ca="1" si="9"/>
        <v>49.279899521003017</v>
      </c>
      <c r="M115" s="33">
        <f t="shared" ca="1" si="10"/>
        <v>40.133490697896917</v>
      </c>
      <c r="N115" s="33">
        <f ca="1">H115*external_curves!K45</f>
        <v>3.1691253711255962</v>
      </c>
      <c r="O115" s="33">
        <f ca="1">H115*external_curves!Q45</f>
        <v>61.316705950844913</v>
      </c>
      <c r="P115" s="33">
        <f ca="1">H115*external_curves!S45</f>
        <v>53.026186899757413</v>
      </c>
      <c r="Q115" s="14">
        <f ca="1">H115*external_curves!M45</f>
        <v>1.2577785836070752</v>
      </c>
    </row>
    <row r="116" spans="1:17" s="26" customFormat="1" ht="12.75" customHeight="1" x14ac:dyDescent="0.2">
      <c r="A116" s="26">
        <v>37561</v>
      </c>
      <c r="B116" s="33">
        <f t="shared" si="6"/>
        <v>33.660000000000004</v>
      </c>
      <c r="C116" s="33">
        <f t="shared" si="6"/>
        <v>40.799999999999997</v>
      </c>
      <c r="D116" s="33"/>
      <c r="E116" s="33"/>
      <c r="F116" s="33">
        <f ca="1">$C$13*external_curves!K46</f>
        <v>58.429167478236124</v>
      </c>
      <c r="G116" s="33">
        <f ca="1">IF(swap_model!$B$37="Y",swap_model!B69,((F116*external_curves!AI46)+(Fwd_curves!B116*external_curves!AL46)+(Fwd_curves!C116*external_curves!AM46))/(external_curves!AH46))</f>
        <v>47.360944823176858</v>
      </c>
      <c r="H116" s="14">
        <f ca="1">external_curves!O46</f>
        <v>0.86629848994563052</v>
      </c>
      <c r="I116" s="15">
        <f t="shared" ca="1" si="4"/>
        <v>17.949933170235504</v>
      </c>
      <c r="J116" s="33">
        <f t="shared" ca="1" si="7"/>
        <v>29.159607171569927</v>
      </c>
      <c r="K116" s="33">
        <f t="shared" ca="1" si="8"/>
        <v>35.344978389781723</v>
      </c>
      <c r="L116" s="33">
        <f t="shared" ca="1" si="9"/>
        <v>50.617099555176296</v>
      </c>
      <c r="M116" s="33">
        <f t="shared" ca="1" si="10"/>
        <v>41.028714982716437</v>
      </c>
      <c r="N116" s="33">
        <f ca="1">H116*external_curves!K46</f>
        <v>3.2551189424550673</v>
      </c>
      <c r="O116" s="33">
        <f ca="1">H116*external_curves!Q46</f>
        <v>55.952268446332141</v>
      </c>
      <c r="P116" s="33">
        <f ca="1">H116*external_curves!S46</f>
        <v>48.229743996275062</v>
      </c>
      <c r="Q116" s="14">
        <f ca="1">H116*external_curves!M46</f>
        <v>1.2503300211470869</v>
      </c>
    </row>
    <row r="117" spans="1:17" s="26" customFormat="1" ht="12.75" customHeight="1" x14ac:dyDescent="0.2">
      <c r="A117" s="26">
        <v>37591</v>
      </c>
      <c r="B117" s="33">
        <f t="shared" si="6"/>
        <v>33.660000000000004</v>
      </c>
      <c r="C117" s="33">
        <f t="shared" si="6"/>
        <v>40.799999999999997</v>
      </c>
      <c r="D117" s="33"/>
      <c r="E117" s="33"/>
      <c r="F117" s="33">
        <f ca="1">$C$13*external_curves!K47</f>
        <v>60.518374132141041</v>
      </c>
      <c r="G117" s="33">
        <f ca="1">IF(swap_model!$B$37="Y",swap_model!B70,((F117*external_curves!AI47)+(Fwd_curves!B117*external_curves!AL47)+(Fwd_curves!C117*external_curves!AM47))/(external_curves!AH47))</f>
        <v>48.440090987249519</v>
      </c>
      <c r="H117" s="14">
        <f ca="1">external_curves!O47</f>
        <v>0.8619724328990046</v>
      </c>
      <c r="I117" s="15">
        <f t="shared" ca="1" si="4"/>
        <v>18.040020082431056</v>
      </c>
      <c r="J117" s="33">
        <f t="shared" ca="1" si="7"/>
        <v>29.013992091380498</v>
      </c>
      <c r="K117" s="33">
        <f t="shared" ca="1" si="8"/>
        <v>35.168475262279387</v>
      </c>
      <c r="L117" s="33">
        <f t="shared" ca="1" si="9"/>
        <v>52.165170185773796</v>
      </c>
      <c r="M117" s="33">
        <f t="shared" ca="1" si="10"/>
        <v>41.754023078128611</v>
      </c>
      <c r="N117" s="33">
        <f ca="1">H117*external_curves!K47</f>
        <v>3.3546733238439743</v>
      </c>
      <c r="O117" s="33">
        <f ca="1">H117*external_curves!Q47</f>
        <v>55.63158948352762</v>
      </c>
      <c r="P117" s="33">
        <f ca="1">H117*external_curves!S47</f>
        <v>46.541788114200109</v>
      </c>
      <c r="Q117" s="14">
        <f ca="1">H117*external_curves!M47</f>
        <v>1.2431640108050865</v>
      </c>
    </row>
    <row r="118" spans="1:17" s="26" customFormat="1" ht="12.75" customHeight="1" x14ac:dyDescent="0.2">
      <c r="A118" s="26">
        <v>37622</v>
      </c>
      <c r="B118" s="33">
        <f t="shared" si="6"/>
        <v>34.333200000000005</v>
      </c>
      <c r="C118" s="33">
        <f t="shared" si="6"/>
        <v>40.055400000000006</v>
      </c>
      <c r="D118" s="33"/>
      <c r="E118" s="33"/>
      <c r="F118" s="33">
        <f ca="1">$C$14*external_curves!K48</f>
        <v>59.44034378252536</v>
      </c>
      <c r="G118" s="33">
        <f ca="1">IF(swap_model!$B$37="Y",swap_model!B71,((F118*external_curves!AI48)+(Fwd_curves!B118*external_curves!AL48)+(Fwd_curves!C118*external_curves!AM48))/(external_curves!AH48))</f>
        <v>48.228484021464155</v>
      </c>
      <c r="H118" s="14">
        <f ca="1">external_curves!O48</f>
        <v>0.85752314923066164</v>
      </c>
      <c r="I118" s="15">
        <f t="shared" ca="1" si="4"/>
        <v>17.725469001783665</v>
      </c>
      <c r="J118" s="33">
        <f t="shared" ca="1" si="7"/>
        <v>29.441513787166155</v>
      </c>
      <c r="K118" s="33">
        <f t="shared" ca="1" si="8"/>
        <v>34.348432751693849</v>
      </c>
      <c r="L118" s="33">
        <f t="shared" ca="1" si="9"/>
        <v>50.971470791744323</v>
      </c>
      <c r="M118" s="33">
        <f t="shared" ca="1" si="10"/>
        <v>41.357041500706586</v>
      </c>
      <c r="N118" s="33">
        <f ca="1">H118*external_curves!K48</f>
        <v>3.3533862362989688</v>
      </c>
      <c r="O118" s="33">
        <f ca="1">H118*external_curves!Q48</f>
        <v>38.927362821374061</v>
      </c>
      <c r="P118" s="33">
        <f ca="1">H118*external_curves!S48</f>
        <v>35.66182282705671</v>
      </c>
      <c r="Q118" s="14">
        <f ca="1">H118*external_curves!M48</f>
        <v>1.2357892959166368</v>
      </c>
    </row>
    <row r="119" spans="1:17" s="26" customFormat="1" ht="12.75" customHeight="1" x14ac:dyDescent="0.2">
      <c r="A119" s="26">
        <v>37653</v>
      </c>
      <c r="B119" s="33">
        <f t="shared" si="6"/>
        <v>31.212000000000003</v>
      </c>
      <c r="C119" s="33">
        <f t="shared" si="6"/>
        <v>39.015000000000001</v>
      </c>
      <c r="D119" s="33"/>
      <c r="E119" s="33"/>
      <c r="F119" s="33">
        <f ca="1">$C$14*external_curves!K49</f>
        <v>56.71460101514861</v>
      </c>
      <c r="G119" s="33">
        <f ca="1">IF(swap_model!$B$37="Y",swap_model!B72,((F119*external_curves!AI49)+(Fwd_curves!B119*external_curves!AL49)+(Fwd_curves!C119*external_curves!AM49))/(external_curves!AH49))</f>
        <v>45.585524292927907</v>
      </c>
      <c r="H119" s="14">
        <f ca="1">external_curves!O49</f>
        <v>0.85309509375392001</v>
      </c>
      <c r="I119" s="15">
        <f t="shared" ca="1" si="4"/>
        <v>17.817474407354315</v>
      </c>
      <c r="J119" s="33">
        <f t="shared" ca="1" si="7"/>
        <v>26.626804066247352</v>
      </c>
      <c r="K119" s="33">
        <f t="shared" ca="1" si="8"/>
        <v>33.283505082809192</v>
      </c>
      <c r="L119" s="33">
        <f t="shared" ca="1" si="9"/>
        <v>48.382947870234368</v>
      </c>
      <c r="M119" s="33">
        <f t="shared" ca="1" si="10"/>
        <v>38.888787120496929</v>
      </c>
      <c r="N119" s="33">
        <f ca="1">H119*external_curves!K49</f>
        <v>3.1830886756733139</v>
      </c>
      <c r="O119" s="33">
        <f ca="1">H119*external_curves!Q49</f>
        <v>36.239015156068916</v>
      </c>
      <c r="P119" s="33">
        <f ca="1">H119*external_curves!S49</f>
        <v>33.826005672311304</v>
      </c>
      <c r="Q119" s="14">
        <f ca="1">H119*external_curves!M49</f>
        <v>1.2284411917311497</v>
      </c>
    </row>
    <row r="120" spans="1:17" s="26" customFormat="1" ht="12.75" customHeight="1" x14ac:dyDescent="0.2">
      <c r="A120" s="26">
        <v>37681</v>
      </c>
      <c r="B120" s="33">
        <f t="shared" si="6"/>
        <v>32.252400000000002</v>
      </c>
      <c r="C120" s="33">
        <f t="shared" si="6"/>
        <v>39.015000000000001</v>
      </c>
      <c r="D120" s="33"/>
      <c r="E120" s="33"/>
      <c r="F120" s="33">
        <f ca="1">$C$14*external_curves!K50</f>
        <v>53.853142085476911</v>
      </c>
      <c r="G120" s="33">
        <f ca="1">IF(swap_model!$B$37="Y",swap_model!B73,((F120*external_curves!AI50)+(Fwd_curves!B120*external_curves!AL50)+(Fwd_curves!C120*external_curves!AM50))/(external_curves!AH50))</f>
        <v>44.189057716021829</v>
      </c>
      <c r="H120" s="14">
        <f ca="1">external_curves!O50</f>
        <v>0.84911372966589993</v>
      </c>
      <c r="I120" s="15">
        <f t="shared" ca="1" si="4"/>
        <v>17.9010178129857</v>
      </c>
      <c r="J120" s="33">
        <f t="shared" ca="1" si="7"/>
        <v>27.385955654676472</v>
      </c>
      <c r="K120" s="33">
        <f t="shared" ca="1" si="8"/>
        <v>33.128172162915085</v>
      </c>
      <c r="L120" s="33">
        <f t="shared" ca="1" si="9"/>
        <v>45.727442330426939</v>
      </c>
      <c r="M120" s="33">
        <f t="shared" ca="1" si="10"/>
        <v>37.521535607673009</v>
      </c>
      <c r="N120" s="33">
        <f ca="1">H120*external_curves!K50</f>
        <v>3.0083843638438781</v>
      </c>
      <c r="O120" s="33">
        <f ca="1">H120*external_curves!Q50</f>
        <v>33.600609235071126</v>
      </c>
      <c r="P120" s="33">
        <f ca="1">H120*external_curves!S50</f>
        <v>31.127367910143608</v>
      </c>
      <c r="Q120" s="14">
        <f ca="1">H120*external_curves!M50</f>
        <v>1.2218403358207683</v>
      </c>
    </row>
    <row r="121" spans="1:17" s="26" customFormat="1" ht="12.75" customHeight="1" x14ac:dyDescent="0.2">
      <c r="A121" s="26">
        <v>37712</v>
      </c>
      <c r="B121" s="33">
        <f t="shared" si="6"/>
        <v>30.691800000000001</v>
      </c>
      <c r="C121" s="33">
        <f t="shared" si="6"/>
        <v>39.015000000000001</v>
      </c>
      <c r="D121" s="33"/>
      <c r="E121" s="33"/>
      <c r="F121" s="33">
        <f ca="1">$C$14*external_curves!K51</f>
        <v>49.429241896763948</v>
      </c>
      <c r="G121" s="33">
        <f ca="1">IF(swap_model!$B$37="Y",swap_model!B74,((F121*external_curves!AI51)+(Fwd_curves!B121*external_curves!AL51)+(Fwd_curves!C121*external_curves!AM51))/(external_curves!AH51))</f>
        <v>42.071847149529042</v>
      </c>
      <c r="H121" s="14">
        <f ca="1">external_curves!O51</f>
        <v>0.84472582347205627</v>
      </c>
      <c r="I121" s="15">
        <f t="shared" ca="1" si="4"/>
        <v>17.994004181763742</v>
      </c>
      <c r="J121" s="33">
        <f t="shared" ca="1" si="7"/>
        <v>25.926156028839657</v>
      </c>
      <c r="K121" s="33">
        <f t="shared" ca="1" si="8"/>
        <v>32.956978002762277</v>
      </c>
      <c r="L121" s="33">
        <f t="shared" ca="1" si="9"/>
        <v>41.75415706484339</v>
      </c>
      <c r="M121" s="33">
        <f t="shared" ca="1" si="10"/>
        <v>35.539175728376406</v>
      </c>
      <c r="N121" s="33">
        <f ca="1">H121*external_curves!K51</f>
        <v>2.7469840174239071</v>
      </c>
      <c r="O121" s="33">
        <f ca="1">H121*external_curves!Q51</f>
        <v>33.097931678414653</v>
      </c>
      <c r="P121" s="33">
        <f ca="1">H121*external_curves!S51</f>
        <v>28.173742188820416</v>
      </c>
      <c r="Q121" s="14">
        <f ca="1">H121*external_curves!M51</f>
        <v>1.2146029973730148</v>
      </c>
    </row>
    <row r="122" spans="1:17" s="26" customFormat="1" ht="12.75" customHeight="1" x14ac:dyDescent="0.2">
      <c r="A122" s="26">
        <v>37742</v>
      </c>
      <c r="B122" s="33">
        <f t="shared" si="6"/>
        <v>33.2928</v>
      </c>
      <c r="C122" s="33">
        <f t="shared" si="6"/>
        <v>39.015000000000001</v>
      </c>
      <c r="D122" s="33"/>
      <c r="E122" s="33"/>
      <c r="F122" s="33">
        <f ca="1">$C$14*external_curves!K52</f>
        <v>48.819102585044554</v>
      </c>
      <c r="G122" s="33">
        <f ca="1">IF(swap_model!$B$37="Y",swap_model!B75,((F122*external_curves!AI52)+(Fwd_curves!B122*external_curves!AL52)+(Fwd_curves!C122*external_curves!AM52))/(external_curves!AH52))</f>
        <v>42.299861438085593</v>
      </c>
      <c r="H122" s="14">
        <f ca="1">external_curves!O52</f>
        <v>0.84049942335352157</v>
      </c>
      <c r="I122" s="15">
        <f t="shared" ca="1" si="4"/>
        <v>18.084485934985281</v>
      </c>
      <c r="J122" s="33">
        <f t="shared" ca="1" si="7"/>
        <v>27.982579201824123</v>
      </c>
      <c r="K122" s="33">
        <f t="shared" ca="1" si="8"/>
        <v>32.792085002137647</v>
      </c>
      <c r="L122" s="33">
        <f t="shared" ca="1" si="9"/>
        <v>41.032427571366362</v>
      </c>
      <c r="M122" s="33">
        <f t="shared" ca="1" si="10"/>
        <v>35.553009146644804</v>
      </c>
      <c r="N122" s="33">
        <f ca="1">H122*external_curves!K52</f>
        <v>2.6995018139056817</v>
      </c>
      <c r="O122" s="33">
        <f ca="1">H122*external_curves!Q52</f>
        <v>32.305484226476096</v>
      </c>
      <c r="P122" s="33">
        <f ca="1">H122*external_curves!S52</f>
        <v>23.902032722081227</v>
      </c>
      <c r="Q122" s="14">
        <f ca="1">H122*external_curves!M52</f>
        <v>1.2076816533262094</v>
      </c>
    </row>
    <row r="123" spans="1:17" s="26" customFormat="1" ht="12.75" customHeight="1" x14ac:dyDescent="0.2">
      <c r="A123" s="26">
        <v>37773</v>
      </c>
      <c r="B123" s="33">
        <f t="shared" si="6"/>
        <v>33.2928</v>
      </c>
      <c r="C123" s="33">
        <f t="shared" si="6"/>
        <v>39.015000000000001</v>
      </c>
      <c r="D123" s="33"/>
      <c r="E123" s="33"/>
      <c r="F123" s="33">
        <f ca="1">$C$14*external_curves!K53</f>
        <v>48.84597175632917</v>
      </c>
      <c r="G123" s="33">
        <f ca="1">IF(swap_model!$B$37="Y",swap_model!B76,((F123*external_curves!AI53)+(Fwd_curves!B123*external_curves!AL53)+(Fwd_curves!C123*external_curves!AM53))/(external_curves!AH53))</f>
        <v>42.267606819620283</v>
      </c>
      <c r="H123" s="14">
        <f ca="1">external_curves!O53</f>
        <v>0.83615268111994523</v>
      </c>
      <c r="I123" s="15">
        <f t="shared" ca="1" si="4"/>
        <v>18.178498189638137</v>
      </c>
      <c r="J123" s="33">
        <f t="shared" ca="1" si="7"/>
        <v>27.837863981990111</v>
      </c>
      <c r="K123" s="33">
        <f t="shared" ca="1" si="8"/>
        <v>32.622496853894667</v>
      </c>
      <c r="L123" s="33">
        <f t="shared" ca="1" si="9"/>
        <v>40.842690245963759</v>
      </c>
      <c r="M123" s="33">
        <f t="shared" ca="1" si="10"/>
        <v>35.342172766749179</v>
      </c>
      <c r="N123" s="33">
        <f ca="1">H123*external_curves!K53</f>
        <v>2.6870190951291946</v>
      </c>
      <c r="O123" s="33">
        <f ca="1">H123*external_curves!Q53</f>
        <v>33.315921235154136</v>
      </c>
      <c r="P123" s="33">
        <f ca="1">H123*external_curves!S53</f>
        <v>24.841871599665978</v>
      </c>
      <c r="Q123" s="14">
        <f ca="1">H123*external_curves!M53</f>
        <v>1.2005737382037525</v>
      </c>
    </row>
    <row r="124" spans="1:17" s="26" customFormat="1" ht="12.75" customHeight="1" x14ac:dyDescent="0.2">
      <c r="A124" s="26">
        <v>37803</v>
      </c>
      <c r="B124" s="33">
        <f t="shared" si="6"/>
        <v>31.212000000000003</v>
      </c>
      <c r="C124" s="33">
        <f t="shared" si="6"/>
        <v>39.743280000000006</v>
      </c>
      <c r="D124" s="33"/>
      <c r="E124" s="33"/>
      <c r="F124" s="33">
        <f ca="1">$C$14*external_curves!K54</f>
        <v>50.865353640222104</v>
      </c>
      <c r="G124" s="33">
        <f ca="1">IF(swap_model!$B$37="Y",swap_model!B77,((F124*external_curves!AI54)+(Fwd_curves!B124*external_curves!AL54)+(Fwd_curves!C124*external_curves!AM54))/(external_curves!AH54))</f>
        <v>43.13463427365825</v>
      </c>
      <c r="H124" s="14">
        <f ca="1">external_curves!O54</f>
        <v>0.8319731330072806</v>
      </c>
      <c r="I124" s="15">
        <f t="shared" ca="1" si="4"/>
        <v>18.269820739351911</v>
      </c>
      <c r="J124" s="33">
        <f t="shared" ca="1" si="7"/>
        <v>25.967545427423246</v>
      </c>
      <c r="K124" s="33">
        <f t="shared" ca="1" si="8"/>
        <v>33.065341177585601</v>
      </c>
      <c r="L124" s="33">
        <f t="shared" ca="1" si="9"/>
        <v>42.318607629578871</v>
      </c>
      <c r="M124" s="33">
        <f t="shared" ca="1" si="10"/>
        <v>35.886856817778678</v>
      </c>
      <c r="N124" s="33">
        <f ca="1">H124*external_curves!K54</f>
        <v>2.7841189229986099</v>
      </c>
      <c r="O124" s="33">
        <f ca="1">H124*external_curves!Q54</f>
        <v>66.81923045524367</v>
      </c>
      <c r="P124" s="33">
        <f ca="1">H124*external_curves!S54</f>
        <v>48.93376589659632</v>
      </c>
      <c r="Q124" s="14">
        <f ca="1">H124*external_curves!M54</f>
        <v>1.1937334605671042</v>
      </c>
    </row>
    <row r="125" spans="1:17" s="26" customFormat="1" ht="12.75" customHeight="1" x14ac:dyDescent="0.2">
      <c r="A125" s="26">
        <v>37834</v>
      </c>
      <c r="B125" s="33">
        <f t="shared" si="6"/>
        <v>31.212000000000003</v>
      </c>
      <c r="C125" s="33">
        <f t="shared" si="6"/>
        <v>41.865696</v>
      </c>
      <c r="D125" s="33"/>
      <c r="E125" s="33"/>
      <c r="F125" s="33">
        <f ca="1">$C$14*external_curves!K55</f>
        <v>50.766147220423875</v>
      </c>
      <c r="G125" s="33">
        <f ca="1">IF(swap_model!$B$37="Y",swap_model!B78,((F125*external_curves!AI55)+(Fwd_curves!B125*external_curves!AL55)+(Fwd_curves!C125*external_curves!AM55))/(external_curves!AH55))</f>
        <v>43.479581325352719</v>
      </c>
      <c r="H125" s="14">
        <f ca="1">external_curves!O55</f>
        <v>0.82768255477269825</v>
      </c>
      <c r="I125" s="15">
        <f t="shared" ca="1" si="4"/>
        <v>18.364528661805959</v>
      </c>
      <c r="J125" s="33">
        <f t="shared" ca="1" si="7"/>
        <v>25.83362789956546</v>
      </c>
      <c r="K125" s="33">
        <f t="shared" ca="1" si="8"/>
        <v>34.651506222617137</v>
      </c>
      <c r="L125" s="33">
        <f t="shared" ca="1" si="9"/>
        <v>42.018254427367346</v>
      </c>
      <c r="M125" s="33">
        <f t="shared" ca="1" si="10"/>
        <v>35.98729095181524</v>
      </c>
      <c r="N125" s="33">
        <f ca="1">H125*external_curves!K55</f>
        <v>2.7643588439057467</v>
      </c>
      <c r="O125" s="33">
        <f ca="1">H125*external_curves!Q55</f>
        <v>82.446169685111244</v>
      </c>
      <c r="P125" s="33">
        <f ca="1">H125*external_curves!S55</f>
        <v>63.225174856405225</v>
      </c>
      <c r="Q125" s="14">
        <f ca="1">H125*external_curves!M55</f>
        <v>1.1867026942801189</v>
      </c>
    </row>
    <row r="126" spans="1:17" s="26" customFormat="1" ht="12.75" customHeight="1" x14ac:dyDescent="0.2">
      <c r="A126" s="26">
        <v>37865</v>
      </c>
      <c r="B126" s="33">
        <f t="shared" ref="B126:C141" si="11">B114*(1+$B$22)</f>
        <v>31.212000000000003</v>
      </c>
      <c r="C126" s="33">
        <f t="shared" si="11"/>
        <v>41.865696</v>
      </c>
      <c r="D126" s="33"/>
      <c r="E126" s="33"/>
      <c r="F126" s="33">
        <f ca="1">$C$14*external_curves!K56</f>
        <v>50.421184266993777</v>
      </c>
      <c r="G126" s="33">
        <f ca="1">IF(swap_model!$B$37="Y",swap_model!B79,((F126*external_curves!AI56)+(Fwd_curves!B126*external_curves!AL56)+(Fwd_curves!C126*external_curves!AM56))/(external_curves!AH56))</f>
        <v>43.444142352752515</v>
      </c>
      <c r="H126" s="14">
        <f ca="1">external_curves!O56</f>
        <v>0.82341324916392333</v>
      </c>
      <c r="I126" s="15">
        <f t="shared" ca="1" si="4"/>
        <v>18.459746689082017</v>
      </c>
      <c r="J126" s="33">
        <f t="shared" ca="1" si="7"/>
        <v>25.700374332904378</v>
      </c>
      <c r="K126" s="33">
        <f t="shared" ca="1" si="8"/>
        <v>34.47276877186907</v>
      </c>
      <c r="L126" s="33">
        <f t="shared" ca="1" si="9"/>
        <v>41.517471163978236</v>
      </c>
      <c r="M126" s="33">
        <f t="shared" ca="1" si="10"/>
        <v>35.772482411819958</v>
      </c>
      <c r="N126" s="33">
        <f ca="1">H126*external_curves!K56</f>
        <v>2.7314125765775157</v>
      </c>
      <c r="O126" s="33">
        <f ca="1">H126*external_curves!Q56</f>
        <v>68.423498784373606</v>
      </c>
      <c r="P126" s="33">
        <f ca="1">H126*external_curves!S56</f>
        <v>53.211722857311237</v>
      </c>
      <c r="Q126" s="14">
        <f ca="1">H126*external_curves!M56</f>
        <v>1.1797154962823035</v>
      </c>
    </row>
    <row r="127" spans="1:17" s="26" customFormat="1" ht="12.75" customHeight="1" x14ac:dyDescent="0.2">
      <c r="A127" s="26">
        <v>37895</v>
      </c>
      <c r="B127" s="33">
        <f t="shared" si="11"/>
        <v>31.212000000000003</v>
      </c>
      <c r="C127" s="33">
        <f t="shared" si="11"/>
        <v>41.616</v>
      </c>
      <c r="D127" s="33"/>
      <c r="E127" s="33"/>
      <c r="F127" s="33">
        <f ca="1">$C$14*external_curves!K57</f>
        <v>50.733530097357189</v>
      </c>
      <c r="G127" s="33">
        <f ca="1">IF(swap_model!$B$37="Y",swap_model!B80,((F127*external_curves!AI57)+(Fwd_curves!B127*external_curves!AL57)+(Fwd_curves!C127*external_curves!AM57))/(external_curves!AH57))</f>
        <v>43.552713811596035</v>
      </c>
      <c r="H127" s="14">
        <f ca="1">external_curves!O57</f>
        <v>0.81930182243963179</v>
      </c>
      <c r="I127" s="15">
        <f t="shared" ca="1" si="4"/>
        <v>18.55238153228931</v>
      </c>
      <c r="J127" s="33">
        <f t="shared" ca="1" si="7"/>
        <v>25.572048481985789</v>
      </c>
      <c r="K127" s="33">
        <f t="shared" ca="1" si="8"/>
        <v>34.096064642647718</v>
      </c>
      <c r="L127" s="33">
        <f t="shared" ca="1" si="9"/>
        <v>41.566073667560651</v>
      </c>
      <c r="M127" s="33">
        <f t="shared" ca="1" si="10"/>
        <v>35.682817798032353</v>
      </c>
      <c r="N127" s="33">
        <f ca="1">H127*external_curves!K57</f>
        <v>2.7346101097079378</v>
      </c>
      <c r="O127" s="33">
        <f ca="1">H127*external_curves!Q57</f>
        <v>49.558950697116281</v>
      </c>
      <c r="P127" s="33">
        <f ca="1">H127*external_curves!S57</f>
        <v>42.773249742723316</v>
      </c>
      <c r="Q127" s="14">
        <f ca="1">H127*external_curves!M57</f>
        <v>1.1729929159080776</v>
      </c>
    </row>
    <row r="128" spans="1:17" s="26" customFormat="1" ht="12.75" customHeight="1" x14ac:dyDescent="0.2">
      <c r="A128" s="26">
        <v>37926</v>
      </c>
      <c r="B128" s="33">
        <f t="shared" si="11"/>
        <v>34.333200000000005</v>
      </c>
      <c r="C128" s="33">
        <f t="shared" si="11"/>
        <v>41.616</v>
      </c>
      <c r="D128" s="33"/>
      <c r="E128" s="33"/>
      <c r="F128" s="33">
        <f ca="1">$C$14*external_curves!K58</f>
        <v>52.415895501806297</v>
      </c>
      <c r="G128" s="33">
        <f ca="1">IF(swap_model!$B$37="Y",swap_model!B81,((F128*external_curves!AI58)+(Fwd_curves!B128*external_curves!AL58)+(Fwd_curves!C128*external_curves!AM58))/(external_curves!AH58))</f>
        <v>44.797553556358359</v>
      </c>
      <c r="H128" s="14">
        <f ca="1">external_curves!O58</f>
        <v>0.81507408173182783</v>
      </c>
      <c r="I128" s="15">
        <f t="shared" ca="1" si="4"/>
        <v>18.64861163012792</v>
      </c>
      <c r="J128" s="33">
        <f t="shared" ca="1" si="7"/>
        <v>27.984101462915195</v>
      </c>
      <c r="K128" s="33">
        <f t="shared" ca="1" si="8"/>
        <v>33.920122985351746</v>
      </c>
      <c r="L128" s="33">
        <f t="shared" ca="1" si="9"/>
        <v>42.722837894286215</v>
      </c>
      <c r="M128" s="33">
        <f t="shared" ca="1" si="10"/>
        <v>36.513324828781165</v>
      </c>
      <c r="N128" s="33">
        <f ca="1">H128*external_curves!K58</f>
        <v>2.8107130193609353</v>
      </c>
      <c r="O128" s="33">
        <f ca="1">H128*external_curves!Q58</f>
        <v>44.602786985906057</v>
      </c>
      <c r="P128" s="33">
        <f ca="1">H128*external_curves!S58</f>
        <v>38.242759952730559</v>
      </c>
      <c r="Q128" s="14">
        <f ca="1">H128*external_curves!M58</f>
        <v>1.1660859342720538</v>
      </c>
    </row>
    <row r="129" spans="1:17" s="26" customFormat="1" ht="12.75" customHeight="1" x14ac:dyDescent="0.2">
      <c r="A129" s="26">
        <v>37956</v>
      </c>
      <c r="B129" s="33">
        <f t="shared" si="11"/>
        <v>34.333200000000005</v>
      </c>
      <c r="C129" s="33">
        <f t="shared" si="11"/>
        <v>41.616</v>
      </c>
      <c r="D129" s="33"/>
      <c r="E129" s="33"/>
      <c r="F129" s="33">
        <f ca="1">$C$14*external_curves!K59</f>
        <v>54.445019675844819</v>
      </c>
      <c r="G129" s="33">
        <f ca="1">IF(swap_model!$B$37="Y",swap_model!B82,((F129*external_curves!AI59)+(Fwd_curves!B129*external_curves!AL59)+(Fwd_curves!C129*external_curves!AM59))/(external_curves!AH59))</f>
        <v>46.16041403321357</v>
      </c>
      <c r="H129" s="14">
        <f ca="1">external_curves!O59</f>
        <v>0.81100269134901282</v>
      </c>
      <c r="I129" s="15">
        <f t="shared" ca="1" si="4"/>
        <v>18.742231267711933</v>
      </c>
      <c r="J129" s="33">
        <f t="shared" ca="1" si="7"/>
        <v>27.844317602623931</v>
      </c>
      <c r="K129" s="33">
        <f t="shared" ca="1" si="8"/>
        <v>33.750688003180514</v>
      </c>
      <c r="L129" s="33">
        <f t="shared" ca="1" si="9"/>
        <v>44.155057487660102</v>
      </c>
      <c r="M129" s="33">
        <f t="shared" ca="1" si="10"/>
        <v>37.436220014720945</v>
      </c>
      <c r="N129" s="33">
        <f ca="1">H129*external_curves!K59</f>
        <v>2.9049379926092178</v>
      </c>
      <c r="O129" s="33">
        <f ca="1">H129*external_curves!Q59</f>
        <v>44.34866735554165</v>
      </c>
      <c r="P129" s="33">
        <f ca="1">H129*external_curves!S59</f>
        <v>37.270459219732039</v>
      </c>
      <c r="Q129" s="14">
        <f ca="1">H129*external_curves!M59</f>
        <v>1.1594422838050105</v>
      </c>
    </row>
    <row r="130" spans="1:17" s="26" customFormat="1" ht="12.75" customHeight="1" x14ac:dyDescent="0.2">
      <c r="A130" s="26">
        <v>37987</v>
      </c>
      <c r="B130" s="33">
        <f t="shared" si="11"/>
        <v>35.019864000000005</v>
      </c>
      <c r="C130" s="33">
        <f t="shared" si="11"/>
        <v>40.856508000000005</v>
      </c>
      <c r="D130" s="33"/>
      <c r="E130" s="33"/>
      <c r="F130" s="33">
        <f ca="1">$C$15*external_curves!K60</f>
        <v>55.814435408517795</v>
      </c>
      <c r="G130" s="33">
        <f ca="1">IF(swap_model!$B$37="Y",swap_model!B83,((F130*external_curves!AI60)+(Fwd_curves!B130*external_curves!AL60)+(Fwd_curves!C130*external_curves!AM60))/(external_curves!AH60))</f>
        <v>46.552665397578316</v>
      </c>
      <c r="H130" s="14">
        <f ca="1">external_curves!O60</f>
        <v>0.80681612837778116</v>
      </c>
      <c r="I130" s="15">
        <f t="shared" ca="1" si="4"/>
        <v>18.777512579552962</v>
      </c>
      <c r="J130" s="33">
        <f t="shared" ca="1" si="7"/>
        <v>28.254591088796442</v>
      </c>
      <c r="K130" s="33">
        <f t="shared" ca="1" si="8"/>
        <v>32.963689603595846</v>
      </c>
      <c r="L130" s="33">
        <f t="shared" ca="1" si="9"/>
        <v>45.031986683892065</v>
      </c>
      <c r="M130" s="33">
        <f t="shared" ca="1" si="10"/>
        <v>37.559441261740439</v>
      </c>
      <c r="N130" s="33">
        <f ca="1">H130*external_curves!K60</f>
        <v>2.9724083619730735</v>
      </c>
      <c r="O130" s="33">
        <f ca="1">H130*external_curves!Q60</f>
        <v>31.40822406385718</v>
      </c>
      <c r="P130" s="33">
        <f ca="1">H130*external_curves!S60</f>
        <v>28.861360082354704</v>
      </c>
      <c r="Q130" s="14">
        <f ca="1">H130*external_curves!M60</f>
        <v>1.1525953784901717</v>
      </c>
    </row>
    <row r="131" spans="1:17" s="26" customFormat="1" ht="12.75" customHeight="1" x14ac:dyDescent="0.2">
      <c r="A131" s="26">
        <v>38018</v>
      </c>
      <c r="B131" s="33">
        <f t="shared" si="11"/>
        <v>31.836240000000004</v>
      </c>
      <c r="C131" s="33">
        <f t="shared" si="11"/>
        <v>39.795300000000005</v>
      </c>
      <c r="D131" s="33"/>
      <c r="E131" s="33"/>
      <c r="F131" s="33">
        <f ca="1">$C$15*external_curves!K61</f>
        <v>53.205569832630665</v>
      </c>
      <c r="G131" s="33">
        <f ca="1">IF(swap_model!$B$37="Y",swap_model!B84,((F131*external_curves!AI61)+(Fwd_curves!B131*external_curves!AL61)+(Fwd_curves!C131*external_curves!AM61))/(external_curves!AH61))</f>
        <v>44.13127233684169</v>
      </c>
      <c r="H131" s="14">
        <f ca="1">external_curves!O61</f>
        <v>0.80265034452345108</v>
      </c>
      <c r="I131" s="15">
        <f t="shared" ca="1" si="4"/>
        <v>18.874968538130819</v>
      </c>
      <c r="J131" s="33">
        <f t="shared" ca="1" si="7"/>
        <v>25.553369004331277</v>
      </c>
      <c r="K131" s="33">
        <f t="shared" ca="1" si="8"/>
        <v>31.941711255414095</v>
      </c>
      <c r="L131" s="33">
        <f t="shared" ca="1" si="9"/>
        <v>42.705468956727536</v>
      </c>
      <c r="M131" s="33">
        <f t="shared" ca="1" si="10"/>
        <v>35.421980945424231</v>
      </c>
      <c r="N131" s="33">
        <f ca="1">H131*external_curves!K61</f>
        <v>2.8188428354275601</v>
      </c>
      <c r="O131" s="33">
        <f ca="1">H131*external_curves!Q61</f>
        <v>28.930547111484916</v>
      </c>
      <c r="P131" s="33">
        <f ca="1">H131*external_curves!S61</f>
        <v>26.939805258270592</v>
      </c>
      <c r="Q131" s="14">
        <f ca="1">H131*external_curves!M61</f>
        <v>1.1457642420390066</v>
      </c>
    </row>
    <row r="132" spans="1:17" s="26" customFormat="1" ht="12.75" customHeight="1" x14ac:dyDescent="0.2">
      <c r="A132" s="26">
        <v>38047</v>
      </c>
      <c r="B132" s="33">
        <f t="shared" si="11"/>
        <v>32.897448000000004</v>
      </c>
      <c r="C132" s="33">
        <f t="shared" si="11"/>
        <v>39.795300000000005</v>
      </c>
      <c r="D132" s="33"/>
      <c r="E132" s="33"/>
      <c r="F132" s="33">
        <f ca="1">$C$15*external_curves!K62</f>
        <v>56.073087012634687</v>
      </c>
      <c r="G132" s="33">
        <f ca="1">IF(swap_model!$B$37="Y",swap_model!B85,((F132*external_curves!AI62)+(Fwd_curves!B132*external_curves!AL62)+(Fwd_curves!C132*external_curves!AM62))/(external_curves!AH62))</f>
        <v>46.140758135281672</v>
      </c>
      <c r="H132" s="14">
        <f ca="1">external_curves!O62</f>
        <v>0.7987720449958905</v>
      </c>
      <c r="I132" s="15">
        <f t="shared" ca="1" si="4"/>
        <v>18.966612683694937</v>
      </c>
      <c r="J132" s="33">
        <f t="shared" ca="1" si="7"/>
        <v>26.277561814105972</v>
      </c>
      <c r="K132" s="33">
        <f t="shared" ca="1" si="8"/>
        <v>31.787373162224966</v>
      </c>
      <c r="L132" s="33">
        <f t="shared" ca="1" si="9"/>
        <v>44.789614382314717</v>
      </c>
      <c r="M132" s="33">
        <f t="shared" ca="1" si="10"/>
        <v>36.855947733379715</v>
      </c>
      <c r="N132" s="33">
        <f ca="1">H132*external_curves!K62</f>
        <v>2.9564101902517965</v>
      </c>
      <c r="O132" s="33">
        <f ca="1">H132*external_curves!Q62</f>
        <v>26.491284573917159</v>
      </c>
      <c r="P132" s="33">
        <f ca="1">H132*external_curves!S62</f>
        <v>24.742351345600973</v>
      </c>
      <c r="Q132" s="14">
        <f ca="1">H132*external_curves!M62</f>
        <v>1.1394100892007382</v>
      </c>
    </row>
    <row r="133" spans="1:17" s="26" customFormat="1" ht="12.75" customHeight="1" x14ac:dyDescent="0.2">
      <c r="A133" s="26">
        <v>38078</v>
      </c>
      <c r="B133" s="33">
        <f t="shared" si="11"/>
        <v>31.305636</v>
      </c>
      <c r="C133" s="33">
        <f t="shared" si="11"/>
        <v>39.795300000000005</v>
      </c>
      <c r="D133" s="33"/>
      <c r="E133" s="33"/>
      <c r="F133" s="33">
        <f ca="1">$C$15*external_curves!K63</f>
        <v>52.015023175747892</v>
      </c>
      <c r="G133" s="33">
        <f ca="1">IF(swap_model!$B$37="Y",swap_model!B86,((F133*external_curves!AI63)+(Fwd_curves!B133*external_curves!AL63)+(Fwd_curves!C133*external_curves!AM63))/(external_curves!AH63))</f>
        <v>43.694135685921196</v>
      </c>
      <c r="H133" s="14">
        <f ca="1">external_curves!O63</f>
        <v>0.79464619891501265</v>
      </c>
      <c r="I133" s="15">
        <f t="shared" ca="1" si="4"/>
        <v>19.065088363457068</v>
      </c>
      <c r="J133" s="33">
        <f t="shared" ca="1" si="7"/>
        <v>24.876904652016982</v>
      </c>
      <c r="K133" s="33">
        <f t="shared" ca="1" si="8"/>
        <v>31.623183879682607</v>
      </c>
      <c r="L133" s="33">
        <f t="shared" ca="1" si="9"/>
        <v>41.333540453084353</v>
      </c>
      <c r="M133" s="33">
        <f t="shared" ca="1" si="10"/>
        <v>34.72137883769409</v>
      </c>
      <c r="N133" s="33">
        <f ca="1">H133*external_curves!K63</f>
        <v>2.7282864985534228</v>
      </c>
      <c r="O133" s="33">
        <f ca="1">H133*external_curves!Q63</f>
        <v>26.05109754914227</v>
      </c>
      <c r="P133" s="33">
        <f ca="1">H133*external_curves!S63</f>
        <v>21.84926946067738</v>
      </c>
      <c r="Q133" s="14">
        <f ca="1">H133*external_curves!M63</f>
        <v>1.1326564151800989</v>
      </c>
    </row>
    <row r="134" spans="1:17" s="26" customFormat="1" ht="12.75" customHeight="1" x14ac:dyDescent="0.2">
      <c r="A134" s="26">
        <v>38108</v>
      </c>
      <c r="B134" s="33">
        <f t="shared" si="11"/>
        <v>33.958655999999998</v>
      </c>
      <c r="C134" s="33">
        <f t="shared" si="11"/>
        <v>39.795300000000005</v>
      </c>
      <c r="D134" s="33"/>
      <c r="E134" s="33"/>
      <c r="F134" s="33">
        <f ca="1">$C$15*external_curves!K64</f>
        <v>51.480785000862411</v>
      </c>
      <c r="G134" s="33">
        <f ca="1">IF(swap_model!$B$37="Y",swap_model!B87,((F134*external_curves!AI64)+(Fwd_curves!B134*external_curves!AL64)+(Fwd_curves!C134*external_curves!AM64))/(external_curves!AH64))</f>
        <v>43.754663935873346</v>
      </c>
      <c r="H134" s="14">
        <f ca="1">external_curves!O64</f>
        <v>0.79067295558435902</v>
      </c>
      <c r="I134" s="15">
        <f t="shared" ca="1" si="4"/>
        <v>19.160893126543272</v>
      </c>
      <c r="J134" s="33">
        <f t="shared" ca="1" si="7"/>
        <v>26.850190907192523</v>
      </c>
      <c r="K134" s="33">
        <f t="shared" ca="1" si="8"/>
        <v>31.465067469366247</v>
      </c>
      <c r="L134" s="33">
        <f t="shared" ca="1" si="9"/>
        <v>40.704464432434818</v>
      </c>
      <c r="M134" s="33">
        <f t="shared" ca="1" si="10"/>
        <v>34.595629454777338</v>
      </c>
      <c r="N134" s="33">
        <f ca="1">H134*external_curves!K64</f>
        <v>2.6867633288735857</v>
      </c>
      <c r="O134" s="33">
        <f ca="1">H134*external_curves!Q64</f>
        <v>25.338565693332345</v>
      </c>
      <c r="P134" s="33">
        <f ca="1">H134*external_curves!S64</f>
        <v>17.83084252493758</v>
      </c>
      <c r="Q134" s="14">
        <f ca="1">H134*external_curves!M64</f>
        <v>1.1261584752592153</v>
      </c>
    </row>
    <row r="135" spans="1:17" s="26" customFormat="1" ht="12.75" customHeight="1" x14ac:dyDescent="0.2">
      <c r="A135" s="26">
        <v>38139</v>
      </c>
      <c r="B135" s="33">
        <f t="shared" si="11"/>
        <v>33.958655999999998</v>
      </c>
      <c r="C135" s="33">
        <f t="shared" si="11"/>
        <v>39.795300000000005</v>
      </c>
      <c r="D135" s="33"/>
      <c r="E135" s="33"/>
      <c r="F135" s="33">
        <f ca="1">$C$15*external_curves!K65</f>
        <v>51.557023504127635</v>
      </c>
      <c r="G135" s="33">
        <f ca="1">IF(swap_model!$B$37="Y",swap_model!B88,((F135*external_curves!AI65)+(Fwd_curves!B135*external_curves!AL65)+(Fwd_curves!C135*external_curves!AM65))/(external_curves!AH65))</f>
        <v>44.118740735351288</v>
      </c>
      <c r="H135" s="14">
        <f ca="1">external_curves!O65</f>
        <v>0.786587337351913</v>
      </c>
      <c r="I135" s="15">
        <f t="shared" ca="1" si="4"/>
        <v>19.260416841953319</v>
      </c>
      <c r="J135" s="33">
        <f t="shared" ca="1" si="7"/>
        <v>26.711448803089564</v>
      </c>
      <c r="K135" s="33">
        <f t="shared" ca="1" si="8"/>
        <v>31.302479066120586</v>
      </c>
      <c r="L135" s="33">
        <f t="shared" ca="1" si="9"/>
        <v>40.554101839901755</v>
      </c>
      <c r="M135" s="33">
        <f t="shared" ca="1" si="10"/>
        <v>34.703242802339346</v>
      </c>
      <c r="N135" s="33">
        <f ca="1">H135*external_curves!K65</f>
        <v>2.6768384052740428</v>
      </c>
      <c r="O135" s="33">
        <f ca="1">H135*external_curves!Q65</f>
        <v>26.307843268416988</v>
      </c>
      <c r="P135" s="33">
        <f ca="1">H135*external_curves!S65</f>
        <v>18.987670330609237</v>
      </c>
      <c r="Q135" s="14">
        <f ca="1">H135*external_curves!M65</f>
        <v>1.1194826922730634</v>
      </c>
    </row>
    <row r="136" spans="1:17" s="26" customFormat="1" ht="12.75" customHeight="1" x14ac:dyDescent="0.2">
      <c r="A136" s="26">
        <v>38169</v>
      </c>
      <c r="B136" s="33">
        <f t="shared" si="11"/>
        <v>31.836240000000004</v>
      </c>
      <c r="C136" s="33">
        <f t="shared" si="11"/>
        <v>40.538145600000007</v>
      </c>
      <c r="D136" s="33"/>
      <c r="E136" s="33"/>
      <c r="F136" s="33">
        <f ca="1">$C$15*external_curves!K66</f>
        <v>52.774328212390827</v>
      </c>
      <c r="G136" s="33">
        <f ca="1">IF(swap_model!$B$37="Y",swap_model!B89,((F136*external_curves!AI66)+(Fwd_curves!B136*external_curves!AL66)+(Fwd_curves!C136*external_curves!AM66))/(external_curves!AH66))</f>
        <v>44.26879196285158</v>
      </c>
      <c r="H136" s="14">
        <f ca="1">external_curves!O66</f>
        <v>0.78265284218410669</v>
      </c>
      <c r="I136" s="15">
        <f t="shared" ca="1" si="4"/>
        <v>19.357241401847745</v>
      </c>
      <c r="J136" s="33">
        <f t="shared" ca="1" si="7"/>
        <v>24.916723720455348</v>
      </c>
      <c r="K136" s="33">
        <f t="shared" ca="1" si="8"/>
        <v>31.727294870713145</v>
      </c>
      <c r="L136" s="33">
        <f t="shared" ca="1" si="9"/>
        <v>41.303977969784569</v>
      </c>
      <c r="M136" s="33">
        <f t="shared" ca="1" si="10"/>
        <v>34.64709584978273</v>
      </c>
      <c r="N136" s="33">
        <f ca="1">H136*external_curves!K66</f>
        <v>2.7263351795237338</v>
      </c>
      <c r="O136" s="33">
        <f ca="1">H136*external_curves!Q66</f>
        <v>58.282580629734063</v>
      </c>
      <c r="P136" s="33">
        <f ca="1">H136*external_curves!S66</f>
        <v>41.820519664240599</v>
      </c>
      <c r="Q136" s="14">
        <f ca="1">H136*external_curves!M66</f>
        <v>1.1130595489087431</v>
      </c>
    </row>
    <row r="137" spans="1:17" s="26" customFormat="1" ht="12.75" customHeight="1" x14ac:dyDescent="0.2">
      <c r="A137" s="26">
        <v>38200</v>
      </c>
      <c r="B137" s="33">
        <f t="shared" si="11"/>
        <v>31.836240000000004</v>
      </c>
      <c r="C137" s="33">
        <f t="shared" si="11"/>
        <v>42.70300992</v>
      </c>
      <c r="D137" s="33"/>
      <c r="E137" s="33"/>
      <c r="F137" s="33">
        <f ca="1">$C$15*external_curves!K67</f>
        <v>52.564035434389233</v>
      </c>
      <c r="G137" s="33">
        <f ca="1">IF(swap_model!$B$37="Y",swap_model!B90,((F137*external_curves!AI67)+(Fwd_curves!B137*external_curves!AL67)+(Fwd_curves!C137*external_curves!AM67))/(external_curves!AH67))</f>
        <v>44.797807601646518</v>
      </c>
      <c r="H137" s="14">
        <f ca="1">external_curves!O67</f>
        <v>0.77860707648001004</v>
      </c>
      <c r="I137" s="15">
        <f t="shared" ca="1" si="4"/>
        <v>19.457824694441964</v>
      </c>
      <c r="J137" s="33">
        <f t="shared" ca="1" si="7"/>
        <v>24.787921752515956</v>
      </c>
      <c r="K137" s="33">
        <f t="shared" ca="1" si="8"/>
        <v>33.248865710708067</v>
      </c>
      <c r="L137" s="33">
        <f t="shared" ca="1" si="9"/>
        <v>40.926729957561456</v>
      </c>
      <c r="M137" s="33">
        <f t="shared" ca="1" si="10"/>
        <v>34.879890009431968</v>
      </c>
      <c r="N137" s="33">
        <f ca="1">H137*external_curves!K67</f>
        <v>2.7014343206311189</v>
      </c>
      <c r="O137" s="33">
        <f ca="1">H137*external_curves!Q67</f>
        <v>72.874262213071304</v>
      </c>
      <c r="P137" s="33">
        <f ca="1">H137*external_curves!S67</f>
        <v>55.101887312790559</v>
      </c>
      <c r="Q137" s="14">
        <f ca="1">H137*external_curves!M67</f>
        <v>1.1064606143567479</v>
      </c>
    </row>
    <row r="138" spans="1:17" s="26" customFormat="1" ht="12.75" customHeight="1" x14ac:dyDescent="0.2">
      <c r="A138" s="26">
        <v>38231</v>
      </c>
      <c r="B138" s="33">
        <f t="shared" si="11"/>
        <v>31.836240000000004</v>
      </c>
      <c r="C138" s="33">
        <f t="shared" si="11"/>
        <v>42.70300992</v>
      </c>
      <c r="D138" s="33"/>
      <c r="E138" s="33"/>
      <c r="F138" s="33">
        <f ca="1">$C$15*external_curves!K68</f>
        <v>52.29292848726152</v>
      </c>
      <c r="G138" s="33">
        <f ca="1">IF(swap_model!$B$37="Y",swap_model!B91,((F138*external_curves!AI68)+(Fwd_curves!B138*external_curves!AL68)+(Fwd_curves!C138*external_curves!AM68))/(external_curves!AH68))</f>
        <v>44.735093016883411</v>
      </c>
      <c r="H138" s="14">
        <f ca="1">external_curves!O68</f>
        <v>0.77458142093374738</v>
      </c>
      <c r="I138" s="15">
        <f t="shared" ca="1" si="4"/>
        <v>19.558950925697239</v>
      </c>
      <c r="J138" s="33">
        <f t="shared" ca="1" si="7"/>
        <v>24.659760016387807</v>
      </c>
      <c r="K138" s="33">
        <f t="shared" ca="1" si="8"/>
        <v>33.076958101981511</v>
      </c>
      <c r="L138" s="33">
        <f t="shared" ca="1" si="9"/>
        <v>40.505130852449867</v>
      </c>
      <c r="M138" s="33">
        <f t="shared" ca="1" si="10"/>
        <v>34.650971914620911</v>
      </c>
      <c r="N138" s="33">
        <f ca="1">H138*external_curves!K68</f>
        <v>2.6736059968613772</v>
      </c>
      <c r="O138" s="33">
        <f ca="1">H138*external_curves!Q68</f>
        <v>59.11964638662316</v>
      </c>
      <c r="P138" s="33">
        <f ca="1">H138*external_curves!S68</f>
        <v>45.419775875118347</v>
      </c>
      <c r="Q138" s="14">
        <f ca="1">H138*external_curves!M68</f>
        <v>1.0999003978906636</v>
      </c>
    </row>
    <row r="139" spans="1:17" s="26" customFormat="1" ht="12.75" customHeight="1" x14ac:dyDescent="0.2">
      <c r="A139" s="26">
        <v>38261</v>
      </c>
      <c r="B139" s="33">
        <f t="shared" si="11"/>
        <v>31.836240000000004</v>
      </c>
      <c r="C139" s="33">
        <f t="shared" si="11"/>
        <v>42.448320000000002</v>
      </c>
      <c r="D139" s="33"/>
      <c r="E139" s="33"/>
      <c r="F139" s="33">
        <f ca="1">$C$15*external_curves!K69</f>
        <v>52.592016317276368</v>
      </c>
      <c r="G139" s="33">
        <f ca="1">IF(swap_model!$B$37="Y",swap_model!B92,((F139*external_curves!AI69)+(Fwd_curves!B139*external_curves!AL69)+(Fwd_curves!C139*external_curves!AM69))/(external_curves!AH69))</f>
        <v>44.633068014253844</v>
      </c>
      <c r="H139" s="14">
        <f ca="1">external_curves!O69</f>
        <v>0.77070468270895565</v>
      </c>
      <c r="I139" s="15">
        <f t="shared" ca="1" si="4"/>
        <v>19.657334826031096</v>
      </c>
      <c r="J139" s="33">
        <f t="shared" ca="1" si="7"/>
        <v>24.536339247846165</v>
      </c>
      <c r="K139" s="33">
        <f t="shared" ca="1" si="8"/>
        <v>32.715118997128215</v>
      </c>
      <c r="L139" s="33">
        <f t="shared" ca="1" si="9"/>
        <v>40.532913248830702</v>
      </c>
      <c r="M139" s="33">
        <f t="shared" ca="1" si="10"/>
        <v>34.398914522252745</v>
      </c>
      <c r="N139" s="33">
        <f ca="1">H139*external_curves!K69</f>
        <v>2.6754398184046666</v>
      </c>
      <c r="O139" s="33">
        <f ca="1">H139*external_curves!Q69</f>
        <v>41.556361266876031</v>
      </c>
      <c r="P139" s="33">
        <f ca="1">H139*external_curves!S69</f>
        <v>35.357890148369513</v>
      </c>
      <c r="Q139" s="14">
        <f ca="1">H139*external_curves!M69</f>
        <v>1.0935884543914747</v>
      </c>
    </row>
    <row r="140" spans="1:17" s="26" customFormat="1" ht="12.75" customHeight="1" x14ac:dyDescent="0.2">
      <c r="A140" s="26">
        <v>38292</v>
      </c>
      <c r="B140" s="33">
        <f t="shared" si="11"/>
        <v>35.019864000000005</v>
      </c>
      <c r="C140" s="33">
        <f t="shared" si="11"/>
        <v>42.448320000000002</v>
      </c>
      <c r="D140" s="33"/>
      <c r="E140" s="33"/>
      <c r="F140" s="33">
        <f ca="1">$C$15*external_curves!K70</f>
        <v>55.276837188199984</v>
      </c>
      <c r="G140" s="33">
        <f ca="1">IF(swap_model!$B$37="Y",swap_model!B93,((F140*external_curves!AI70)+(Fwd_curves!B140*external_curves!AL70)+(Fwd_curves!C140*external_curves!AM70))/(external_curves!AH70))</f>
        <v>46.90419471423111</v>
      </c>
      <c r="H140" s="14">
        <f ca="1">external_curves!O70</f>
        <v>0.76671831992154726</v>
      </c>
      <c r="I140" s="15">
        <f t="shared" ca="1" si="4"/>
        <v>19.75953828982486</v>
      </c>
      <c r="J140" s="33">
        <f t="shared" ca="1" si="7"/>
        <v>26.850371289961082</v>
      </c>
      <c r="K140" s="33">
        <f t="shared" ca="1" si="8"/>
        <v>32.545904593892217</v>
      </c>
      <c r="L140" s="33">
        <f t="shared" ca="1" si="9"/>
        <v>42.381763739513595</v>
      </c>
      <c r="M140" s="33">
        <f t="shared" ca="1" si="10"/>
        <v>35.962305368568394</v>
      </c>
      <c r="N140" s="33">
        <f ca="1">H140*external_curves!K70</f>
        <v>2.7974761544233395</v>
      </c>
      <c r="O140" s="33">
        <f ca="1">H140*external_curves!Q70</f>
        <v>36.961528184148655</v>
      </c>
      <c r="P140" s="33">
        <f ca="1">H140*external_curves!S70</f>
        <v>31.763058350079053</v>
      </c>
      <c r="Q140" s="14">
        <f ca="1">H140*external_curves!M70</f>
        <v>1.0871037701220192</v>
      </c>
    </row>
    <row r="141" spans="1:17" s="26" customFormat="1" ht="12.75" customHeight="1" x14ac:dyDescent="0.2">
      <c r="A141" s="26">
        <v>38322</v>
      </c>
      <c r="B141" s="33">
        <f t="shared" si="11"/>
        <v>35.019864000000005</v>
      </c>
      <c r="C141" s="33">
        <f t="shared" si="11"/>
        <v>42.448320000000002</v>
      </c>
      <c r="D141" s="33"/>
      <c r="E141" s="33"/>
      <c r="F141" s="33">
        <f ca="1">$C$15*external_curves!K71</f>
        <v>57.193809040596207</v>
      </c>
      <c r="G141" s="33">
        <f ca="1">IF(swap_model!$B$37="Y",swap_model!B94,((F141*external_curves!AI71)+(Fwd_curves!B141*external_curves!AL71)+(Fwd_curves!C141*external_curves!AM71))/(external_curves!AH71))</f>
        <v>47.904642665241141</v>
      </c>
      <c r="H141" s="14">
        <f ca="1">external_curves!O71</f>
        <v>0.76287942895708571</v>
      </c>
      <c r="I141" s="15">
        <f t="shared" ca="1" si="4"/>
        <v>19.85897040206105</v>
      </c>
      <c r="J141" s="33">
        <f t="shared" ca="1" si="7"/>
        <v>26.715933850474809</v>
      </c>
      <c r="K141" s="33">
        <f t="shared" ca="1" si="8"/>
        <v>32.382950121787644</v>
      </c>
      <c r="L141" s="33">
        <f t="shared" ca="1" si="9"/>
        <v>43.631980380770642</v>
      </c>
      <c r="M141" s="33">
        <f t="shared" ca="1" si="10"/>
        <v>36.545466440852408</v>
      </c>
      <c r="N141" s="33">
        <f ca="1">H141*external_curves!K71</f>
        <v>2.8799987050013622</v>
      </c>
      <c r="O141" s="33">
        <f ca="1">H141*external_curves!Q71</f>
        <v>36.749393162767667</v>
      </c>
      <c r="P141" s="33">
        <f ca="1">H141*external_curves!S71</f>
        <v>30.618683202818289</v>
      </c>
      <c r="Q141" s="14">
        <f ca="1">H141*external_curves!M71</f>
        <v>1.0808645047872845</v>
      </c>
    </row>
    <row r="142" spans="1:17" s="26" customFormat="1" ht="12.75" customHeight="1" x14ac:dyDescent="0.2">
      <c r="A142" s="26">
        <v>38353</v>
      </c>
      <c r="B142" s="33">
        <f t="shared" ref="B142:C157" si="12">B130*(1+$B$22)</f>
        <v>35.72026128000001</v>
      </c>
      <c r="C142" s="33">
        <f t="shared" si="12"/>
        <v>41.673638160000003</v>
      </c>
      <c r="D142" s="33"/>
      <c r="E142" s="33"/>
      <c r="F142" s="33">
        <f ca="1">$C$16*external_curves!K72</f>
        <v>60.080493930287865</v>
      </c>
      <c r="G142" s="33">
        <f ca="1">IF(swap_model!$B$37="Y",swap_model!B95,((F142*external_curves!AI72)+(Fwd_curves!B142*external_curves!AL72)+(Fwd_curves!C142*external_curves!AM72))/(external_curves!AH72))</f>
        <v>48.642100825291294</v>
      </c>
      <c r="H142" s="14">
        <f ca="1">external_curves!O72</f>
        <v>0.75893199190489635</v>
      </c>
      <c r="I142" s="15">
        <f t="shared" ca="1" si="4"/>
        <v>19.896380915633106</v>
      </c>
      <c r="J142" s="33">
        <f t="shared" ca="1" si="7"/>
        <v>27.109249044593749</v>
      </c>
      <c r="K142" s="33">
        <f t="shared" ca="1" si="8"/>
        <v>31.627457218692701</v>
      </c>
      <c r="L142" s="33">
        <f t="shared" ca="1" si="9"/>
        <v>45.597008933143407</v>
      </c>
      <c r="M142" s="33">
        <f t="shared" ca="1" si="10"/>
        <v>36.916046469777122</v>
      </c>
      <c r="N142" s="33">
        <f ca="1">H142*external_curves!K72</f>
        <v>3.0196694657710865</v>
      </c>
      <c r="O142" s="33">
        <f ca="1">H142*external_curves!Q72</f>
        <v>25.786907815441882</v>
      </c>
      <c r="P142" s="33">
        <f ca="1">H142*external_curves!S72</f>
        <v>23.782414757207484</v>
      </c>
      <c r="Q142" s="14">
        <f ca="1">H142*external_curves!M72</f>
        <v>1.0744544923100783</v>
      </c>
    </row>
    <row r="143" spans="1:17" s="26" customFormat="1" ht="12.75" customHeight="1" x14ac:dyDescent="0.2">
      <c r="A143" s="26">
        <v>38384</v>
      </c>
      <c r="B143" s="33">
        <f t="shared" si="12"/>
        <v>32.472964800000007</v>
      </c>
      <c r="C143" s="33">
        <f t="shared" si="12"/>
        <v>40.591206000000007</v>
      </c>
      <c r="D143" s="33"/>
      <c r="E143" s="33"/>
      <c r="F143" s="33">
        <f ca="1">$C$16*external_curves!K73</f>
        <v>57.666905743722523</v>
      </c>
      <c r="G143" s="33">
        <f ca="1">IF(swap_model!$B$37="Y",swap_model!B96,((F143*external_curves!AI73)+(Fwd_curves!B143*external_curves!AL73)+(Fwd_curves!C143*external_curves!AM73))/(external_curves!AH73))</f>
        <v>46.789577020820246</v>
      </c>
      <c r="H143" s="14">
        <f ca="1">external_curves!O73</f>
        <v>0.75500419717451572</v>
      </c>
      <c r="I143" s="15">
        <f t="shared" ca="1" si="4"/>
        <v>19.999888817187202</v>
      </c>
      <c r="J143" s="33">
        <f t="shared" ca="1" si="7"/>
        <v>24.517224718700312</v>
      </c>
      <c r="K143" s="33">
        <f t="shared" ca="1" si="8"/>
        <v>30.646530898375392</v>
      </c>
      <c r="L143" s="33">
        <f t="shared" ca="1" si="9"/>
        <v>43.538755874577696</v>
      </c>
      <c r="M143" s="33">
        <f t="shared" ca="1" si="10"/>
        <v>35.326327034739556</v>
      </c>
      <c r="N143" s="33">
        <f ca="1">H143*external_curves!K73</f>
        <v>2.8833613161971985</v>
      </c>
      <c r="O143" s="33">
        <f ca="1">H143*external_curves!Q73</f>
        <v>23.49780622574254</v>
      </c>
      <c r="P143" s="33">
        <f ca="1">H143*external_curves!S73</f>
        <v>22.213564651716563</v>
      </c>
      <c r="Q143" s="14">
        <f ca="1">H143*external_curves!M73</f>
        <v>1.0680821011701154</v>
      </c>
    </row>
    <row r="144" spans="1:17" s="26" customFormat="1" ht="12.75" customHeight="1" x14ac:dyDescent="0.2">
      <c r="A144" s="26">
        <v>38412</v>
      </c>
      <c r="B144" s="33">
        <f t="shared" si="12"/>
        <v>33.555396960000003</v>
      </c>
      <c r="C144" s="33">
        <f t="shared" si="12"/>
        <v>40.591206000000007</v>
      </c>
      <c r="D144" s="33"/>
      <c r="E144" s="33"/>
      <c r="F144" s="33">
        <f ca="1">$C$16*external_curves!K74</f>
        <v>54.98057916692602</v>
      </c>
      <c r="G144" s="33">
        <f ca="1">IF(swap_model!$B$37="Y",swap_model!B97,((F144*external_curves!AI74)+(Fwd_curves!B144*external_curves!AL74)+(Fwd_curves!C144*external_curves!AM74))/(external_curves!AH74))</f>
        <v>45.968491567296745</v>
      </c>
      <c r="H144" s="14">
        <f ca="1">external_curves!O74</f>
        <v>0.75147331680682661</v>
      </c>
      <c r="I144" s="15">
        <f t="shared" ca="1" si="4"/>
        <v>20.093860503474932</v>
      </c>
      <c r="J144" s="33">
        <f t="shared" ca="1" si="7"/>
        <v>25.215985450300909</v>
      </c>
      <c r="K144" s="33">
        <f t="shared" ca="1" si="8"/>
        <v>30.503208206009166</v>
      </c>
      <c r="L144" s="33">
        <f t="shared" ca="1" si="9"/>
        <v>41.316438186530206</v>
      </c>
      <c r="M144" s="33">
        <f t="shared" ca="1" si="10"/>
        <v>34.544094826683121</v>
      </c>
      <c r="N144" s="33">
        <f ca="1">H144*external_curves!K74</f>
        <v>2.7361879593728617</v>
      </c>
      <c r="O144" s="33">
        <f ca="1">H144*external_curves!Q74</f>
        <v>21.247170953131153</v>
      </c>
      <c r="P144" s="33">
        <f ca="1">H144*external_curves!S74</f>
        <v>20.044878080648868</v>
      </c>
      <c r="Q144" s="14">
        <f ca="1">H144*external_curves!M74</f>
        <v>1.0623585476565578</v>
      </c>
    </row>
    <row r="145" spans="1:17" s="26" customFormat="1" ht="12.75" customHeight="1" x14ac:dyDescent="0.2">
      <c r="A145" s="26">
        <v>38443</v>
      </c>
      <c r="B145" s="33">
        <f t="shared" si="12"/>
        <v>31.931748720000002</v>
      </c>
      <c r="C145" s="33">
        <f t="shared" si="12"/>
        <v>40.591206000000007</v>
      </c>
      <c r="D145" s="33"/>
      <c r="E145" s="33"/>
      <c r="F145" s="33">
        <f ca="1">$C$16*external_curves!K75</f>
        <v>51.368409065761753</v>
      </c>
      <c r="G145" s="33">
        <f ca="1">IF(swap_model!$B$37="Y",swap_model!B98,((F145*external_curves!AI75)+(Fwd_curves!B145*external_curves!AL75)+(Fwd_curves!C145*external_curves!AM75))/(external_curves!AH75))</f>
        <v>43.600027398688823</v>
      </c>
      <c r="H145" s="14">
        <f ca="1">external_curves!O75</f>
        <v>0.74758264782558725</v>
      </c>
      <c r="I145" s="15">
        <f t="shared" ca="1" si="4"/>
        <v>20.198435643095429</v>
      </c>
      <c r="J145" s="33">
        <f t="shared" ca="1" si="7"/>
        <v>23.871621257798907</v>
      </c>
      <c r="K145" s="33">
        <f t="shared" ca="1" si="8"/>
        <v>30.345281259913868</v>
      </c>
      <c r="L145" s="33">
        <f t="shared" ca="1" si="9"/>
        <v>38.40213126397007</v>
      </c>
      <c r="M145" s="33">
        <f t="shared" ca="1" si="10"/>
        <v>32.594623927979939</v>
      </c>
      <c r="N145" s="33">
        <f ca="1">H145*external_curves!K75</f>
        <v>2.5431875009251703</v>
      </c>
      <c r="O145" s="33">
        <f ca="1">H145*external_curves!Q75</f>
        <v>20.857128829979381</v>
      </c>
      <c r="P145" s="33">
        <f ca="1">H145*external_curves!S75</f>
        <v>17.36775171116853</v>
      </c>
      <c r="Q145" s="14">
        <f ca="1">H145*external_curves!M75</f>
        <v>1.0560571559483232</v>
      </c>
    </row>
    <row r="146" spans="1:17" s="26" customFormat="1" ht="12.75" customHeight="1" x14ac:dyDescent="0.2">
      <c r="A146" s="26">
        <v>38473</v>
      </c>
      <c r="B146" s="33">
        <f t="shared" si="12"/>
        <v>34.637829119999999</v>
      </c>
      <c r="C146" s="33">
        <f t="shared" si="12"/>
        <v>40.591206000000007</v>
      </c>
      <c r="D146" s="33"/>
      <c r="E146" s="33"/>
      <c r="F146" s="33">
        <f ca="1">$C$16*external_curves!K76</f>
        <v>50.860139804755917</v>
      </c>
      <c r="G146" s="33">
        <f ca="1">IF(swap_model!$B$37="Y",swap_model!B99,((F146*external_curves!AI76)+(Fwd_curves!B146*external_curves!AL76)+(Fwd_curves!C146*external_curves!AM76))/(external_curves!AH76))</f>
        <v>44.041300581174845</v>
      </c>
      <c r="H146" s="14">
        <f ca="1">external_curves!O76</f>
        <v>0.74383592994198322</v>
      </c>
      <c r="I146" s="15">
        <f t="shared" ca="1" si="4"/>
        <v>20.300175606168622</v>
      </c>
      <c r="J146" s="33">
        <f t="shared" ref="J146:J177" ca="1" si="13">$H146*B146</f>
        <v>25.764861834646705</v>
      </c>
      <c r="K146" s="33">
        <f t="shared" ref="K146:K177" ca="1" si="14">$H146*C146</f>
        <v>30.193197462476615</v>
      </c>
      <c r="L146" s="33">
        <f t="shared" ref="L146:L177" ca="1" si="15">$H146*F146</f>
        <v>37.831599388649892</v>
      </c>
      <c r="M146" s="33">
        <f t="shared" ref="M146:M209" ca="1" si="16">$H146*G146</f>
        <v>32.759501773652595</v>
      </c>
      <c r="N146" s="33">
        <f ca="1">H146*external_curves!K76</f>
        <v>2.5054039330231719</v>
      </c>
      <c r="O146" s="33">
        <f ca="1">H146*external_curves!Q76</f>
        <v>20.212389449586301</v>
      </c>
      <c r="P146" s="33">
        <f ca="1">H146*external_curves!S76</f>
        <v>13.727545885778937</v>
      </c>
      <c r="Q146" s="14">
        <f ca="1">H146*external_curves!M76</f>
        <v>1.0499942571213663</v>
      </c>
    </row>
    <row r="147" spans="1:17" s="26" customFormat="1" ht="12.75" customHeight="1" x14ac:dyDescent="0.2">
      <c r="A147" s="26">
        <v>38504</v>
      </c>
      <c r="B147" s="33">
        <f t="shared" si="12"/>
        <v>34.637829119999999</v>
      </c>
      <c r="C147" s="33">
        <f t="shared" si="12"/>
        <v>40.591206000000007</v>
      </c>
      <c r="D147" s="33"/>
      <c r="E147" s="33"/>
      <c r="F147" s="33">
        <f ca="1">$C$16*external_curves!K77</f>
        <v>50.953582790981237</v>
      </c>
      <c r="G147" s="33">
        <f ca="1">IF(swap_model!$B$37="Y",swap_model!B100,((F147*external_curves!AI77)+(Fwd_curves!B147*external_curves!AL77)+(Fwd_curves!C147*external_curves!AM77))/(external_curves!AH77))</f>
        <v>44.201986971590827</v>
      </c>
      <c r="H147" s="14">
        <f ca="1">external_curves!O77</f>
        <v>0.73998329212451386</v>
      </c>
      <c r="I147" s="15">
        <f t="shared" ca="1" si="4"/>
        <v>20.40586613333857</v>
      </c>
      <c r="J147" s="33">
        <f t="shared" ca="1" si="13"/>
        <v>25.631414824263953</v>
      </c>
      <c r="K147" s="33">
        <f t="shared" ca="1" si="14"/>
        <v>30.036814247184324</v>
      </c>
      <c r="L147" s="33">
        <f t="shared" ca="1" si="15"/>
        <v>37.704799939209273</v>
      </c>
      <c r="M147" s="33">
        <f t="shared" ca="1" si="16"/>
        <v>32.708731837682649</v>
      </c>
      <c r="N147" s="33">
        <f ca="1">H147*external_curves!K77</f>
        <v>2.4970066184906803</v>
      </c>
      <c r="O147" s="33">
        <f ca="1">H147*external_curves!Q77</f>
        <v>21.136250338510362</v>
      </c>
      <c r="P147" s="33">
        <f ca="1">H147*external_curves!S77</f>
        <v>14.734488919109692</v>
      </c>
      <c r="Q147" s="14">
        <f ca="1">H147*external_curves!M77</f>
        <v>1.0437654488153265</v>
      </c>
    </row>
    <row r="148" spans="1:17" s="26" customFormat="1" ht="12.75" customHeight="1" x14ac:dyDescent="0.2">
      <c r="A148" s="26">
        <v>38534</v>
      </c>
      <c r="B148" s="33">
        <f t="shared" si="12"/>
        <v>32.472964800000007</v>
      </c>
      <c r="C148" s="33">
        <f t="shared" si="12"/>
        <v>41.348908512000008</v>
      </c>
      <c r="D148" s="33"/>
      <c r="E148" s="33"/>
      <c r="F148" s="33">
        <f ca="1">$C$16*external_curves!K78</f>
        <v>52.156007317657178</v>
      </c>
      <c r="G148" s="33">
        <f ca="1">IF(swap_model!$B$37="Y",swap_model!B101,((F148*external_curves!AI78)+(Fwd_curves!B148*external_curves!AL78)+(Fwd_curves!C148*external_curves!AM78))/(external_curves!AH78))</f>
        <v>44.225288424748413</v>
      </c>
      <c r="H148" s="14">
        <f ca="1">external_curves!O78</f>
        <v>0.73626133071794209</v>
      </c>
      <c r="I148" s="15">
        <f t="shared" ca="1" si="4"/>
        <v>20.509022231652054</v>
      </c>
      <c r="J148" s="33">
        <f t="shared" ca="1" si="13"/>
        <v>23.908588276004899</v>
      </c>
      <c r="K148" s="33">
        <f t="shared" ca="1" si="14"/>
        <v>30.443602404779568</v>
      </c>
      <c r="L148" s="33">
        <f t="shared" ca="1" si="15"/>
        <v>38.400451352632999</v>
      </c>
      <c r="M148" s="33">
        <f t="shared" ca="1" si="16"/>
        <v>32.561369706990071</v>
      </c>
      <c r="N148" s="33">
        <f ca="1">H148*external_curves!K78</f>
        <v>2.5430762485187417</v>
      </c>
      <c r="O148" s="33">
        <f ca="1">H148*external_curves!Q78</f>
        <v>51.471220957041197</v>
      </c>
      <c r="P148" s="33">
        <f ca="1">H148*external_curves!S78</f>
        <v>36.128982631075452</v>
      </c>
      <c r="Q148" s="14">
        <f ca="1">H148*external_curves!M78</f>
        <v>1.0377262289726048</v>
      </c>
    </row>
    <row r="149" spans="1:17" s="26" customFormat="1" ht="12.75" customHeight="1" x14ac:dyDescent="0.2">
      <c r="A149" s="26">
        <v>38565</v>
      </c>
      <c r="B149" s="33">
        <f t="shared" si="12"/>
        <v>32.472964800000007</v>
      </c>
      <c r="C149" s="33">
        <f t="shared" si="12"/>
        <v>43.557070118399999</v>
      </c>
      <c r="D149" s="33"/>
      <c r="E149" s="33"/>
      <c r="F149" s="33">
        <f ca="1">$C$16*external_curves!K79</f>
        <v>51.954802844254303</v>
      </c>
      <c r="G149" s="33">
        <f ca="1">IF(swap_model!$B$37="Y",swap_model!B102,((F149*external_curves!AI79)+(Fwd_curves!B149*external_curves!AL79)+(Fwd_curves!C149*external_curves!AM79))/(external_curves!AH79))</f>
        <v>44.969557033089231</v>
      </c>
      <c r="H149" s="14">
        <f ca="1">external_curves!O79</f>
        <v>0.73242295614959174</v>
      </c>
      <c r="I149" s="15">
        <f t="shared" ref="I149:I212" ca="1" si="17">F149/N149</f>
        <v>20.616502900703651</v>
      </c>
      <c r="J149" s="33">
        <f t="shared" ca="1" si="13"/>
        <v>23.78394487375764</v>
      </c>
      <c r="K149" s="33">
        <f t="shared" ca="1" si="14"/>
        <v>31.902198057333575</v>
      </c>
      <c r="L149" s="33">
        <f t="shared" ca="1" si="15"/>
        <v>38.052890285357954</v>
      </c>
      <c r="M149" s="33">
        <f t="shared" ca="1" si="16"/>
        <v>32.936735898912879</v>
      </c>
      <c r="N149" s="33">
        <f ca="1">H149*external_curves!K79</f>
        <v>2.5200589592952287</v>
      </c>
      <c r="O149" s="33">
        <f ca="1">H149*external_curves!Q79</f>
        <v>65.083656882292502</v>
      </c>
      <c r="P149" s="33">
        <f ca="1">H149*external_curves!S79</f>
        <v>49.137146145489297</v>
      </c>
      <c r="Q149" s="14">
        <f ca="1">H149*external_curves!M79</f>
        <v>1.0314367176274564</v>
      </c>
    </row>
    <row r="150" spans="1:17" s="26" customFormat="1" ht="12.75" customHeight="1" x14ac:dyDescent="0.2">
      <c r="A150" s="26">
        <v>38596</v>
      </c>
      <c r="B150" s="33">
        <f t="shared" si="12"/>
        <v>32.472964800000007</v>
      </c>
      <c r="C150" s="33">
        <f t="shared" si="12"/>
        <v>43.557070118399999</v>
      </c>
      <c r="D150" s="33"/>
      <c r="E150" s="33"/>
      <c r="F150" s="33">
        <f ca="1">$C$16*external_curves!K80</f>
        <v>51.673817939571308</v>
      </c>
      <c r="G150" s="33">
        <f ca="1">IF(swap_model!$B$37="Y",swap_model!B103,((F150*external_curves!AI80)+(Fwd_curves!B150*external_curves!AL80)+(Fwd_curves!C150*external_curves!AM80))/(external_curves!AH80))</f>
        <v>44.815809975363749</v>
      </c>
      <c r="H150" s="14">
        <f ca="1">external_curves!O80</f>
        <v>0.72860306886812698</v>
      </c>
      <c r="I150" s="15">
        <f t="shared" ca="1" si="17"/>
        <v>20.724590171514929</v>
      </c>
      <c r="J150" s="33">
        <f t="shared" ca="1" si="13"/>
        <v>23.659901808526669</v>
      </c>
      <c r="K150" s="33">
        <f t="shared" ca="1" si="14"/>
        <v>31.73581495917043</v>
      </c>
      <c r="L150" s="33">
        <f t="shared" ca="1" si="15"/>
        <v>37.649702330904532</v>
      </c>
      <c r="M150" s="33">
        <f t="shared" ca="1" si="16"/>
        <v>32.652936681860844</v>
      </c>
      <c r="N150" s="33">
        <f ca="1">H150*external_curves!K80</f>
        <v>2.4933577702585783</v>
      </c>
      <c r="O150" s="33">
        <f ca="1">H150*external_curves!Q80</f>
        <v>51.771620684545233</v>
      </c>
      <c r="P150" s="33">
        <f ca="1">H150*external_curves!S80</f>
        <v>39.492235184448489</v>
      </c>
      <c r="Q150" s="14">
        <f ca="1">H150*external_curves!M80</f>
        <v>1.0251806076147572</v>
      </c>
    </row>
    <row r="151" spans="1:17" s="26" customFormat="1" ht="12.75" customHeight="1" x14ac:dyDescent="0.2">
      <c r="A151" s="26">
        <v>38626</v>
      </c>
      <c r="B151" s="33">
        <f t="shared" si="12"/>
        <v>32.472964800000007</v>
      </c>
      <c r="C151" s="33">
        <f t="shared" si="12"/>
        <v>43.297286400000004</v>
      </c>
      <c r="D151" s="33"/>
      <c r="E151" s="33"/>
      <c r="F151" s="33">
        <f ca="1">$C$16*external_curves!K81</f>
        <v>51.955115780742453</v>
      </c>
      <c r="G151" s="33">
        <f ca="1">IF(swap_model!$B$37="Y",swap_model!B104,((F151*external_curves!AI81)+(Fwd_curves!B151*external_curves!AL81)+(Fwd_curves!C151*external_curves!AM81))/(external_curves!AH81))</f>
        <v>44.763072210657889</v>
      </c>
      <c r="H151" s="14">
        <f ca="1">external_curves!O81</f>
        <v>0.72492393033071179</v>
      </c>
      <c r="I151" s="15">
        <f t="shared" ca="1" si="17"/>
        <v>20.829771743238425</v>
      </c>
      <c r="J151" s="33">
        <f t="shared" ca="1" si="13"/>
        <v>23.540429272306863</v>
      </c>
      <c r="K151" s="33">
        <f t="shared" ca="1" si="14"/>
        <v>31.387239029742478</v>
      </c>
      <c r="L151" s="33">
        <f t="shared" ca="1" si="15"/>
        <v>37.663506732563008</v>
      </c>
      <c r="M151" s="33">
        <f t="shared" ca="1" si="16"/>
        <v>32.449822240627583</v>
      </c>
      <c r="N151" s="33">
        <f ca="1">H151*external_curves!K81</f>
        <v>2.4942719690439077</v>
      </c>
      <c r="O151" s="33">
        <f ca="1">H151*external_curves!Q81</f>
        <v>35.415739578458471</v>
      </c>
      <c r="P151" s="33">
        <f ca="1">H151*external_curves!S81</f>
        <v>30.067899889655891</v>
      </c>
      <c r="Q151" s="14">
        <f ca="1">H151*external_curves!M81</f>
        <v>1.0191579734808192</v>
      </c>
    </row>
    <row r="152" spans="1:17" s="26" customFormat="1" ht="12.75" customHeight="1" x14ac:dyDescent="0.2">
      <c r="A152" s="26">
        <v>38657</v>
      </c>
      <c r="B152" s="33">
        <f t="shared" si="12"/>
        <v>35.72026128000001</v>
      </c>
      <c r="C152" s="33">
        <f t="shared" si="12"/>
        <v>43.297286400000004</v>
      </c>
      <c r="D152" s="33"/>
      <c r="E152" s="33"/>
      <c r="F152" s="33">
        <f ca="1">$C$16*external_curves!K82</f>
        <v>53.274790945348748</v>
      </c>
      <c r="G152" s="33">
        <f ca="1">IF(swap_model!$B$37="Y",swap_model!B105,((F152*external_curves!AI82)+(Fwd_curves!B152*external_curves!AL82)+(Fwd_curves!C152*external_curves!AM82))/(external_curves!AH82))</f>
        <v>46.323015815059392</v>
      </c>
      <c r="H152" s="14">
        <f ca="1">external_curves!O82</f>
        <v>0.72114018661643298</v>
      </c>
      <c r="I152" s="15">
        <f t="shared" ca="1" si="17"/>
        <v>20.939063278179965</v>
      </c>
      <c r="J152" s="33">
        <f t="shared" ca="1" si="13"/>
        <v>25.759315885446952</v>
      </c>
      <c r="K152" s="33">
        <f t="shared" ca="1" si="14"/>
        <v>31.22341319448115</v>
      </c>
      <c r="L152" s="33">
        <f t="shared" ca="1" si="15"/>
        <v>38.418592684280249</v>
      </c>
      <c r="M152" s="33">
        <f t="shared" ca="1" si="16"/>
        <v>33.40538826950791</v>
      </c>
      <c r="N152" s="33">
        <f ca="1">H152*external_curves!K82</f>
        <v>2.5442776612106126</v>
      </c>
      <c r="O152" s="33">
        <f ca="1">H152*external_curves!Q82</f>
        <v>31.148740339080653</v>
      </c>
      <c r="P152" s="33">
        <f ca="1">H152*external_curves!S82</f>
        <v>26.788760830913944</v>
      </c>
      <c r="Q152" s="14">
        <f ca="1">H152*external_curves!M82</f>
        <v>1.0129671654985579</v>
      </c>
    </row>
    <row r="153" spans="1:17" s="26" customFormat="1" ht="12.75" customHeight="1" x14ac:dyDescent="0.2">
      <c r="A153" s="26">
        <v>38687</v>
      </c>
      <c r="B153" s="33">
        <f t="shared" si="12"/>
        <v>35.72026128000001</v>
      </c>
      <c r="C153" s="33">
        <f t="shared" si="12"/>
        <v>43.297286400000004</v>
      </c>
      <c r="D153" s="33"/>
      <c r="E153" s="33"/>
      <c r="F153" s="33">
        <f ca="1">$C$16*external_curves!K83</f>
        <v>55.113383704588372</v>
      </c>
      <c r="G153" s="33">
        <f ca="1">IF(swap_model!$B$37="Y",swap_model!B106,((F153*external_curves!AI83)+(Fwd_curves!B153*external_curves!AL83)+(Fwd_curves!C153*external_curves!AM83))/(external_curves!AH83))</f>
        <v>47.095283483461174</v>
      </c>
      <c r="H153" s="14">
        <f ca="1">external_curves!O83</f>
        <v>0.71749587581991392</v>
      </c>
      <c r="I153" s="15">
        <f t="shared" ca="1" si="17"/>
        <v>21.04541713601429</v>
      </c>
      <c r="J153" s="33">
        <f t="shared" ca="1" si="13"/>
        <v>25.629140151609768</v>
      </c>
      <c r="K153" s="33">
        <f t="shared" ca="1" si="14"/>
        <v>31.065624426193651</v>
      </c>
      <c r="L153" s="33">
        <f t="shared" ca="1" si="15"/>
        <v>39.54362551052261</v>
      </c>
      <c r="M153" s="33">
        <f t="shared" ca="1" si="16"/>
        <v>33.790671669953099</v>
      </c>
      <c r="N153" s="33">
        <f ca="1">H153*external_curves!K83</f>
        <v>2.618783146392226</v>
      </c>
      <c r="O153" s="33">
        <f ca="1">H153*external_curves!Q83</f>
        <v>30.965479279816797</v>
      </c>
      <c r="P153" s="33">
        <f ca="1">H153*external_curves!S83</f>
        <v>25.730123311011337</v>
      </c>
      <c r="Q153" s="14">
        <f ca="1">H153*external_curves!M83</f>
        <v>1.0070074562542048</v>
      </c>
    </row>
    <row r="154" spans="1:17" s="26" customFormat="1" ht="12.75" customHeight="1" x14ac:dyDescent="0.2">
      <c r="A154" s="26">
        <v>38718</v>
      </c>
      <c r="B154" s="33">
        <f t="shared" si="12"/>
        <v>36.434666505600013</v>
      </c>
      <c r="C154" s="33">
        <f t="shared" si="12"/>
        <v>42.507110923200003</v>
      </c>
      <c r="D154" s="33"/>
      <c r="E154" s="33"/>
      <c r="F154" s="33">
        <f ca="1">$C$16*external_curves!K84</f>
        <v>58.4255087728015</v>
      </c>
      <c r="G154" s="33">
        <f ca="1">IF(swap_model!$B$37="Y",swap_model!B107,((F154*external_curves!AI84)+(Fwd_curves!B154*external_curves!AL84)+(Fwd_curves!C154*external_curves!AM84))/(external_curves!AH84))</f>
        <v>48.324867664207133</v>
      </c>
      <c r="H154" s="14">
        <f ca="1">external_curves!O84</f>
        <v>0.71374796644949101</v>
      </c>
      <c r="I154" s="15">
        <f t="shared" ca="1" si="17"/>
        <v>21.155927175686834</v>
      </c>
      <c r="J154" s="33">
        <f t="shared" ca="1" si="13"/>
        <v>26.005169126637391</v>
      </c>
      <c r="K154" s="33">
        <f t="shared" ca="1" si="14"/>
        <v>30.33936398107695</v>
      </c>
      <c r="L154" s="33">
        <f t="shared" ca="1" si="15"/>
        <v>41.70108807536397</v>
      </c>
      <c r="M154" s="33">
        <f t="shared" ca="1" si="16"/>
        <v>34.491776024268603</v>
      </c>
      <c r="N154" s="33">
        <f ca="1">H154*external_curves!K84</f>
        <v>2.7616614619446334</v>
      </c>
      <c r="O154" s="33">
        <f ca="1">H154*external_curves!Q84</f>
        <v>32.12829267737299</v>
      </c>
      <c r="P154" s="33">
        <f ca="1">H154*external_curves!S84</f>
        <v>28.72744837829087</v>
      </c>
      <c r="Q154" s="14">
        <f ca="1">H154*external_curves!M84</f>
        <v>1.0008813918184734</v>
      </c>
    </row>
    <row r="155" spans="1:17" s="26" customFormat="1" ht="12.75" customHeight="1" x14ac:dyDescent="0.2">
      <c r="A155" s="26">
        <v>38749</v>
      </c>
      <c r="B155" s="33">
        <f t="shared" si="12"/>
        <v>33.12242409600001</v>
      </c>
      <c r="C155" s="33">
        <f t="shared" si="12"/>
        <v>41.403030120000011</v>
      </c>
      <c r="D155" s="33"/>
      <c r="E155" s="33"/>
      <c r="F155" s="33">
        <f ca="1">$C$16*external_curves!K85</f>
        <v>56.125206724246702</v>
      </c>
      <c r="G155" s="33">
        <f ca="1">IF(swap_model!$B$37="Y",swap_model!B108,((F155*external_curves!AI85)+(Fwd_curves!B155*external_curves!AL85)+(Fwd_curves!C155*external_curves!AM85))/(external_curves!AH85))</f>
        <v>46.442017544879384</v>
      </c>
      <c r="H155" s="14">
        <f ca="1">external_curves!O85</f>
        <v>0.71001815020883763</v>
      </c>
      <c r="I155" s="15">
        <f t="shared" ca="1" si="17"/>
        <v>21.267061969554774</v>
      </c>
      <c r="J155" s="33">
        <f t="shared" ca="1" si="13"/>
        <v>23.517522287074559</v>
      </c>
      <c r="K155" s="33">
        <f t="shared" ca="1" si="14"/>
        <v>29.396902858843198</v>
      </c>
      <c r="L155" s="33">
        <f t="shared" ca="1" si="15"/>
        <v>39.849915458438261</v>
      </c>
      <c r="M155" s="33">
        <f t="shared" ca="1" si="16"/>
        <v>32.974675389181641</v>
      </c>
      <c r="N155" s="33">
        <f ca="1">H155*external_curves!K85</f>
        <v>2.6390672489031961</v>
      </c>
      <c r="O155" s="33">
        <f ca="1">H155*external_curves!Q85</f>
        <v>30.440513315304617</v>
      </c>
      <c r="P155" s="33">
        <f ca="1">H155*external_curves!S85</f>
        <v>28.029336645916185</v>
      </c>
      <c r="Q155" s="14">
        <f ca="1">H155*external_curves!M85</f>
        <v>0.99478801684002005</v>
      </c>
    </row>
    <row r="156" spans="1:17" s="26" customFormat="1" ht="12.75" customHeight="1" x14ac:dyDescent="0.2">
      <c r="A156" s="26">
        <v>38777</v>
      </c>
      <c r="B156" s="33">
        <f t="shared" si="12"/>
        <v>34.226504899200002</v>
      </c>
      <c r="C156" s="33">
        <f t="shared" si="12"/>
        <v>41.403030120000011</v>
      </c>
      <c r="D156" s="33"/>
      <c r="E156" s="33"/>
      <c r="F156" s="33">
        <f ca="1">$C$16*external_curves!K86</f>
        <v>53.53357009453719</v>
      </c>
      <c r="G156" s="33">
        <f ca="1">IF(swap_model!$B$37="Y",swap_model!B109,((F156*external_curves!AI86)+(Fwd_curves!B156*external_curves!AL86)+(Fwd_curves!C156*external_curves!AM86))/(external_curves!AH86))</f>
        <v>45.628242579680766</v>
      </c>
      <c r="H156" s="14">
        <f ca="1">external_curves!O86</f>
        <v>0.70666476966801617</v>
      </c>
      <c r="I156" s="15">
        <f t="shared" ca="1" si="17"/>
        <v>21.367981889197367</v>
      </c>
      <c r="J156" s="33">
        <f t="shared" ca="1" si="13"/>
        <v>24.186665201134396</v>
      </c>
      <c r="K156" s="33">
        <f t="shared" ca="1" si="14"/>
        <v>29.258062743307743</v>
      </c>
      <c r="L156" s="33">
        <f t="shared" ca="1" si="15"/>
        <v>37.830287980362719</v>
      </c>
      <c r="M156" s="33">
        <f t="shared" ca="1" si="16"/>
        <v>32.243871532926477</v>
      </c>
      <c r="N156" s="33">
        <f ca="1">H156*external_curves!K86</f>
        <v>2.5053170847922335</v>
      </c>
      <c r="O156" s="33">
        <f ca="1">H156*external_curves!Q86</f>
        <v>28.54165990264265</v>
      </c>
      <c r="P156" s="33">
        <f ca="1">H156*external_curves!S86</f>
        <v>25.677441222861606</v>
      </c>
      <c r="Q156" s="14">
        <f ca="1">H156*external_curves!M86</f>
        <v>0.98931230165139161</v>
      </c>
    </row>
    <row r="157" spans="1:17" s="26" customFormat="1" ht="12.75" customHeight="1" x14ac:dyDescent="0.2">
      <c r="A157" s="26">
        <v>38808</v>
      </c>
      <c r="B157" s="33">
        <f t="shared" si="12"/>
        <v>32.5703836944</v>
      </c>
      <c r="C157" s="33">
        <f t="shared" si="12"/>
        <v>41.403030120000011</v>
      </c>
      <c r="D157" s="33"/>
      <c r="E157" s="33"/>
      <c r="F157" s="33">
        <f ca="1">$C$16*external_curves!K87</f>
        <v>49.925793440206135</v>
      </c>
      <c r="G157" s="33">
        <f ca="1">IF(swap_model!$B$37="Y",swap_model!B110,((F157*external_curves!AI87)+(Fwd_curves!B157*external_curves!AL87)+(Fwd_curves!C157*external_curves!AM87))/(external_curves!AH87))</f>
        <v>43.319368836789536</v>
      </c>
      <c r="H157" s="14">
        <f ca="1">external_curves!O87</f>
        <v>0.70296917082369159</v>
      </c>
      <c r="I157" s="15">
        <f t="shared" ca="1" si="17"/>
        <v>21.480316103061597</v>
      </c>
      <c r="J157" s="33">
        <f t="shared" ca="1" si="13"/>
        <v>22.895975619061854</v>
      </c>
      <c r="K157" s="33">
        <f t="shared" ca="1" si="14"/>
        <v>29.105053753044736</v>
      </c>
      <c r="L157" s="33">
        <f t="shared" ca="1" si="15"/>
        <v>35.09629361737661</v>
      </c>
      <c r="M157" s="33">
        <f t="shared" ca="1" si="16"/>
        <v>30.452180791803606</v>
      </c>
      <c r="N157" s="33">
        <f ca="1">H157*external_curves!K87</f>
        <v>2.3242578554554045</v>
      </c>
      <c r="O157" s="33">
        <f ca="1">H157*external_curves!Q87</f>
        <v>26.89272844146301</v>
      </c>
      <c r="P157" s="33">
        <f ca="1">H157*external_curves!S87</f>
        <v>22.672826159201527</v>
      </c>
      <c r="Q157" s="14">
        <f ca="1">H157*external_curves!M87</f>
        <v>0.98328074740266946</v>
      </c>
    </row>
    <row r="158" spans="1:17" s="26" customFormat="1" ht="12.75" customHeight="1" x14ac:dyDescent="0.2">
      <c r="A158" s="26">
        <v>38838</v>
      </c>
      <c r="B158" s="33">
        <f t="shared" ref="B158:C173" si="18">B146*(1+$B$22)</f>
        <v>35.330585702400001</v>
      </c>
      <c r="C158" s="33">
        <f t="shared" si="18"/>
        <v>41.403030120000011</v>
      </c>
      <c r="D158" s="33"/>
      <c r="E158" s="33"/>
      <c r="F158" s="33">
        <f ca="1">$C$16*external_curves!K88</f>
        <v>49.450577570107619</v>
      </c>
      <c r="G158" s="33">
        <f ca="1">IF(swap_model!$B$37="Y",swap_model!B111,((F158*external_curves!AI88)+(Fwd_curves!B158*external_curves!AL88)+(Fwd_curves!C158*external_curves!AM88))/(external_curves!AH88))</f>
        <v>43.773979696532642</v>
      </c>
      <c r="H158" s="14">
        <f ca="1">external_curves!O88</f>
        <v>0.69940979521885227</v>
      </c>
      <c r="I158" s="15">
        <f t="shared" ca="1" si="17"/>
        <v>21.589631862783762</v>
      </c>
      <c r="J158" s="33">
        <f t="shared" ca="1" si="13"/>
        <v>24.710557711077694</v>
      </c>
      <c r="K158" s="33">
        <f t="shared" ca="1" si="14"/>
        <v>28.957684817669179</v>
      </c>
      <c r="L158" s="33">
        <f t="shared" ca="1" si="15"/>
        <v>34.586218331762936</v>
      </c>
      <c r="M158" s="33">
        <f t="shared" ca="1" si="16"/>
        <v>30.615950175466093</v>
      </c>
      <c r="N158" s="33">
        <f ca="1">H158*external_curves!K88</f>
        <v>2.2904780352160889</v>
      </c>
      <c r="O158" s="33">
        <f ca="1">H158*external_curves!Q88</f>
        <v>25.75645284948553</v>
      </c>
      <c r="P158" s="33">
        <f ca="1">H158*external_curves!S88</f>
        <v>18.088270568910392</v>
      </c>
      <c r="Q158" s="14">
        <f ca="1">H158*external_curves!M88</f>
        <v>0.97747449144157605</v>
      </c>
    </row>
    <row r="159" spans="1:17" s="26" customFormat="1" ht="12.75" customHeight="1" x14ac:dyDescent="0.2">
      <c r="A159" s="26">
        <v>38869</v>
      </c>
      <c r="B159" s="33">
        <f t="shared" si="18"/>
        <v>35.330585702400001</v>
      </c>
      <c r="C159" s="33">
        <f t="shared" si="18"/>
        <v>41.403030120000011</v>
      </c>
      <c r="D159" s="33"/>
      <c r="E159" s="33"/>
      <c r="F159" s="33">
        <f ca="1">$C$16*external_curves!K89</f>
        <v>49.571681822233629</v>
      </c>
      <c r="G159" s="33">
        <f ca="1">IF(swap_model!$B$37="Y",swap_model!B112,((F159*external_curves!AI89)+(Fwd_curves!B159*external_curves!AL89)+(Fwd_curves!C159*external_curves!AM89))/(external_curves!AH89))</f>
        <v>43.912217872345337</v>
      </c>
      <c r="H159" s="14">
        <f ca="1">external_curves!O89</f>
        <v>0.69574927512860774</v>
      </c>
      <c r="I159" s="15">
        <f t="shared" ca="1" si="17"/>
        <v>21.703220599416074</v>
      </c>
      <c r="J159" s="33">
        <f t="shared" ca="1" si="13"/>
        <v>24.581229392313954</v>
      </c>
      <c r="K159" s="33">
        <f t="shared" ca="1" si="14"/>
        <v>28.806128194117921</v>
      </c>
      <c r="L159" s="33">
        <f t="shared" ca="1" si="15"/>
        <v>34.48946169472503</v>
      </c>
      <c r="M159" s="33">
        <f t="shared" ca="1" si="16"/>
        <v>30.551893753973761</v>
      </c>
      <c r="N159" s="33">
        <f ca="1">H159*external_curves!K89</f>
        <v>2.284070310908942</v>
      </c>
      <c r="O159" s="33">
        <f ca="1">H159*external_curves!Q89</f>
        <v>26.327821056590221</v>
      </c>
      <c r="P159" s="33">
        <f ca="1">H159*external_curves!S89</f>
        <v>19.395583794375277</v>
      </c>
      <c r="Q159" s="14">
        <f ca="1">H159*external_curves!M89</f>
        <v>0.97150631205129956</v>
      </c>
    </row>
    <row r="160" spans="1:17" s="26" customFormat="1" ht="12.75" customHeight="1" x14ac:dyDescent="0.2">
      <c r="A160" s="26">
        <v>38899</v>
      </c>
      <c r="B160" s="33">
        <f t="shared" si="18"/>
        <v>33.12242409600001</v>
      </c>
      <c r="C160" s="33">
        <f t="shared" si="18"/>
        <v>42.175886682240012</v>
      </c>
      <c r="D160" s="33"/>
      <c r="E160" s="33"/>
      <c r="F160" s="33">
        <f ca="1">$C$16*external_curves!K90</f>
        <v>50.76721360406848</v>
      </c>
      <c r="G160" s="33">
        <f ca="1">IF(swap_model!$B$37="Y",swap_model!B113,((F160*external_curves!AI90)+(Fwd_curves!B160*external_curves!AL90)+(Fwd_curves!C160*external_curves!AM90))/(external_curves!AH90))</f>
        <v>44.011510514559966</v>
      </c>
      <c r="H160" s="14">
        <f ca="1">external_curves!O90</f>
        <v>0.69222370064559857</v>
      </c>
      <c r="I160" s="15">
        <f t="shared" ca="1" si="17"/>
        <v>21.813757584314242</v>
      </c>
      <c r="J160" s="33">
        <f t="shared" ca="1" si="13"/>
        <v>22.928126982086074</v>
      </c>
      <c r="K160" s="33">
        <f t="shared" ca="1" si="14"/>
        <v>29.195148357189598</v>
      </c>
      <c r="L160" s="33">
        <f t="shared" ca="1" si="15"/>
        <v>35.142268472473859</v>
      </c>
      <c r="M160" s="33">
        <f t="shared" ca="1" si="16"/>
        <v>30.465810679391371</v>
      </c>
      <c r="N160" s="33">
        <f ca="1">H160*external_curves!K90</f>
        <v>2.3273025478459513</v>
      </c>
      <c r="O160" s="33">
        <f ca="1">H160*external_curves!Q90</f>
        <v>57.134427939984342</v>
      </c>
      <c r="P160" s="33">
        <f ca="1">H160*external_curves!S90</f>
        <v>41.131169048586884</v>
      </c>
      <c r="Q160" s="14">
        <f ca="1">H160*external_curves!M90</f>
        <v>0.96576112136552295</v>
      </c>
    </row>
    <row r="161" spans="1:17" s="26" customFormat="1" ht="12.75" customHeight="1" x14ac:dyDescent="0.2">
      <c r="A161" s="26">
        <v>38930</v>
      </c>
      <c r="B161" s="33">
        <f t="shared" si="18"/>
        <v>33.12242409600001</v>
      </c>
      <c r="C161" s="33">
        <f t="shared" si="18"/>
        <v>44.428211520768002</v>
      </c>
      <c r="D161" s="33"/>
      <c r="E161" s="33"/>
      <c r="F161" s="33">
        <f ca="1">$C$16*external_curves!K91</f>
        <v>50.569355002362201</v>
      </c>
      <c r="G161" s="33">
        <f ca="1">IF(swap_model!$B$37="Y",swap_model!B114,((F161*external_curves!AI91)+(Fwd_curves!B161*external_curves!AL91)+(Fwd_curves!C161*external_curves!AM91))/(external_curves!AH91))</f>
        <v>44.669711406613914</v>
      </c>
      <c r="H161" s="14">
        <f ca="1">external_curves!O91</f>
        <v>0.68859795802103141</v>
      </c>
      <c r="I161" s="15">
        <f t="shared" ca="1" si="17"/>
        <v>21.928615709805531</v>
      </c>
      <c r="J161" s="33">
        <f t="shared" ca="1" si="13"/>
        <v>22.808033597212216</v>
      </c>
      <c r="K161" s="33">
        <f t="shared" ca="1" si="14"/>
        <v>30.59317573172731</v>
      </c>
      <c r="L161" s="33">
        <f t="shared" ca="1" si="15"/>
        <v>34.82195459306724</v>
      </c>
      <c r="M161" s="33">
        <f t="shared" ca="1" si="16"/>
        <v>30.759472059983114</v>
      </c>
      <c r="N161" s="33">
        <f ca="1">H161*external_curves!K91</f>
        <v>2.3060897081501488</v>
      </c>
      <c r="O161" s="33">
        <f ca="1">H161*external_curves!Q91</f>
        <v>69.263192326538956</v>
      </c>
      <c r="P161" s="33">
        <f ca="1">H161*external_curves!S91</f>
        <v>51.218626332174892</v>
      </c>
      <c r="Q161" s="14">
        <f ca="1">H161*external_curves!M91</f>
        <v>0.95985576949194784</v>
      </c>
    </row>
    <row r="162" spans="1:17" s="26" customFormat="1" ht="12.75" customHeight="1" x14ac:dyDescent="0.2">
      <c r="A162" s="26">
        <v>38961</v>
      </c>
      <c r="B162" s="33">
        <f t="shared" si="18"/>
        <v>33.12242409600001</v>
      </c>
      <c r="C162" s="33">
        <f t="shared" si="18"/>
        <v>44.428211520768002</v>
      </c>
      <c r="D162" s="33"/>
      <c r="E162" s="33"/>
      <c r="F162" s="33">
        <f ca="1">$C$16*external_curves!K92</f>
        <v>50.272613185244929</v>
      </c>
      <c r="G162" s="33">
        <f ca="1">IF(swap_model!$B$37="Y",swap_model!B115,((F162*external_curves!AI92)+(Fwd_curves!B162*external_curves!AL92)+(Fwd_curves!C162*external_curves!AM92))/(external_curves!AH92))</f>
        <v>44.521837630680103</v>
      </c>
      <c r="H162" s="14">
        <f ca="1">external_curves!O92</f>
        <v>0.68498977445000409</v>
      </c>
      <c r="I162" s="15">
        <f t="shared" ca="1" si="17"/>
        <v>22.044124690947655</v>
      </c>
      <c r="J162" s="33">
        <f t="shared" ca="1" si="13"/>
        <v>22.688521810756427</v>
      </c>
      <c r="K162" s="33">
        <f t="shared" ca="1" si="14"/>
        <v>30.432870588827946</v>
      </c>
      <c r="L162" s="33">
        <f t="shared" ca="1" si="15"/>
        <v>34.436225966773222</v>
      </c>
      <c r="M162" s="33">
        <f t="shared" ca="1" si="16"/>
        <v>30.497003516739269</v>
      </c>
      <c r="N162" s="33">
        <f ca="1">H162*external_curves!K92</f>
        <v>2.2805447660114719</v>
      </c>
      <c r="O162" s="33">
        <f ca="1">H162*external_curves!Q92</f>
        <v>61.627246090733571</v>
      </c>
      <c r="P162" s="33">
        <f ca="1">H162*external_curves!S92</f>
        <v>44.610324715765614</v>
      </c>
      <c r="Q162" s="14">
        <f ca="1">H162*external_curves!M92</f>
        <v>0.95398213762745476</v>
      </c>
    </row>
    <row r="163" spans="1:17" s="26" customFormat="1" ht="12.75" customHeight="1" x14ac:dyDescent="0.2">
      <c r="A163" s="26">
        <v>38991</v>
      </c>
      <c r="B163" s="33">
        <f t="shared" si="18"/>
        <v>33.12242409600001</v>
      </c>
      <c r="C163" s="33">
        <f t="shared" si="18"/>
        <v>44.163232128000004</v>
      </c>
      <c r="D163" s="33"/>
      <c r="E163" s="33"/>
      <c r="F163" s="33">
        <f ca="1">$C$16*external_curves!K93</f>
        <v>50.532849498131426</v>
      </c>
      <c r="G163" s="33">
        <f ca="1">IF(swap_model!$B$37="Y",swap_model!B116,((F163*external_curves!AI93)+(Fwd_curves!B163*external_curves!AL93)+(Fwd_curves!C163*external_curves!AM93))/(external_curves!AH93))</f>
        <v>44.546747836317422</v>
      </c>
      <c r="H163" s="14">
        <f ca="1">external_curves!O93</f>
        <v>0.68151462998769208</v>
      </c>
      <c r="I163" s="15">
        <f t="shared" ca="1" si="17"/>
        <v>22.156530961444954</v>
      </c>
      <c r="J163" s="33">
        <f t="shared" ca="1" si="13"/>
        <v>22.573416602080862</v>
      </c>
      <c r="K163" s="33">
        <f t="shared" ca="1" si="14"/>
        <v>30.097888802774477</v>
      </c>
      <c r="L163" s="33">
        <f t="shared" ca="1" si="15"/>
        <v>34.438876227942771</v>
      </c>
      <c r="M163" s="33">
        <f t="shared" ca="1" si="16"/>
        <v>30.359260368822891</v>
      </c>
      <c r="N163" s="33">
        <f ca="1">H163*external_curves!K93</f>
        <v>2.2807202799962099</v>
      </c>
      <c r="O163" s="33">
        <f ca="1">H163*external_curves!Q93</f>
        <v>37.553790679430968</v>
      </c>
      <c r="P163" s="33">
        <f ca="1">H163*external_curves!S93</f>
        <v>31.943614512640497</v>
      </c>
      <c r="Q163" s="14">
        <f ca="1">H163*external_curves!M93</f>
        <v>0.94832804746037791</v>
      </c>
    </row>
    <row r="164" spans="1:17" s="26" customFormat="1" ht="12.75" customHeight="1" x14ac:dyDescent="0.2">
      <c r="A164" s="26">
        <v>39022</v>
      </c>
      <c r="B164" s="33">
        <f t="shared" si="18"/>
        <v>36.434666505600013</v>
      </c>
      <c r="C164" s="33">
        <f t="shared" si="18"/>
        <v>44.163232128000004</v>
      </c>
      <c r="D164" s="33"/>
      <c r="E164" s="33"/>
      <c r="F164" s="33">
        <f ca="1">$C$16*external_curves!K94</f>
        <v>56.634345760186164</v>
      </c>
      <c r="G164" s="33">
        <f ca="1">IF(swap_model!$B$37="Y",swap_model!B117,((F164*external_curves!AI94)+(Fwd_curves!B164*external_curves!AL94)+(Fwd_curves!C164*external_curves!AM94))/(external_curves!AH94))</f>
        <v>48.371016084926566</v>
      </c>
      <c r="H164" s="14">
        <f ca="1">external_curves!O94</f>
        <v>0.67794077373691519</v>
      </c>
      <c r="I164" s="15">
        <f t="shared" ca="1" si="17"/>
        <v>22.273332103579559</v>
      </c>
      <c r="J164" s="33">
        <f t="shared" ca="1" si="13"/>
        <v>24.700546001652942</v>
      </c>
      <c r="K164" s="33">
        <f t="shared" ca="1" si="14"/>
        <v>29.940055759579316</v>
      </c>
      <c r="L164" s="33">
        <f t="shared" ca="1" si="15"/>
        <v>38.394732184744591</v>
      </c>
      <c r="M164" s="33">
        <f t="shared" ca="1" si="16"/>
        <v>32.792684071055888</v>
      </c>
      <c r="N164" s="33">
        <f ca="1">H164*external_curves!K94</f>
        <v>2.5426974956784498</v>
      </c>
      <c r="O164" s="33">
        <f ca="1">H164*external_curves!Q94</f>
        <v>34.731730212682393</v>
      </c>
      <c r="P164" s="33">
        <f ca="1">H164*external_curves!S94</f>
        <v>29.743985660580687</v>
      </c>
      <c r="Q164" s="14">
        <f ca="1">H164*external_curves!M94</f>
        <v>0.94251642368201882</v>
      </c>
    </row>
    <row r="165" spans="1:17" s="26" customFormat="1" ht="12.75" customHeight="1" x14ac:dyDescent="0.2">
      <c r="A165" s="26">
        <v>39052</v>
      </c>
      <c r="B165" s="33">
        <f t="shared" si="18"/>
        <v>36.434666505600013</v>
      </c>
      <c r="C165" s="33">
        <f t="shared" si="18"/>
        <v>44.163232128000004</v>
      </c>
      <c r="D165" s="33"/>
      <c r="E165" s="33"/>
      <c r="F165" s="33">
        <f ca="1">$C$16*external_curves!K95</f>
        <v>58.621096883621114</v>
      </c>
      <c r="G165" s="33">
        <f ca="1">IF(swap_model!$B$37="Y",swap_model!B118,((F165*external_curves!AI95)+(Fwd_curves!B165*external_curves!AL95)+(Fwd_curves!C165*external_curves!AM95))/(external_curves!AH95))</f>
        <v>49.175249392027197</v>
      </c>
      <c r="H165" s="14">
        <f ca="1">external_curves!O95</f>
        <v>0.67449870592832828</v>
      </c>
      <c r="I165" s="15">
        <f t="shared" ca="1" si="17"/>
        <v>22.386996249633302</v>
      </c>
      <c r="J165" s="33">
        <f t="shared" ca="1" si="13"/>
        <v>24.575135408957415</v>
      </c>
      <c r="K165" s="33">
        <f t="shared" ca="1" si="14"/>
        <v>29.788042919948374</v>
      </c>
      <c r="L165" s="33">
        <f t="shared" ca="1" si="15"/>
        <v>39.539853988101598</v>
      </c>
      <c r="M165" s="33">
        <f t="shared" ca="1" si="16"/>
        <v>33.168642078625155</v>
      </c>
      <c r="N165" s="33">
        <f ca="1">H165*external_curves!K95</f>
        <v>2.6185333766954701</v>
      </c>
      <c r="O165" s="33">
        <f ca="1">H165*external_curves!Q95</f>
        <v>34.994039688056517</v>
      </c>
      <c r="P165" s="33">
        <f ca="1">H165*external_curves!S95</f>
        <v>29.328431572563492</v>
      </c>
      <c r="Q165" s="14">
        <f ca="1">H165*external_curves!M95</f>
        <v>0.936922080001513</v>
      </c>
    </row>
    <row r="166" spans="1:17" s="26" customFormat="1" ht="12.75" customHeight="1" x14ac:dyDescent="0.2">
      <c r="A166" s="26">
        <v>39083</v>
      </c>
      <c r="B166" s="33">
        <f t="shared" si="18"/>
        <v>37.163359835712015</v>
      </c>
      <c r="C166" s="33">
        <f t="shared" si="18"/>
        <v>43.357253141664003</v>
      </c>
      <c r="D166" s="33"/>
      <c r="E166" s="33"/>
      <c r="F166" s="33">
        <f ca="1">$C$16*external_curves!K96</f>
        <v>62.463148106127477</v>
      </c>
      <c r="G166" s="33">
        <f ca="1">IF(swap_model!$B$37="Y",swap_model!B119,((F166*external_curves!AI96)+(Fwd_curves!B166*external_curves!AL96)+(Fwd_curves!C166*external_curves!AM96))/(external_curves!AH96))</f>
        <v>50.587100766206738</v>
      </c>
      <c r="H166" s="14">
        <f ca="1">external_curves!O96</f>
        <v>0.67095888133450055</v>
      </c>
      <c r="I166" s="15">
        <f t="shared" ca="1" si="17"/>
        <v>22.505104888047573</v>
      </c>
      <c r="J166" s="33">
        <f t="shared" ca="1" si="13"/>
        <v>24.93508634200084</v>
      </c>
      <c r="K166" s="33">
        <f t="shared" ca="1" si="14"/>
        <v>29.090934065667639</v>
      </c>
      <c r="L166" s="33">
        <f t="shared" ca="1" si="15"/>
        <v>41.91020397791852</v>
      </c>
      <c r="M166" s="33">
        <f t="shared" ca="1" si="16"/>
        <v>33.941864540049728</v>
      </c>
      <c r="N166" s="33">
        <f ca="1">H166*external_curves!K96</f>
        <v>2.7755101972131468</v>
      </c>
      <c r="O166" s="33">
        <f ca="1">H166*external_curves!Q96</f>
        <v>30.216528966768269</v>
      </c>
      <c r="P166" s="33">
        <f ca="1">H166*external_curves!S96</f>
        <v>27.15742894106392</v>
      </c>
      <c r="Q166" s="14">
        <f ca="1">H166*external_curves!M96</f>
        <v>0.93117192501597124</v>
      </c>
    </row>
    <row r="167" spans="1:17" s="26" customFormat="1" ht="12.75" customHeight="1" x14ac:dyDescent="0.2">
      <c r="A167" s="26">
        <v>39114</v>
      </c>
      <c r="B167" s="33">
        <f t="shared" si="18"/>
        <v>33.784872577920012</v>
      </c>
      <c r="C167" s="33">
        <f t="shared" si="18"/>
        <v>42.231090722400012</v>
      </c>
      <c r="D167" s="33"/>
      <c r="E167" s="33"/>
      <c r="F167" s="33">
        <f ca="1">$C$16*external_curves!K97</f>
        <v>60.178112536906845</v>
      </c>
      <c r="G167" s="33">
        <f ca="1">IF(swap_model!$B$37="Y",swap_model!B120,((F167*external_curves!AI97)+(Fwd_curves!B167*external_curves!AL97)+(Fwd_curves!C167*external_curves!AM97))/(external_curves!AH97))</f>
        <v>48.766287266336597</v>
      </c>
      <c r="H167" s="14">
        <f ca="1">external_curves!O97</f>
        <v>0.66743623892156134</v>
      </c>
      <c r="I167" s="15">
        <f t="shared" ca="1" si="17"/>
        <v>22.623883929944334</v>
      </c>
      <c r="J167" s="33">
        <f t="shared" ca="1" si="13"/>
        <v>22.549248285851128</v>
      </c>
      <c r="K167" s="33">
        <f t="shared" ca="1" si="14"/>
        <v>28.186560357313908</v>
      </c>
      <c r="L167" s="33">
        <f t="shared" ca="1" si="15"/>
        <v>40.16505309703156</v>
      </c>
      <c r="M167" s="33">
        <f t="shared" ca="1" si="16"/>
        <v>32.548387359212128</v>
      </c>
      <c r="N167" s="33">
        <f ca="1">H167*external_curves!K97</f>
        <v>2.6599372911941432</v>
      </c>
      <c r="O167" s="33">
        <f ca="1">H167*external_curves!Q97</f>
        <v>28.642764241177158</v>
      </c>
      <c r="P167" s="33">
        <f ca="1">H167*external_curves!S97</f>
        <v>26.359980661374131</v>
      </c>
      <c r="Q167" s="14">
        <f ca="1">H167*external_curves!M97</f>
        <v>0.92545280262284846</v>
      </c>
    </row>
    <row r="168" spans="1:17" x14ac:dyDescent="0.2">
      <c r="A168" s="26">
        <v>39142</v>
      </c>
      <c r="B168" s="33">
        <f t="shared" si="18"/>
        <v>34.911034997184004</v>
      </c>
      <c r="C168" s="33">
        <f t="shared" si="18"/>
        <v>42.231090722400012</v>
      </c>
      <c r="D168" s="33"/>
      <c r="E168" s="33"/>
      <c r="F168" s="33">
        <f ca="1">$C$16*external_curves!K98</f>
        <v>57.364144162432929</v>
      </c>
      <c r="G168" s="33">
        <f ca="1">IF(swap_model!$B$37="Y",swap_model!B121,((F168*external_curves!AI98)+(Fwd_curves!B168*external_curves!AL98)+(Fwd_curves!C168*external_curves!AM98))/(external_curves!AH98))</f>
        <v>47.90592057790051</v>
      </c>
      <c r="H168" s="14">
        <f ca="1">external_curves!O98</f>
        <v>0.66426920303539627</v>
      </c>
      <c r="I168" s="15">
        <f t="shared" ca="1" si="17"/>
        <v>22.731747807967214</v>
      </c>
      <c r="J168" s="33">
        <f t="shared" ca="1" si="13"/>
        <v>23.190325394720247</v>
      </c>
      <c r="K168" s="33">
        <f t="shared" ca="1" si="14"/>
        <v>28.052812977484173</v>
      </c>
      <c r="L168" s="33">
        <f t="shared" ca="1" si="15"/>
        <v>38.105234325586899</v>
      </c>
      <c r="M168" s="33">
        <f t="shared" ca="1" si="16"/>
        <v>31.822427682958963</v>
      </c>
      <c r="N168" s="33">
        <f ca="1">H168*external_curves!K98</f>
        <v>2.523525452025623</v>
      </c>
      <c r="O168" s="33">
        <f ca="1">H168*external_curves!Q98</f>
        <v>26.873160099589501</v>
      </c>
      <c r="P168" s="33">
        <f ca="1">H168*external_curves!S98</f>
        <v>24.171594071018305</v>
      </c>
      <c r="Q168" s="14">
        <f ca="1">H168*external_curves!M98</f>
        <v>0.92031370204073637</v>
      </c>
    </row>
    <row r="169" spans="1:17" x14ac:dyDescent="0.2">
      <c r="A169" s="26">
        <v>39173</v>
      </c>
      <c r="B169" s="33">
        <f t="shared" si="18"/>
        <v>33.221791368288002</v>
      </c>
      <c r="C169" s="33">
        <f t="shared" si="18"/>
        <v>42.231090722400012</v>
      </c>
      <c r="D169" s="33"/>
      <c r="E169" s="33"/>
      <c r="F169" s="33">
        <f ca="1">$C$16*external_curves!K99</f>
        <v>53.751515763827271</v>
      </c>
      <c r="G169" s="33">
        <f ca="1">IF(swap_model!$B$37="Y",swap_model!B122,((F169*external_curves!AI99)+(Fwd_curves!B169*external_curves!AL99)+(Fwd_curves!C169*external_curves!AM99))/(external_curves!AH99))</f>
        <v>45.505119225773264</v>
      </c>
      <c r="H169" s="14">
        <f ca="1">external_curves!O99</f>
        <v>0.66077905385695568</v>
      </c>
      <c r="I169" s="15">
        <f t="shared" ca="1" si="17"/>
        <v>22.851813948795087</v>
      </c>
      <c r="J169" s="33">
        <f t="shared" ca="1" si="13"/>
        <v>21.952263867770522</v>
      </c>
      <c r="K169" s="33">
        <f t="shared" ca="1" si="14"/>
        <v>27.90542017089474</v>
      </c>
      <c r="L169" s="33">
        <f t="shared" ca="1" si="15"/>
        <v>35.517875729799023</v>
      </c>
      <c r="M169" s="33">
        <f t="shared" ca="1" si="16"/>
        <v>30.06882962765442</v>
      </c>
      <c r="N169" s="33">
        <f ca="1">H169*external_curves!K99</f>
        <v>2.3521772006489421</v>
      </c>
      <c r="O169" s="33">
        <f ca="1">H169*external_curves!Q99</f>
        <v>24.649905375486121</v>
      </c>
      <c r="P169" s="33">
        <f ca="1">H169*external_curves!S99</f>
        <v>21.031953751586851</v>
      </c>
      <c r="Q169" s="14">
        <f ca="1">H169*external_curves!M99</f>
        <v>0.91465326068594133</v>
      </c>
    </row>
    <row r="170" spans="1:17" x14ac:dyDescent="0.2">
      <c r="A170" s="26">
        <v>39203</v>
      </c>
      <c r="B170" s="33">
        <f t="shared" si="18"/>
        <v>36.037197416448002</v>
      </c>
      <c r="C170" s="33">
        <f t="shared" si="18"/>
        <v>42.231090722400012</v>
      </c>
      <c r="D170" s="33"/>
      <c r="E170" s="33"/>
      <c r="F170" s="33">
        <f ca="1">$C$16*external_curves!K100</f>
        <v>52.788754725248509</v>
      </c>
      <c r="G170" s="33">
        <f ca="1">IF(swap_model!$B$37="Y",swap_model!B123,((F170*external_curves!AI100)+(Fwd_curves!B170*external_curves!AL100)+(Fwd_curves!C170*external_curves!AM100))/(external_curves!AH100))</f>
        <v>45.760892479328938</v>
      </c>
      <c r="H170" s="14">
        <f ca="1">external_curves!O100</f>
        <v>0.65741764269535485</v>
      </c>
      <c r="I170" s="15">
        <f t="shared" ca="1" si="17"/>
        <v>22.968656481580446</v>
      </c>
      <c r="J170" s="33">
        <f t="shared" ca="1" si="13"/>
        <v>23.691489374868379</v>
      </c>
      <c r="K170" s="33">
        <f t="shared" ca="1" si="14"/>
        <v>27.763464111173885</v>
      </c>
      <c r="L170" s="33">
        <f t="shared" ca="1" si="15"/>
        <v>34.70425869229615</v>
      </c>
      <c r="M170" s="33">
        <f t="shared" ca="1" si="16"/>
        <v>30.084018061396023</v>
      </c>
      <c r="N170" s="33">
        <f ca="1">H170*external_curves!K100</f>
        <v>2.2982952776355066</v>
      </c>
      <c r="O170" s="33">
        <f ca="1">H170*external_curves!Q100</f>
        <v>22.68465432919097</v>
      </c>
      <c r="P170" s="33">
        <f ca="1">H170*external_curves!S100</f>
        <v>16.450737104199643</v>
      </c>
      <c r="Q170" s="14">
        <f ca="1">H170*external_curves!M100</f>
        <v>0.90920458233230339</v>
      </c>
    </row>
    <row r="171" spans="1:17" x14ac:dyDescent="0.2">
      <c r="A171" s="26">
        <v>39234</v>
      </c>
      <c r="B171" s="33">
        <f t="shared" si="18"/>
        <v>36.037197416448002</v>
      </c>
      <c r="C171" s="33">
        <f t="shared" si="18"/>
        <v>42.231090722400012</v>
      </c>
      <c r="D171" s="33"/>
      <c r="E171" s="33"/>
      <c r="F171" s="33">
        <f ca="1">$C$16*external_curves!K101</f>
        <v>54.367152156016466</v>
      </c>
      <c r="G171" s="33">
        <f ca="1">IF(swap_model!$B$37="Y",swap_model!B124,((F171*external_curves!AI101)+(Fwd_curves!B171*external_curves!AL101)+(Fwd_curves!C171*external_curves!AM101))/(external_curves!AH101))</f>
        <v>46.650213504046455</v>
      </c>
      <c r="H171" s="14">
        <f ca="1">external_curves!O101</f>
        <v>0.65396080280351776</v>
      </c>
      <c r="I171" s="15">
        <f t="shared" ca="1" si="17"/>
        <v>23.09006890820762</v>
      </c>
      <c r="J171" s="33">
        <f t="shared" ca="1" si="13"/>
        <v>23.566914553249191</v>
      </c>
      <c r="K171" s="33">
        <f t="shared" ca="1" si="14"/>
        <v>27.617477992088901</v>
      </c>
      <c r="L171" s="33">
        <f t="shared" ca="1" si="15"/>
        <v>35.553986470089527</v>
      </c>
      <c r="M171" s="33">
        <f t="shared" ca="1" si="16"/>
        <v>30.507411074061725</v>
      </c>
      <c r="N171" s="33">
        <f ca="1">H171*external_curves!K101</f>
        <v>2.3545686404032802</v>
      </c>
      <c r="O171" s="33">
        <f ca="1">H171*external_curves!Q101</f>
        <v>24.352135577633888</v>
      </c>
      <c r="P171" s="33">
        <f ca="1">H171*external_curves!S101</f>
        <v>18.193570348476754</v>
      </c>
      <c r="Q171" s="14">
        <f ca="1">H171*external_curves!M101</f>
        <v>0.90360428859494935</v>
      </c>
    </row>
    <row r="172" spans="1:17" x14ac:dyDescent="0.2">
      <c r="A172" s="26">
        <v>39264</v>
      </c>
      <c r="B172" s="33">
        <f t="shared" si="18"/>
        <v>33.784872577920012</v>
      </c>
      <c r="C172" s="33">
        <f t="shared" si="18"/>
        <v>43.019404415884814</v>
      </c>
      <c r="D172" s="33"/>
      <c r="E172" s="33"/>
      <c r="F172" s="33">
        <f ca="1">$C$16*external_curves!K102</f>
        <v>54.123611822016258</v>
      </c>
      <c r="G172" s="33">
        <f ca="1">IF(swap_model!$B$37="Y",swap_model!B125,((F172*external_curves!AI102)+(Fwd_curves!B172*external_curves!AL102)+(Fwd_curves!C172*external_curves!AM102))/(external_curves!AH102))</f>
        <v>45.948990893952129</v>
      </c>
      <c r="H172" s="14">
        <f ca="1">external_curves!O102</f>
        <v>0.65063148681151017</v>
      </c>
      <c r="I172" s="15">
        <f t="shared" ca="1" si="17"/>
        <v>23.208222021346032</v>
      </c>
      <c r="J172" s="33">
        <f t="shared" ca="1" si="13"/>
        <v>21.981501877109515</v>
      </c>
      <c r="K172" s="33">
        <f t="shared" ca="1" si="14"/>
        <v>27.989779056852782</v>
      </c>
      <c r="L172" s="33">
        <f t="shared" ca="1" si="15"/>
        <v>35.21452603136747</v>
      </c>
      <c r="M172" s="33">
        <f t="shared" ca="1" si="16"/>
        <v>29.895860262820616</v>
      </c>
      <c r="N172" s="33">
        <f ca="1">H172*external_curves!K102</f>
        <v>2.3320878166468519</v>
      </c>
      <c r="O172" s="33">
        <f ca="1">H172*external_curves!Q102</f>
        <v>53.343716339017291</v>
      </c>
      <c r="P172" s="33">
        <f ca="1">H172*external_curves!S102</f>
        <v>38.580112985855322</v>
      </c>
      <c r="Q172" s="14">
        <f ca="1">H172*external_curves!M102</f>
        <v>0.89830701534993129</v>
      </c>
    </row>
    <row r="173" spans="1:17" x14ac:dyDescent="0.2">
      <c r="A173" s="26">
        <v>39295</v>
      </c>
      <c r="B173" s="33">
        <f t="shared" si="18"/>
        <v>33.784872577920012</v>
      </c>
      <c r="C173" s="33">
        <f t="shared" si="18"/>
        <v>45.316775751183364</v>
      </c>
      <c r="D173" s="33"/>
      <c r="E173" s="33"/>
      <c r="F173" s="33">
        <f ca="1">$C$16*external_curves!K103</f>
        <v>54.078008118269835</v>
      </c>
      <c r="G173" s="33">
        <f ca="1">IF(swap_model!$B$37="Y",swap_model!B126,((F173*external_curves!AI103)+(Fwd_curves!B173*external_curves!AL103)+(Fwd_curves!C173*external_curves!AM103))/(external_curves!AH103))</f>
        <v>46.798312481300783</v>
      </c>
      <c r="H173" s="14">
        <f ca="1">external_curves!O103</f>
        <v>0.64720766819809961</v>
      </c>
      <c r="I173" s="15">
        <f t="shared" ca="1" si="17"/>
        <v>23.33099674489354</v>
      </c>
      <c r="J173" s="33">
        <f t="shared" ca="1" si="13"/>
        <v>21.865828601525529</v>
      </c>
      <c r="K173" s="33">
        <f t="shared" ca="1" si="14"/>
        <v>29.329364764179569</v>
      </c>
      <c r="L173" s="33">
        <f t="shared" ca="1" si="15"/>
        <v>34.99970153502332</v>
      </c>
      <c r="M173" s="33">
        <f t="shared" ca="1" si="16"/>
        <v>30.288226696628701</v>
      </c>
      <c r="N173" s="33">
        <f ca="1">H173*external_curves!K103</f>
        <v>2.3178610288094914</v>
      </c>
      <c r="O173" s="33">
        <f ca="1">H173*external_curves!Q103</f>
        <v>64.638278470178506</v>
      </c>
      <c r="P173" s="33">
        <f ca="1">H173*external_curves!S103</f>
        <v>47.964466065447617</v>
      </c>
      <c r="Q173" s="14">
        <f ca="1">H173*external_curves!M103</f>
        <v>0.89300975332681942</v>
      </c>
    </row>
    <row r="174" spans="1:17" x14ac:dyDescent="0.2">
      <c r="A174" s="26">
        <v>39326</v>
      </c>
      <c r="B174" s="33">
        <f t="shared" ref="B174:C189" si="19">B162*(1+$B$22)</f>
        <v>33.784872577920012</v>
      </c>
      <c r="C174" s="33">
        <f t="shared" si="19"/>
        <v>45.316775751183364</v>
      </c>
      <c r="D174" s="33"/>
      <c r="E174" s="33"/>
      <c r="F174" s="33">
        <f ca="1">$C$16*external_curves!K104</f>
        <v>53.853679974754755</v>
      </c>
      <c r="G174" s="33">
        <f ca="1">IF(swap_model!$B$37="Y",swap_model!B127,((F174*external_curves!AI104)+(Fwd_curves!B174*external_curves!AL104)+(Fwd_curves!C174*external_curves!AM104))/(external_curves!AH104))</f>
        <v>46.671463707020557</v>
      </c>
      <c r="H174" s="14">
        <f ca="1">external_curves!O104</f>
        <v>0.6438005212134017</v>
      </c>
      <c r="I174" s="15">
        <f t="shared" ca="1" si="17"/>
        <v>23.454469983249322</v>
      </c>
      <c r="J174" s="33">
        <f t="shared" ca="1" si="13"/>
        <v>21.750718574793265</v>
      </c>
      <c r="K174" s="33">
        <f t="shared" ca="1" si="14"/>
        <v>29.174963848322694</v>
      </c>
      <c r="L174" s="33">
        <f t="shared" ca="1" si="15"/>
        <v>34.671027237006847</v>
      </c>
      <c r="M174" s="33">
        <f t="shared" ca="1" si="16"/>
        <v>30.047112660372196</v>
      </c>
      <c r="N174" s="33">
        <f ca="1">H174*external_curves!K104</f>
        <v>2.2960945190070761</v>
      </c>
      <c r="O174" s="33">
        <f ca="1">H174*external_curves!Q104</f>
        <v>57.437127046051735</v>
      </c>
      <c r="P174" s="33">
        <f ca="1">H174*external_curves!S104</f>
        <v>41.260186588606956</v>
      </c>
      <c r="Q174" s="14">
        <f ca="1">H174*external_curves!M104</f>
        <v>0.88774539483851211</v>
      </c>
    </row>
    <row r="175" spans="1:17" x14ac:dyDescent="0.2">
      <c r="A175" s="26">
        <v>39356</v>
      </c>
      <c r="B175" s="33">
        <f t="shared" si="19"/>
        <v>33.784872577920012</v>
      </c>
      <c r="C175" s="33">
        <f t="shared" si="19"/>
        <v>45.046496770560005</v>
      </c>
      <c r="D175" s="33"/>
      <c r="E175" s="33"/>
      <c r="F175" s="33">
        <f ca="1">$C$16*external_curves!K105</f>
        <v>54.127752320121502</v>
      </c>
      <c r="G175" s="33">
        <f ca="1">IF(swap_model!$B$37="Y",swap_model!B128,((F175*external_curves!AI105)+(Fwd_curves!B175*external_curves!AL105)+(Fwd_curves!C175*external_curves!AM105))/(external_curves!AH105))</f>
        <v>46.604761555894875</v>
      </c>
      <c r="H175" s="14">
        <f ca="1">external_curves!O105</f>
        <v>0.64051908654094136</v>
      </c>
      <c r="I175" s="15">
        <f t="shared" ca="1" si="17"/>
        <v>23.574629261316826</v>
      </c>
      <c r="J175" s="33">
        <f t="shared" ca="1" si="13"/>
        <v>21.639855722511424</v>
      </c>
      <c r="K175" s="33">
        <f t="shared" ca="1" si="14"/>
        <v>28.853140963348558</v>
      </c>
      <c r="L175" s="33">
        <f t="shared" ca="1" si="15"/>
        <v>34.669858472598541</v>
      </c>
      <c r="M175" s="33">
        <f t="shared" ca="1" si="16"/>
        <v>29.851239300240167</v>
      </c>
      <c r="N175" s="33">
        <f ca="1">H175*external_curves!K105</f>
        <v>2.2960171173906319</v>
      </c>
      <c r="O175" s="33">
        <f ca="1">H175*external_curves!Q105</f>
        <v>33.939122195489588</v>
      </c>
      <c r="P175" s="33">
        <f ca="1">H175*external_curves!S105</f>
        <v>29.651470741482171</v>
      </c>
      <c r="Q175" s="14">
        <f ca="1">H175*external_curves!M105</f>
        <v>0.88268198167723233</v>
      </c>
    </row>
    <row r="176" spans="1:17" x14ac:dyDescent="0.2">
      <c r="A176" s="26">
        <v>39387</v>
      </c>
      <c r="B176" s="33">
        <f t="shared" si="19"/>
        <v>37.163359835712015</v>
      </c>
      <c r="C176" s="33">
        <f t="shared" si="19"/>
        <v>45.046496770560005</v>
      </c>
      <c r="D176" s="33"/>
      <c r="E176" s="33"/>
      <c r="F176" s="33">
        <f ca="1">$C$16*external_curves!K106</f>
        <v>56.652189327643605</v>
      </c>
      <c r="G176" s="33">
        <f ca="1">IF(swap_model!$B$37="Y",swap_model!B129,((F176*external_curves!AI106)+(Fwd_curves!B176*external_curves!AL106)+(Fwd_curves!C176*external_curves!AM106))/(external_curves!AH106))</f>
        <v>48.793401881060255</v>
      </c>
      <c r="H176" s="14">
        <f ca="1">external_curves!O106</f>
        <v>0.63714453056747555</v>
      </c>
      <c r="I176" s="15">
        <f t="shared" ca="1" si="17"/>
        <v>23.699489323954673</v>
      </c>
      <c r="J176" s="33">
        <f t="shared" ca="1" si="13"/>
        <v>23.678431456834907</v>
      </c>
      <c r="K176" s="33">
        <f t="shared" ca="1" si="14"/>
        <v>28.701129038587759</v>
      </c>
      <c r="L176" s="33">
        <f t="shared" ca="1" si="15"/>
        <v>36.095632574781234</v>
      </c>
      <c r="M176" s="33">
        <f t="shared" ca="1" si="16"/>
        <v>31.088449136298316</v>
      </c>
      <c r="N176" s="33">
        <f ca="1">H176*external_curves!K106</f>
        <v>2.3904392433629957</v>
      </c>
      <c r="O176" s="33">
        <f ca="1">H176*external_curves!Q106</f>
        <v>32.642320966557961</v>
      </c>
      <c r="P176" s="33">
        <f ca="1">H176*external_curves!S106</f>
        <v>28.06552242422628</v>
      </c>
      <c r="Q176" s="14">
        <f ca="1">H176*external_curves!M106</f>
        <v>0.87748174641284826</v>
      </c>
    </row>
    <row r="177" spans="1:17" x14ac:dyDescent="0.2">
      <c r="A177" s="26">
        <v>39417</v>
      </c>
      <c r="B177" s="33">
        <f t="shared" si="19"/>
        <v>37.163359835712015</v>
      </c>
      <c r="C177" s="33">
        <f t="shared" si="19"/>
        <v>45.046496770560005</v>
      </c>
      <c r="D177" s="33"/>
      <c r="E177" s="33"/>
      <c r="F177" s="33">
        <f ca="1">$C$16*external_curves!K107</f>
        <v>58.589188679700037</v>
      </c>
      <c r="G177" s="33">
        <f ca="1">IF(swap_model!$B$37="Y",swap_model!B130,((F177*external_curves!AI107)+(Fwd_curves!B177*external_curves!AL107)+(Fwd_curves!C177*external_curves!AM107))/(external_curves!AH107))</f>
        <v>49.58896377524286</v>
      </c>
      <c r="H177" s="14">
        <f ca="1">external_curves!O107</f>
        <v>0.63389449858857183</v>
      </c>
      <c r="I177" s="15">
        <f t="shared" ca="1" si="17"/>
        <v>23.820998657697185</v>
      </c>
      <c r="J177" s="33">
        <f t="shared" ca="1" si="13"/>
        <v>23.557649348925338</v>
      </c>
      <c r="K177" s="33">
        <f t="shared" ca="1" si="14"/>
        <v>28.554726483545853</v>
      </c>
      <c r="L177" s="33">
        <f t="shared" ca="1" si="15"/>
        <v>37.139364380829683</v>
      </c>
      <c r="M177" s="33">
        <f t="shared" ca="1" si="16"/>
        <v>31.434171327834424</v>
      </c>
      <c r="N177" s="33">
        <f ca="1">H177*external_curves!K107</f>
        <v>2.4595605550218336</v>
      </c>
      <c r="O177" s="33">
        <f ca="1">H177*external_curves!Q107</f>
        <v>32.456255690927748</v>
      </c>
      <c r="P177" s="33">
        <f ca="1">H177*external_curves!S107</f>
        <v>27.492266705940427</v>
      </c>
      <c r="Q177" s="14">
        <f ca="1">H177*external_curves!M107</f>
        <v>0.87247999169160606</v>
      </c>
    </row>
    <row r="178" spans="1:17" x14ac:dyDescent="0.2">
      <c r="A178" s="26">
        <v>39448</v>
      </c>
      <c r="B178" s="33">
        <f t="shared" si="19"/>
        <v>37.906627032426258</v>
      </c>
      <c r="C178" s="33">
        <f t="shared" si="19"/>
        <v>44.224398204497284</v>
      </c>
      <c r="D178" s="33"/>
      <c r="E178" s="33"/>
      <c r="F178" s="33">
        <f ca="1">$C$16*external_curves!K108</f>
        <v>62.086569947730482</v>
      </c>
      <c r="G178" s="33">
        <f ca="1">IF(swap_model!$B$37="Y",swap_model!B131,((F178*external_curves!AI108)+(Fwd_curves!B178*external_curves!AL108)+(Fwd_curves!C178*external_curves!AM108))/(external_curves!AH108))</f>
        <v>50.864591952909144</v>
      </c>
      <c r="H178" s="14">
        <f ca="1">external_curves!O108</f>
        <v>0.6284602268497359</v>
      </c>
      <c r="I178" s="15">
        <f t="shared" ca="1" si="17"/>
        <v>24.026977929361298</v>
      </c>
      <c r="J178" s="33">
        <f t="shared" ref="J178:J209" ca="1" si="20">$H178*B178</f>
        <v>23.822807423906937</v>
      </c>
      <c r="K178" s="33">
        <f t="shared" ref="K178:K209" ca="1" si="21">$H178*C178</f>
        <v>27.793275327891415</v>
      </c>
      <c r="L178" s="33">
        <f t="shared" ref="L178:L209" ca="1" si="22">$H178*F178</f>
        <v>39.018939833672697</v>
      </c>
      <c r="M178" s="33">
        <f t="shared" ca="1" si="16"/>
        <v>31.966372997344532</v>
      </c>
      <c r="N178" s="33">
        <f ca="1">H178*external_curves!K108</f>
        <v>2.5840357505743508</v>
      </c>
      <c r="O178" s="33">
        <f ca="1">H178*external_curves!Q108</f>
        <v>28.039096182278254</v>
      </c>
      <c r="P178" s="33">
        <f ca="1">H178*external_curves!S108</f>
        <v>25.191096876447354</v>
      </c>
      <c r="Q178" s="14">
        <f ca="1">H178*external_curves!M108</f>
        <v>0.86141616535417065</v>
      </c>
    </row>
    <row r="179" spans="1:17" x14ac:dyDescent="0.2">
      <c r="A179" s="26">
        <v>39479</v>
      </c>
      <c r="B179" s="33">
        <f t="shared" si="19"/>
        <v>34.460570029478411</v>
      </c>
      <c r="C179" s="33">
        <f t="shared" si="19"/>
        <v>43.075712536848016</v>
      </c>
      <c r="D179" s="33"/>
      <c r="E179" s="33"/>
      <c r="F179" s="33">
        <f ca="1">$C$16*external_curves!K109</f>
        <v>59.917093340603124</v>
      </c>
      <c r="G179" s="33">
        <f ca="1">IF(swap_model!$B$37="Y",swap_model!B132,((F179*external_curves!AI109)+(Fwd_curves!B179*external_curves!AL109)+(Fwd_curves!C179*external_curves!AM109))/(external_curves!AH109))</f>
        <v>49.044193274976742</v>
      </c>
      <c r="H179" s="14">
        <f ca="1">external_curves!O109</f>
        <v>0.62514001107656181</v>
      </c>
      <c r="I179" s="15">
        <f t="shared" ca="1" si="17"/>
        <v>24.15458894399687</v>
      </c>
      <c r="J179" s="33">
        <f t="shared" ca="1" si="20"/>
        <v>21.542681129932767</v>
      </c>
      <c r="K179" s="33">
        <f t="shared" ca="1" si="21"/>
        <v>26.92835141241596</v>
      </c>
      <c r="L179" s="33">
        <f t="shared" ca="1" si="22"/>
        <v>37.456572394620025</v>
      </c>
      <c r="M179" s="33">
        <f t="shared" ca="1" si="16"/>
        <v>30.65948752716</v>
      </c>
      <c r="N179" s="33">
        <f ca="1">H179*external_curves!K109</f>
        <v>2.4805677082529818</v>
      </c>
      <c r="O179" s="33">
        <f ca="1">H179*external_curves!Q109</f>
        <v>26.588475469091073</v>
      </c>
      <c r="P179" s="33">
        <f ca="1">H179*external_curves!S109</f>
        <v>24.459929468804969</v>
      </c>
      <c r="Q179" s="14">
        <f ca="1">H179*external_curves!M109</f>
        <v>0.85631160931050143</v>
      </c>
    </row>
    <row r="180" spans="1:17" x14ac:dyDescent="0.2">
      <c r="A180" s="26">
        <v>39508</v>
      </c>
      <c r="B180" s="33">
        <f t="shared" si="19"/>
        <v>35.609255697127686</v>
      </c>
      <c r="C180" s="33">
        <f t="shared" si="19"/>
        <v>43.075712536848016</v>
      </c>
      <c r="D180" s="33"/>
      <c r="E180" s="33"/>
      <c r="F180" s="33">
        <f ca="1">$C$16*external_curves!K110</f>
        <v>57.200571457150289</v>
      </c>
      <c r="G180" s="33">
        <f ca="1">IF(swap_model!$B$37="Y",swap_model!B133,((F180*external_curves!AI110)+(Fwd_curves!B180*external_curves!AL110)+(Fwd_curves!C180*external_curves!AM110))/(external_curves!AH110))</f>
        <v>48.215658805883898</v>
      </c>
      <c r="H180" s="14">
        <f ca="1">external_curves!O110</f>
        <v>0.62204907040955537</v>
      </c>
      <c r="I180" s="15">
        <f t="shared" ca="1" si="17"/>
        <v>24.274612274652551</v>
      </c>
      <c r="J180" s="33">
        <f t="shared" ca="1" si="20"/>
        <v>22.150704404374441</v>
      </c>
      <c r="K180" s="33">
        <f t="shared" ca="1" si="21"/>
        <v>26.79520694077554</v>
      </c>
      <c r="L180" s="33">
        <f t="shared" ca="1" si="22"/>
        <v>35.581562301815687</v>
      </c>
      <c r="M180" s="33">
        <f t="shared" ca="1" si="16"/>
        <v>29.99250573938437</v>
      </c>
      <c r="N180" s="33">
        <f ca="1">H180*external_curves!K110</f>
        <v>2.3563948544248796</v>
      </c>
      <c r="O180" s="33">
        <f ca="1">H180*external_curves!Q110</f>
        <v>24.950873876736136</v>
      </c>
      <c r="P180" s="33">
        <f ca="1">H180*external_curves!S110</f>
        <v>22.307815509632793</v>
      </c>
      <c r="Q180" s="14">
        <f ca="1">H180*external_curves!M110</f>
        <v>0.85156566132205236</v>
      </c>
    </row>
    <row r="181" spans="1:17" x14ac:dyDescent="0.2">
      <c r="A181" s="26">
        <v>39539</v>
      </c>
      <c r="B181" s="33">
        <f t="shared" si="19"/>
        <v>33.88622719565376</v>
      </c>
      <c r="C181" s="33">
        <f t="shared" si="19"/>
        <v>43.075712536848016</v>
      </c>
      <c r="D181" s="33"/>
      <c r="E181" s="33"/>
      <c r="F181" s="33">
        <f ca="1">$C$16*external_curves!K111</f>
        <v>53.694923123908872</v>
      </c>
      <c r="G181" s="33">
        <f ca="1">IF(swap_model!$B$37="Y",swap_model!B134,((F181*external_curves!AI111)+(Fwd_curves!B181*external_curves!AL111)+(Fwd_curves!C181*external_curves!AM111))/(external_curves!AH111))</f>
        <v>45.887130897864417</v>
      </c>
      <c r="H181" s="14">
        <f ca="1">external_curves!O111</f>
        <v>0.61876099394891615</v>
      </c>
      <c r="I181" s="15">
        <f t="shared" ca="1" si="17"/>
        <v>24.403606800797515</v>
      </c>
      <c r="J181" s="33">
        <f t="shared" ca="1" si="20"/>
        <v>20.967475620761515</v>
      </c>
      <c r="K181" s="33">
        <f t="shared" ca="1" si="21"/>
        <v>26.653570704357868</v>
      </c>
      <c r="L181" s="33">
        <f t="shared" ca="1" si="22"/>
        <v>33.224324002160493</v>
      </c>
      <c r="M181" s="33">
        <f t="shared" ca="1" si="16"/>
        <v>28.393166723826607</v>
      </c>
      <c r="N181" s="33">
        <f ca="1">H181*external_curves!K111</f>
        <v>2.2002863577589733</v>
      </c>
      <c r="O181" s="33">
        <f ca="1">H181*external_curves!Q111</f>
        <v>22.898460754177158</v>
      </c>
      <c r="P181" s="33">
        <f ca="1">H181*external_curves!S111</f>
        <v>19.653698544190917</v>
      </c>
      <c r="Q181" s="14">
        <f ca="1">H181*external_curves!M111</f>
        <v>0.84652350292706691</v>
      </c>
    </row>
    <row r="182" spans="1:17" x14ac:dyDescent="0.2">
      <c r="A182" s="26">
        <v>39569</v>
      </c>
      <c r="B182" s="33">
        <f t="shared" si="19"/>
        <v>36.757941364776961</v>
      </c>
      <c r="C182" s="33">
        <f t="shared" si="19"/>
        <v>43.075712536848016</v>
      </c>
      <c r="D182" s="33"/>
      <c r="E182" s="33"/>
      <c r="F182" s="33">
        <f ca="1">$C$16*external_curves!K112</f>
        <v>53.257223719274798</v>
      </c>
      <c r="G182" s="33">
        <f ca="1">IF(swap_model!$B$37="Y",swap_model!B135,((F182*external_curves!AI112)+(Fwd_curves!B182*external_curves!AL112)+(Fwd_curves!C182*external_curves!AM112))/(external_curves!AH112))</f>
        <v>46.39824507707614</v>
      </c>
      <c r="H182" s="14">
        <f ca="1">external_curves!O112</f>
        <v>0.61559468646245807</v>
      </c>
      <c r="I182" s="15">
        <f t="shared" ca="1" si="17"/>
        <v>24.529126602396154</v>
      </c>
      <c r="J182" s="33">
        <f t="shared" ca="1" si="20"/>
        <v>22.627993389455291</v>
      </c>
      <c r="K182" s="33">
        <f t="shared" ca="1" si="21"/>
        <v>26.517179753267929</v>
      </c>
      <c r="L182" s="33">
        <f t="shared" ca="1" si="22"/>
        <v>32.784863937327955</v>
      </c>
      <c r="M182" s="33">
        <f t="shared" ca="1" si="16"/>
        <v>28.562513130630975</v>
      </c>
      <c r="N182" s="33">
        <f ca="1">H182*external_curves!K112</f>
        <v>2.1711830422071494</v>
      </c>
      <c r="O182" s="33">
        <f ca="1">H182*external_curves!Q112</f>
        <v>21.083943508031645</v>
      </c>
      <c r="P182" s="33">
        <f ca="1">H182*external_curves!S112</f>
        <v>15.295395757194807</v>
      </c>
      <c r="Q182" s="14">
        <f ca="1">H182*external_curves!M112</f>
        <v>0.84167439153818946</v>
      </c>
    </row>
    <row r="183" spans="1:17" x14ac:dyDescent="0.2">
      <c r="A183" s="26">
        <v>39600</v>
      </c>
      <c r="B183" s="33">
        <f t="shared" si="19"/>
        <v>36.757941364776961</v>
      </c>
      <c r="C183" s="33">
        <f t="shared" si="19"/>
        <v>43.075712536848016</v>
      </c>
      <c r="D183" s="33"/>
      <c r="E183" s="33"/>
      <c r="F183" s="33">
        <f ca="1">$C$16*external_curves!K113</f>
        <v>54.851155119708714</v>
      </c>
      <c r="G183" s="33">
        <f ca="1">IF(swap_model!$B$37="Y",swap_model!B136,((F183*external_curves!AI113)+(Fwd_curves!B183*external_curves!AL113)+(Fwd_curves!C183*external_curves!AM113))/(external_curves!AH113))</f>
        <v>47.288251513073654</v>
      </c>
      <c r="H183" s="14">
        <f ca="1">external_curves!O113</f>
        <v>0.6123389851106984</v>
      </c>
      <c r="I183" s="15">
        <f t="shared" ca="1" si="17"/>
        <v>24.659543761157437</v>
      </c>
      <c r="J183" s="33">
        <f t="shared" ca="1" si="20"/>
        <v>22.508320510066085</v>
      </c>
      <c r="K183" s="33">
        <f t="shared" ca="1" si="21"/>
        <v>26.376938097733703</v>
      </c>
      <c r="L183" s="33">
        <f t="shared" ca="1" si="22"/>
        <v>33.587500658151924</v>
      </c>
      <c r="M183" s="33">
        <f t="shared" ca="1" si="16"/>
        <v>28.95643993917497</v>
      </c>
      <c r="N183" s="33">
        <f ca="1">H183*external_curves!K113</f>
        <v>2.2243377919305911</v>
      </c>
      <c r="O183" s="33">
        <f ca="1">H183*external_curves!Q113</f>
        <v>22.632595564944872</v>
      </c>
      <c r="P183" s="33">
        <f ca="1">H183*external_curves!S113</f>
        <v>16.78502825734564</v>
      </c>
      <c r="Q183" s="14">
        <f ca="1">H183*external_curves!M113</f>
        <v>0.83669484528446836</v>
      </c>
    </row>
    <row r="184" spans="1:17" x14ac:dyDescent="0.2">
      <c r="A184" s="26">
        <v>39630</v>
      </c>
      <c r="B184" s="33">
        <f t="shared" si="19"/>
        <v>34.460570029478411</v>
      </c>
      <c r="C184" s="33">
        <f t="shared" si="19"/>
        <v>43.879792504202513</v>
      </c>
      <c r="D184" s="33"/>
      <c r="E184" s="33"/>
      <c r="F184" s="33">
        <f ca="1">$C$16*external_curves!K114</f>
        <v>54.610553426950332</v>
      </c>
      <c r="G184" s="33">
        <f ca="1">IF(swap_model!$B$37="Y",swap_model!B137,((F184*external_curves!AI114)+(Fwd_curves!B184*external_curves!AL114)+(Fwd_curves!C184*external_curves!AM114))/(external_curves!AH114))</f>
        <v>46.599021394376727</v>
      </c>
      <c r="H184" s="14">
        <f ca="1">external_curves!O114</f>
        <v>0.60920386301714602</v>
      </c>
      <c r="I184" s="15">
        <f t="shared" ca="1" si="17"/>
        <v>24.786448209989452</v>
      </c>
      <c r="J184" s="33">
        <f t="shared" ca="1" si="20"/>
        <v>20.993512383731133</v>
      </c>
      <c r="K184" s="33">
        <f t="shared" ca="1" si="21"/>
        <v>26.731739101950978</v>
      </c>
      <c r="L184" s="33">
        <f t="shared" ca="1" si="22"/>
        <v>33.268960109202382</v>
      </c>
      <c r="M184" s="33">
        <f t="shared" ca="1" si="16"/>
        <v>28.388303846272937</v>
      </c>
      <c r="N184" s="33">
        <f ca="1">H184*external_curves!K114</f>
        <v>2.2032423913379064</v>
      </c>
      <c r="O184" s="33">
        <f ca="1">H184*external_curves!Q114</f>
        <v>49.471365755110405</v>
      </c>
      <c r="P184" s="33">
        <f ca="1">H184*external_curves!S114</f>
        <v>36.070188693284059</v>
      </c>
      <c r="Q184" s="14">
        <f ca="1">H184*external_curves!M114</f>
        <v>0.83190592769345284</v>
      </c>
    </row>
    <row r="185" spans="1:17" x14ac:dyDescent="0.2">
      <c r="A185" s="26">
        <v>39661</v>
      </c>
      <c r="B185" s="33">
        <f t="shared" si="19"/>
        <v>34.460570029478411</v>
      </c>
      <c r="C185" s="33">
        <f t="shared" si="19"/>
        <v>46.223111266207034</v>
      </c>
      <c r="D185" s="33"/>
      <c r="E185" s="33"/>
      <c r="F185" s="33">
        <f ca="1">$C$16*external_curves!K115</f>
        <v>54.565970120830386</v>
      </c>
      <c r="G185" s="33">
        <f ca="1">IF(swap_model!$B$37="Y",swap_model!B138,((F185*external_curves!AI115)+(Fwd_curves!B185*external_curves!AL115)+(Fwd_curves!C185*external_curves!AM115))/(external_curves!AH115))</f>
        <v>47.440671038980319</v>
      </c>
      <c r="H185" s="14">
        <f ca="1">external_curves!O115</f>
        <v>0.60598023701835435</v>
      </c>
      <c r="I185" s="15">
        <f t="shared" ca="1" si="17"/>
        <v>24.918304389426222</v>
      </c>
      <c r="J185" s="33">
        <f t="shared" ca="1" si="20"/>
        <v>20.882424394250926</v>
      </c>
      <c r="K185" s="33">
        <f t="shared" ca="1" si="21"/>
        <v>28.010291920821903</v>
      </c>
      <c r="L185" s="33">
        <f t="shared" ca="1" si="22"/>
        <v>33.065899506957237</v>
      </c>
      <c r="M185" s="33">
        <f t="shared" ca="1" si="16"/>
        <v>28.748109080511075</v>
      </c>
      <c r="N185" s="33">
        <f ca="1">H185*external_curves!K115</f>
        <v>2.1897946693349164</v>
      </c>
      <c r="O185" s="33">
        <f ca="1">H185*external_curves!Q115</f>
        <v>59.929765402715383</v>
      </c>
      <c r="P185" s="33">
        <f ca="1">H185*external_curves!S115</f>
        <v>44.137136855485345</v>
      </c>
      <c r="Q185" s="14">
        <f ca="1">H185*external_curves!M115</f>
        <v>0.82698817266657987</v>
      </c>
    </row>
    <row r="186" spans="1:17" x14ac:dyDescent="0.2">
      <c r="A186" s="26">
        <v>39692</v>
      </c>
      <c r="B186" s="33">
        <f t="shared" si="19"/>
        <v>34.460570029478411</v>
      </c>
      <c r="C186" s="33">
        <f t="shared" si="19"/>
        <v>46.223111266207034</v>
      </c>
      <c r="D186" s="33"/>
      <c r="E186" s="33"/>
      <c r="F186" s="33">
        <f ca="1">$C$16*external_curves!K116</f>
        <v>54.324715608595668</v>
      </c>
      <c r="G186" s="33">
        <f ca="1">IF(swap_model!$B$37="Y",swap_model!B139,((F186*external_curves!AI116)+(Fwd_curves!B186*external_curves!AL116)+(Fwd_curves!C186*external_curves!AM116))/(external_curves!AH116))</f>
        <v>47.308607753507808</v>
      </c>
      <c r="H186" s="14">
        <f ca="1">external_curves!O116</f>
        <v>0.60277279755910174</v>
      </c>
      <c r="I186" s="15">
        <f t="shared" ca="1" si="17"/>
        <v>25.050898217614822</v>
      </c>
      <c r="J186" s="33">
        <f t="shared" ca="1" si="20"/>
        <v>20.77189420215004</v>
      </c>
      <c r="K186" s="33">
        <f t="shared" ca="1" si="21"/>
        <v>27.862034089817246</v>
      </c>
      <c r="L186" s="33">
        <f t="shared" ca="1" si="22"/>
        <v>32.745460803995812</v>
      </c>
      <c r="M186" s="33">
        <f t="shared" ca="1" si="16"/>
        <v>28.516341844208114</v>
      </c>
      <c r="N186" s="33">
        <f ca="1">H186*external_curves!K116</f>
        <v>2.1685735631785303</v>
      </c>
      <c r="O186" s="33">
        <f ca="1">H186*external_curves!Q116</f>
        <v>53.272177767608838</v>
      </c>
      <c r="P186" s="33">
        <f ca="1">H186*external_curves!S116</f>
        <v>38.579853636897177</v>
      </c>
      <c r="Q186" s="14">
        <f ca="1">H186*external_curves!M116</f>
        <v>0.82210150875939569</v>
      </c>
    </row>
    <row r="187" spans="1:17" x14ac:dyDescent="0.2">
      <c r="A187" s="26">
        <v>39722</v>
      </c>
      <c r="B187" s="33">
        <f t="shared" si="19"/>
        <v>34.460570029478411</v>
      </c>
      <c r="C187" s="33">
        <f t="shared" si="19"/>
        <v>45.947426705971203</v>
      </c>
      <c r="D187" s="33"/>
      <c r="E187" s="33"/>
      <c r="F187" s="33">
        <f ca="1">$C$16*external_curves!K117</f>
        <v>54.577038181616921</v>
      </c>
      <c r="G187" s="33">
        <f ca="1">IF(swap_model!$B$37="Y",swap_model!B140,((F187*external_curves!AI117)+(Fwd_curves!B187*external_curves!AL117)+(Fwd_curves!C187*external_curves!AM117))/(external_curves!AH117))</f>
        <v>47.250864251893475</v>
      </c>
      <c r="H187" s="14">
        <f ca="1">external_curves!O117</f>
        <v>0.59968416365322941</v>
      </c>
      <c r="I187" s="15">
        <f t="shared" ca="1" si="17"/>
        <v>25.17992122388554</v>
      </c>
      <c r="J187" s="33">
        <f t="shared" ca="1" si="20"/>
        <v>20.665458117141306</v>
      </c>
      <c r="K187" s="33">
        <f t="shared" ca="1" si="21"/>
        <v>27.553944156188397</v>
      </c>
      <c r="L187" s="33">
        <f t="shared" ca="1" si="22"/>
        <v>32.728985496613312</v>
      </c>
      <c r="M187" s="33">
        <f t="shared" ca="1" si="16"/>
        <v>28.335595010789014</v>
      </c>
      <c r="N187" s="33">
        <f ca="1">H187*external_curves!K117</f>
        <v>2.1674824832194246</v>
      </c>
      <c r="O187" s="33">
        <f ca="1">H187*external_curves!Q117</f>
        <v>31.5108427237369</v>
      </c>
      <c r="P187" s="33">
        <f ca="1">H187*external_curves!S117</f>
        <v>27.524909868705816</v>
      </c>
      <c r="Q187" s="14">
        <f ca="1">H187*external_curves!M117</f>
        <v>0.8174018864782594</v>
      </c>
    </row>
    <row r="188" spans="1:17" x14ac:dyDescent="0.2">
      <c r="A188" s="26">
        <v>39753</v>
      </c>
      <c r="B188" s="33">
        <f t="shared" si="19"/>
        <v>37.906627032426258</v>
      </c>
      <c r="C188" s="33">
        <f t="shared" si="19"/>
        <v>45.947426705971203</v>
      </c>
      <c r="D188" s="33"/>
      <c r="E188" s="33"/>
      <c r="F188" s="33">
        <f ca="1">$C$16*external_curves!K118</f>
        <v>56.53729202722397</v>
      </c>
      <c r="G188" s="33">
        <f ca="1">IF(swap_model!$B$37="Y",swap_model!B141,((F188*external_curves!AI118)+(Fwd_curves!B188*external_curves!AL118)+(Fwd_curves!C188*external_curves!AM118))/(external_curves!AH118))</f>
        <v>49.159165387272679</v>
      </c>
      <c r="H188" s="14">
        <f ca="1">external_curves!O118</f>
        <v>0.59650835232030874</v>
      </c>
      <c r="I188" s="15">
        <f t="shared" ca="1" si="17"/>
        <v>25.313979161002109</v>
      </c>
      <c r="J188" s="33">
        <f t="shared" ca="1" si="20"/>
        <v>22.61161963313306</v>
      </c>
      <c r="K188" s="33">
        <f t="shared" ca="1" si="21"/>
        <v>27.408023797737034</v>
      </c>
      <c r="L188" s="33">
        <f t="shared" ca="1" si="22"/>
        <v>33.724966911811499</v>
      </c>
      <c r="M188" s="33">
        <f t="shared" ca="1" si="16"/>
        <v>29.323852746603578</v>
      </c>
      <c r="N188" s="33">
        <f ca="1">H188*external_curves!K118</f>
        <v>2.2334415173385098</v>
      </c>
      <c r="O188" s="33">
        <f ca="1">H188*external_curves!Q118</f>
        <v>30.309077227087446</v>
      </c>
      <c r="P188" s="33">
        <f ca="1">H188*external_curves!S118</f>
        <v>25.841264636731704</v>
      </c>
      <c r="Q188" s="14">
        <f ca="1">H188*external_curves!M118</f>
        <v>0.81257579697285387</v>
      </c>
    </row>
    <row r="189" spans="1:17" x14ac:dyDescent="0.2">
      <c r="A189" s="26">
        <v>39783</v>
      </c>
      <c r="B189" s="33">
        <f t="shared" si="19"/>
        <v>37.906627032426258</v>
      </c>
      <c r="C189" s="33">
        <f t="shared" si="19"/>
        <v>45.947426705971203</v>
      </c>
      <c r="D189" s="33"/>
      <c r="E189" s="33"/>
      <c r="F189" s="33">
        <f ca="1">$C$16*external_curves!K119</f>
        <v>58.397807020496074</v>
      </c>
      <c r="G189" s="33">
        <f ca="1">IF(swap_model!$B$37="Y",swap_model!B142,((F189*external_curves!AI119)+(Fwd_curves!B189*external_curves!AL119)+(Fwd_curves!C189*external_curves!AM119))/(external_curves!AH119))</f>
        <v>49.935804566413204</v>
      </c>
      <c r="H189" s="14">
        <f ca="1">external_curves!O119</f>
        <v>0.59345018403405714</v>
      </c>
      <c r="I189" s="15">
        <f t="shared" ca="1" si="17"/>
        <v>25.444427192448952</v>
      </c>
      <c r="J189" s="33">
        <f t="shared" ca="1" si="20"/>
        <v>22.495694788503727</v>
      </c>
      <c r="K189" s="33">
        <f t="shared" ca="1" si="21"/>
        <v>27.267508834549961</v>
      </c>
      <c r="L189" s="33">
        <f t="shared" ca="1" si="22"/>
        <v>34.656189323498751</v>
      </c>
      <c r="M189" s="33">
        <f t="shared" ca="1" si="16"/>
        <v>29.634412409826627</v>
      </c>
      <c r="N189" s="33">
        <f ca="1">H189*external_curves!K119</f>
        <v>2.2951118757283941</v>
      </c>
      <c r="O189" s="33">
        <f ca="1">H189*external_curves!Q119</f>
        <v>30.13595349556584</v>
      </c>
      <c r="P189" s="33">
        <f ca="1">H189*external_curves!S119</f>
        <v>25.732710960690937</v>
      </c>
      <c r="Q189" s="14">
        <f ca="1">H189*external_curves!M119</f>
        <v>0.80793441006878919</v>
      </c>
    </row>
    <row r="190" spans="1:17" x14ac:dyDescent="0.2">
      <c r="A190" s="26">
        <v>39814</v>
      </c>
      <c r="B190" s="33">
        <f t="shared" ref="B190:C205" si="23">B178*(1+$B$22)</f>
        <v>38.664759573074782</v>
      </c>
      <c r="C190" s="33">
        <f t="shared" si="23"/>
        <v>45.108886168587233</v>
      </c>
      <c r="D190" s="33"/>
      <c r="E190" s="33"/>
      <c r="F190" s="33">
        <f ca="1">$C$16*external_curves!K120</f>
        <v>62.117868929571756</v>
      </c>
      <c r="G190" s="33">
        <f ca="1">IF(swap_model!$B$37="Y",swap_model!B143,((F190*external_curves!AI120)+(Fwd_curves!B190*external_curves!AL120)+(Fwd_curves!C190*external_curves!AM120))/(external_curves!AH120))</f>
        <v>51.335236893916139</v>
      </c>
      <c r="H190" s="14">
        <f ca="1">external_curves!O120</f>
        <v>0.59030570749255173</v>
      </c>
      <c r="I190" s="15">
        <f t="shared" ca="1" si="17"/>
        <v>25.579966123215108</v>
      </c>
      <c r="J190" s="33">
        <f t="shared" ca="1" si="20"/>
        <v>22.824028254813321</v>
      </c>
      <c r="K190" s="33">
        <f t="shared" ca="1" si="21"/>
        <v>26.628032963948868</v>
      </c>
      <c r="L190" s="33">
        <f t="shared" ca="1" si="22"/>
        <v>36.668532566400451</v>
      </c>
      <c r="M190" s="33">
        <f t="shared" ca="1" si="16"/>
        <v>30.303483333960912</v>
      </c>
      <c r="N190" s="33">
        <f ca="1">H190*external_curves!K120</f>
        <v>2.4283796401589703</v>
      </c>
      <c r="O190" s="33">
        <f ca="1">H190*external_curves!Q120</f>
        <v>26.223438531241626</v>
      </c>
      <c r="P190" s="33">
        <f ca="1">H190*external_curves!S120</f>
        <v>23.551177348765563</v>
      </c>
      <c r="Q190" s="14">
        <f ca="1">H190*external_curves!M120</f>
        <v>0.80316810202884004</v>
      </c>
    </row>
    <row r="191" spans="1:17" x14ac:dyDescent="0.2">
      <c r="A191" s="26">
        <v>39845</v>
      </c>
      <c r="B191" s="33">
        <f t="shared" si="23"/>
        <v>35.149781430067982</v>
      </c>
      <c r="C191" s="33">
        <f t="shared" si="23"/>
        <v>43.937226787584976</v>
      </c>
      <c r="D191" s="33"/>
      <c r="E191" s="33"/>
      <c r="F191" s="33">
        <f ca="1">$C$16*external_curves!K121</f>
        <v>60.048707194622565</v>
      </c>
      <c r="G191" s="33">
        <f ca="1">IF(swap_model!$B$37="Y",swap_model!B144,((F191*external_curves!AI121)+(Fwd_curves!B191*external_curves!AL121)+(Fwd_curves!C191*external_curves!AM121))/(external_curves!AH121))</f>
        <v>49.517111420098836</v>
      </c>
      <c r="H191" s="14">
        <f ca="1">external_curves!O121</f>
        <v>0.58717704358427203</v>
      </c>
      <c r="I191" s="15">
        <f t="shared" ca="1" si="17"/>
        <v>25.716264225566306</v>
      </c>
      <c r="J191" s="33">
        <f t="shared" ca="1" si="20"/>
        <v>20.639144742740662</v>
      </c>
      <c r="K191" s="33">
        <f t="shared" ca="1" si="21"/>
        <v>25.798930928425829</v>
      </c>
      <c r="L191" s="33">
        <f t="shared" ca="1" si="22"/>
        <v>35.25922236159608</v>
      </c>
      <c r="M191" s="33">
        <f t="shared" ca="1" si="16"/>
        <v>29.075311090486629</v>
      </c>
      <c r="N191" s="33">
        <f ca="1">H191*external_curves!K121</f>
        <v>2.3350478385162967</v>
      </c>
      <c r="O191" s="33">
        <f ca="1">H191*external_curves!Q121</f>
        <v>24.871152885855505</v>
      </c>
      <c r="P191" s="33">
        <f ca="1">H191*external_curves!S121</f>
        <v>22.8712711434478</v>
      </c>
      <c r="Q191" s="14">
        <f ca="1">H191*external_curves!M121</f>
        <v>0.79843187434528107</v>
      </c>
    </row>
    <row r="192" spans="1:17" x14ac:dyDescent="0.2">
      <c r="A192" s="26">
        <v>39873</v>
      </c>
      <c r="B192" s="33">
        <f t="shared" si="23"/>
        <v>36.321440811070239</v>
      </c>
      <c r="C192" s="33">
        <f t="shared" si="23"/>
        <v>43.937226787584976</v>
      </c>
      <c r="D192" s="33"/>
      <c r="E192" s="33"/>
      <c r="F192" s="33">
        <f ca="1">$C$16*external_curves!K122</f>
        <v>57.41932877975718</v>
      </c>
      <c r="G192" s="33">
        <f ca="1">IF(swap_model!$B$37="Y",swap_model!B145,((F192*external_curves!AI122)+(Fwd_curves!B192*external_curves!AL122)+(Fwd_curves!C192*external_curves!AM122))/(external_curves!AH122))</f>
        <v>48.72231941317726</v>
      </c>
      <c r="H192" s="14">
        <f ca="1">external_curves!O122</f>
        <v>0.58436468269331332</v>
      </c>
      <c r="I192" s="15">
        <f t="shared" ca="1" si="17"/>
        <v>25.840028405557824</v>
      </c>
      <c r="J192" s="33">
        <f t="shared" ca="1" si="20"/>
        <v>21.224967234525021</v>
      </c>
      <c r="K192" s="33">
        <f t="shared" ca="1" si="21"/>
        <v>25.675363590151239</v>
      </c>
      <c r="L192" s="33">
        <f t="shared" ca="1" si="22"/>
        <v>33.553827842845841</v>
      </c>
      <c r="M192" s="33">
        <f t="shared" ca="1" si="16"/>
        <v>28.471602723963588</v>
      </c>
      <c r="N192" s="33">
        <f ca="1">H192*external_curves!K122</f>
        <v>2.222107804161976</v>
      </c>
      <c r="O192" s="33">
        <f ca="1">H192*external_curves!Q122</f>
        <v>23.348882566378204</v>
      </c>
      <c r="P192" s="33">
        <f ca="1">H192*external_curves!S122</f>
        <v>20.868565493229003</v>
      </c>
      <c r="Q192" s="14">
        <f ca="1">H192*external_curves!M122</f>
        <v>0.7941796791285104</v>
      </c>
    </row>
    <row r="193" spans="1:17" x14ac:dyDescent="0.2">
      <c r="A193" s="26">
        <v>39904</v>
      </c>
      <c r="B193" s="33">
        <f t="shared" si="23"/>
        <v>34.563951739566832</v>
      </c>
      <c r="C193" s="33">
        <f t="shared" si="23"/>
        <v>43.937226787584976</v>
      </c>
      <c r="D193" s="33"/>
      <c r="E193" s="33"/>
      <c r="F193" s="33">
        <f ca="1">$C$16*external_curves!K123</f>
        <v>54.006602408926085</v>
      </c>
      <c r="G193" s="33">
        <f ca="1">IF(swap_model!$B$37="Y",swap_model!B146,((F193*external_curves!AI123)+(Fwd_curves!B193*external_curves!AL123)+(Fwd_curves!C193*external_curves!AM123))/(external_curves!AH123))</f>
        <v>46.449171233006595</v>
      </c>
      <c r="H193" s="14">
        <f ca="1">external_curves!O123</f>
        <v>0.58126590748259321</v>
      </c>
      <c r="I193" s="15">
        <f t="shared" ca="1" si="17"/>
        <v>25.977783671154306</v>
      </c>
      <c r="J193" s="33">
        <f t="shared" ca="1" si="20"/>
        <v>20.090846774083872</v>
      </c>
      <c r="K193" s="33">
        <f t="shared" ca="1" si="21"/>
        <v>25.539212000954084</v>
      </c>
      <c r="L193" s="33">
        <f t="shared" ca="1" si="22"/>
        <v>31.392196759276025</v>
      </c>
      <c r="M193" s="33">
        <f t="shared" ca="1" si="16"/>
        <v>26.999319668567942</v>
      </c>
      <c r="N193" s="33">
        <f ca="1">H193*external_curves!K123</f>
        <v>2.0789534277666242</v>
      </c>
      <c r="O193" s="33">
        <f ca="1">H193*external_curves!Q123</f>
        <v>21.434929024032723</v>
      </c>
      <c r="P193" s="33">
        <f ca="1">H193*external_curves!S123</f>
        <v>18.393827086452404</v>
      </c>
      <c r="Q193" s="14">
        <f ca="1">H193*external_curves!M123</f>
        <v>0.78950014821483339</v>
      </c>
    </row>
    <row r="194" spans="1:17" x14ac:dyDescent="0.2">
      <c r="A194" s="26">
        <v>39934</v>
      </c>
      <c r="B194" s="33">
        <f t="shared" si="23"/>
        <v>37.493100192072504</v>
      </c>
      <c r="C194" s="33">
        <f t="shared" si="23"/>
        <v>43.937226787584976</v>
      </c>
      <c r="D194" s="33"/>
      <c r="E194" s="33"/>
      <c r="F194" s="33">
        <f ca="1">$C$16*external_curves!K124</f>
        <v>53.593324484720569</v>
      </c>
      <c r="G194" s="33">
        <f ca="1">IF(swap_model!$B$37="Y",swap_model!B147,((F194*external_curves!AI124)+(Fwd_curves!B194*external_curves!AL124)+(Fwd_curves!C194*external_curves!AM124))/(external_curves!AH124))</f>
        <v>46.981286073312837</v>
      </c>
      <c r="H194" s="14">
        <f ca="1">external_curves!O124</f>
        <v>0.57828194341435279</v>
      </c>
      <c r="I194" s="15">
        <f t="shared" ca="1" si="17"/>
        <v>26.111830348436957</v>
      </c>
      <c r="J194" s="33">
        <f t="shared" ca="1" si="20"/>
        <v>21.681582843700731</v>
      </c>
      <c r="K194" s="33">
        <f t="shared" ca="1" si="21"/>
        <v>25.408104894961802</v>
      </c>
      <c r="L194" s="33">
        <f t="shared" ca="1" si="22"/>
        <v>30.992051837060227</v>
      </c>
      <c r="M194" s="33">
        <f t="shared" ca="1" si="16"/>
        <v>27.168429414581016</v>
      </c>
      <c r="N194" s="33">
        <f ca="1">H194*external_curves!K124</f>
        <v>2.0524537640437237</v>
      </c>
      <c r="O194" s="33">
        <f ca="1">H194*external_curves!Q124</f>
        <v>19.742741491778695</v>
      </c>
      <c r="P194" s="33">
        <f ca="1">H194*external_curves!S124</f>
        <v>14.218200861851095</v>
      </c>
      <c r="Q194" s="14">
        <f ca="1">H194*external_curves!M124</f>
        <v>0.78499966170094226</v>
      </c>
    </row>
    <row r="195" spans="1:17" x14ac:dyDescent="0.2">
      <c r="A195" s="26">
        <v>39965</v>
      </c>
      <c r="B195" s="33">
        <f t="shared" si="23"/>
        <v>37.493100192072504</v>
      </c>
      <c r="C195" s="33">
        <f t="shared" si="23"/>
        <v>43.937226787584976</v>
      </c>
      <c r="D195" s="33"/>
      <c r="E195" s="33"/>
      <c r="F195" s="33">
        <f ca="1">$C$16*external_curves!K125</f>
        <v>55.192439226684805</v>
      </c>
      <c r="G195" s="33">
        <f ca="1">IF(swap_model!$B$37="Y",swap_model!B148,((F195*external_curves!AI125)+(Fwd_curves!B195*external_curves!AL125)+(Fwd_curves!C195*external_curves!AM125))/(external_curves!AH125))</f>
        <v>47.864544145575181</v>
      </c>
      <c r="H195" s="14">
        <f ca="1">external_curves!O125</f>
        <v>0.57521378769048326</v>
      </c>
      <c r="I195" s="15">
        <f t="shared" ca="1" si="17"/>
        <v>26.251109279955504</v>
      </c>
      <c r="J195" s="33">
        <f t="shared" ca="1" si="20"/>
        <v>21.566548173740809</v>
      </c>
      <c r="K195" s="33">
        <f t="shared" ca="1" si="21"/>
        <v>25.273298641102517</v>
      </c>
      <c r="L195" s="33">
        <f t="shared" ca="1" si="22"/>
        <v>31.747452019458173</v>
      </c>
      <c r="M195" s="33">
        <f t="shared" ca="1" si="16"/>
        <v>27.532345734054644</v>
      </c>
      <c r="N195" s="33">
        <f ca="1">H195*external_curves!K125</f>
        <v>2.102480266189283</v>
      </c>
      <c r="O195" s="33">
        <f ca="1">H195*external_curves!Q125</f>
        <v>21.187262587515306</v>
      </c>
      <c r="P195" s="33">
        <f ca="1">H195*external_curves!S125</f>
        <v>15.839072055909234</v>
      </c>
      <c r="Q195" s="14">
        <f ca="1">H195*external_curves!M125</f>
        <v>0.78037799585691747</v>
      </c>
    </row>
    <row r="196" spans="1:17" x14ac:dyDescent="0.2">
      <c r="A196" s="26">
        <v>39995</v>
      </c>
      <c r="B196" s="33">
        <f t="shared" si="23"/>
        <v>35.149781430067982</v>
      </c>
      <c r="C196" s="33">
        <f t="shared" si="23"/>
        <v>44.757388354286562</v>
      </c>
      <c r="D196" s="33"/>
      <c r="E196" s="33"/>
      <c r="F196" s="33">
        <f ca="1">$C$16*external_curves!K126</f>
        <v>54.954821865559452</v>
      </c>
      <c r="G196" s="33">
        <f ca="1">IF(swap_model!$B$37="Y",swap_model!B149,((F196*external_curves!AI126)+(Fwd_curves!B196*external_curves!AL126)+(Fwd_curves!C196*external_curves!AM126))/(external_curves!AH126))</f>
        <v>47.193221279715281</v>
      </c>
      <c r="H196" s="14">
        <f ca="1">external_curves!O126</f>
        <v>0.57225931735262758</v>
      </c>
      <c r="I196" s="15">
        <f t="shared" ca="1" si="17"/>
        <v>26.386638962656409</v>
      </c>
      <c r="J196" s="33">
        <f t="shared" ca="1" si="20"/>
        <v>20.11478992626477</v>
      </c>
      <c r="K196" s="33">
        <f t="shared" ca="1" si="21"/>
        <v>25.612832506110472</v>
      </c>
      <c r="L196" s="33">
        <f t="shared" ca="1" si="22"/>
        <v>31.448408846020303</v>
      </c>
      <c r="M196" s="33">
        <f t="shared" ca="1" si="16"/>
        <v>27.006760593201363</v>
      </c>
      <c r="N196" s="33">
        <f ca="1">H196*external_curves!K126</f>
        <v>2.0826760825179007</v>
      </c>
      <c r="O196" s="33">
        <f ca="1">H196*external_curves!Q126</f>
        <v>46.208758368537772</v>
      </c>
      <c r="P196" s="33">
        <f ca="1">H196*external_curves!S126</f>
        <v>33.697357933298704</v>
      </c>
      <c r="Q196" s="14">
        <f ca="1">H196*external_curves!M126</f>
        <v>0.77593314081756048</v>
      </c>
    </row>
    <row r="197" spans="1:17" x14ac:dyDescent="0.2">
      <c r="A197" s="26">
        <v>40026</v>
      </c>
      <c r="B197" s="33">
        <f t="shared" si="23"/>
        <v>35.149781430067982</v>
      </c>
      <c r="C197" s="33">
        <f t="shared" si="23"/>
        <v>47.147573491531176</v>
      </c>
      <c r="D197" s="33"/>
      <c r="E197" s="33"/>
      <c r="F197" s="33">
        <f ca="1">$C$16*external_curves!K127</f>
        <v>54.911393210284444</v>
      </c>
      <c r="G197" s="33">
        <f ca="1">IF(swap_model!$B$37="Y",swap_model!B150,((F197*external_curves!AI127)+(Fwd_curves!B197*external_curves!AL127)+(Fwd_curves!C197*external_curves!AM127))/(external_curves!AH127))</f>
        <v>48.020546498509638</v>
      </c>
      <c r="H197" s="14">
        <f ca="1">external_curves!O127</f>
        <v>0.5692214964713912</v>
      </c>
      <c r="I197" s="15">
        <f t="shared" ca="1" si="17"/>
        <v>26.527459158877562</v>
      </c>
      <c r="J197" s="33">
        <f t="shared" ca="1" si="20"/>
        <v>20.008011186265612</v>
      </c>
      <c r="K197" s="33">
        <f t="shared" ca="1" si="21"/>
        <v>26.83741233784427</v>
      </c>
      <c r="L197" s="33">
        <f t="shared" ca="1" si="22"/>
        <v>31.256745416487103</v>
      </c>
      <c r="M197" s="33">
        <f t="shared" ca="1" si="16"/>
        <v>27.33432733925568</v>
      </c>
      <c r="N197" s="33">
        <f ca="1">H197*external_curves!K127</f>
        <v>2.0699831401647089</v>
      </c>
      <c r="O197" s="33">
        <f ca="1">H197*external_curves!Q127</f>
        <v>55.964719207897538</v>
      </c>
      <c r="P197" s="33">
        <f ca="1">H197*external_curves!S127</f>
        <v>41.223471584539283</v>
      </c>
      <c r="Q197" s="14">
        <f ca="1">H197*external_curves!M127</f>
        <v>0.77136858423758725</v>
      </c>
    </row>
    <row r="198" spans="1:17" x14ac:dyDescent="0.2">
      <c r="A198" s="26">
        <v>40057</v>
      </c>
      <c r="B198" s="33">
        <f t="shared" si="23"/>
        <v>35.149781430067982</v>
      </c>
      <c r="C198" s="33">
        <f t="shared" si="23"/>
        <v>47.147573491531176</v>
      </c>
      <c r="D198" s="33"/>
      <c r="E198" s="33"/>
      <c r="F198" s="33">
        <f ca="1">$C$16*external_curves!K128</f>
        <v>54.653639785505703</v>
      </c>
      <c r="G198" s="33">
        <f ca="1">IF(swap_model!$B$37="Y",swap_model!B151,((F198*external_curves!AI128)+(Fwd_curves!B198*external_curves!AL128)+(Fwd_curves!C198*external_curves!AM128))/(external_curves!AH128))</f>
        <v>47.884412286894388</v>
      </c>
      <c r="H198" s="14">
        <f ca="1">external_curves!O128</f>
        <v>0.56619898336139218</v>
      </c>
      <c r="I198" s="15">
        <f t="shared" ca="1" si="17"/>
        <v>26.669069432719212</v>
      </c>
      <c r="J198" s="33">
        <f t="shared" ca="1" si="20"/>
        <v>19.901770511079633</v>
      </c>
      <c r="K198" s="33">
        <f t="shared" ca="1" si="21"/>
        <v>26.694908178861475</v>
      </c>
      <c r="L198" s="33">
        <f t="shared" ca="1" si="22"/>
        <v>30.944835283553065</v>
      </c>
      <c r="M198" s="33">
        <f t="shared" ca="1" si="16"/>
        <v>27.112105555697358</v>
      </c>
      <c r="N198" s="33">
        <f ca="1">H198*external_curves!K128</f>
        <v>2.0493268399704019</v>
      </c>
      <c r="O198" s="33">
        <f ca="1">H198*external_curves!Q128</f>
        <v>49.767446388248082</v>
      </c>
      <c r="P198" s="33">
        <f ca="1">H198*external_curves!S128</f>
        <v>36.046678147995507</v>
      </c>
      <c r="Q198" s="14">
        <f ca="1">H198*external_curves!M128</f>
        <v>0.76683276407161904</v>
      </c>
    </row>
    <row r="199" spans="1:17" x14ac:dyDescent="0.2">
      <c r="A199" s="26">
        <v>40087</v>
      </c>
      <c r="B199" s="33">
        <f t="shared" si="23"/>
        <v>35.149781430067982</v>
      </c>
      <c r="C199" s="33">
        <f t="shared" si="23"/>
        <v>46.866375240090626</v>
      </c>
      <c r="D199" s="33"/>
      <c r="E199" s="33"/>
      <c r="F199" s="33">
        <f ca="1">$C$16*external_curves!K129</f>
        <v>54.88484279816867</v>
      </c>
      <c r="G199" s="33">
        <f ca="1">IF(swap_model!$B$37="Y",swap_model!B152,((F199*external_curves!AI129)+(Fwd_curves!B199*external_curves!AL129)+(Fwd_curves!C199*external_curves!AM129))/(external_curves!AH129))</f>
        <v>47.841936180185279</v>
      </c>
      <c r="H199" s="14">
        <f ca="1">external_curves!O129</f>
        <v>0.56328847736703402</v>
      </c>
      <c r="I199" s="15">
        <f t="shared" ca="1" si="17"/>
        <v>26.806868250850027</v>
      </c>
      <c r="J199" s="33">
        <f t="shared" ca="1" si="20"/>
        <v>19.799466861527041</v>
      </c>
      <c r="K199" s="33">
        <f t="shared" ca="1" si="21"/>
        <v>26.399289148702714</v>
      </c>
      <c r="L199" s="33">
        <f t="shared" ca="1" si="22"/>
        <v>30.915999530309453</v>
      </c>
      <c r="M199" s="33">
        <f t="shared" ca="1" si="16"/>
        <v>26.94881138522738</v>
      </c>
      <c r="N199" s="33">
        <f ca="1">H199*external_curves!K129</f>
        <v>2.0474171874377123</v>
      </c>
      <c r="O199" s="33">
        <f ca="1">H199*external_curves!Q129</f>
        <v>29.469482563755193</v>
      </c>
      <c r="P199" s="33">
        <f ca="1">H199*external_curves!S129</f>
        <v>25.737066773537059</v>
      </c>
      <c r="Q199" s="14">
        <f ca="1">H199*external_curves!M129</f>
        <v>0.76247044149431287</v>
      </c>
    </row>
    <row r="200" spans="1:17" x14ac:dyDescent="0.2">
      <c r="A200" s="26">
        <v>40118</v>
      </c>
      <c r="B200" s="33">
        <f t="shared" si="23"/>
        <v>38.664759573074782</v>
      </c>
      <c r="C200" s="33">
        <f t="shared" si="23"/>
        <v>46.866375240090626</v>
      </c>
      <c r="D200" s="33"/>
      <c r="E200" s="33"/>
      <c r="F200" s="33">
        <f ca="1">$C$16*external_curves!K130</f>
        <v>55.756834772800083</v>
      </c>
      <c r="G200" s="33">
        <f ca="1">IF(swap_model!$B$37="Y",swap_model!B153,((F200*external_curves!AI130)+(Fwd_curves!B200*external_curves!AL130)+(Fwd_curves!C200*external_curves!AM130))/(external_curves!AH130))</f>
        <v>49.207982737478041</v>
      </c>
      <c r="H200" s="14">
        <f ca="1">external_curves!O130</f>
        <v>0.5602958744410671</v>
      </c>
      <c r="I200" s="15">
        <f t="shared" ca="1" si="17"/>
        <v>26.950046732118576</v>
      </c>
      <c r="J200" s="33">
        <f t="shared" ca="1" si="20"/>
        <v>21.663705275049555</v>
      </c>
      <c r="K200" s="33">
        <f t="shared" ca="1" si="21"/>
        <v>26.259036697029753</v>
      </c>
      <c r="L200" s="33">
        <f t="shared" ca="1" si="22"/>
        <v>31.240324495092118</v>
      </c>
      <c r="M200" s="33">
        <f t="shared" ca="1" si="16"/>
        <v>27.571029717376195</v>
      </c>
      <c r="N200" s="33">
        <f ca="1">H200*external_curves!K130</f>
        <v>2.0688956619266303</v>
      </c>
      <c r="O200" s="33">
        <f ca="1">H200*external_curves!Q130</f>
        <v>28.348848821739821</v>
      </c>
      <c r="P200" s="33">
        <f ca="1">H200*external_curves!S130</f>
        <v>24.164740653397473</v>
      </c>
      <c r="Q200" s="14">
        <f ca="1">H200*external_curves!M130</f>
        <v>0.75799061020694714</v>
      </c>
    </row>
    <row r="201" spans="1:17" x14ac:dyDescent="0.2">
      <c r="A201" s="26">
        <v>40148</v>
      </c>
      <c r="B201" s="33">
        <f t="shared" si="23"/>
        <v>38.664759573074782</v>
      </c>
      <c r="C201" s="33">
        <f t="shared" si="23"/>
        <v>46.866375240090626</v>
      </c>
      <c r="D201" s="33"/>
      <c r="E201" s="33"/>
      <c r="F201" s="33">
        <f ca="1">$C$16*external_curves!K131</f>
        <v>57.54329007242859</v>
      </c>
      <c r="G201" s="33">
        <f ca="1">IF(swap_model!$B$37="Y",swap_model!B154,((F201*external_curves!AI131)+(Fwd_curves!B201*external_curves!AL131)+(Fwd_curves!C201*external_curves!AM131))/(external_curves!AH131))</f>
        <v>49.977651669644622</v>
      </c>
      <c r="H201" s="14">
        <f ca="1">external_curves!O131</f>
        <v>0.55741417872507437</v>
      </c>
      <c r="I201" s="15">
        <f t="shared" ca="1" si="17"/>
        <v>27.089371918268984</v>
      </c>
      <c r="J201" s="33">
        <f t="shared" ca="1" si="20"/>
        <v>21.552285203027935</v>
      </c>
      <c r="K201" s="33">
        <f t="shared" ca="1" si="21"/>
        <v>26.123982064276277</v>
      </c>
      <c r="L201" s="33">
        <f t="shared" ca="1" si="22"/>
        <v>32.075445776861507</v>
      </c>
      <c r="M201" s="33">
        <f t="shared" ca="1" si="16"/>
        <v>27.8582516600428</v>
      </c>
      <c r="N201" s="33">
        <f ca="1">H201*external_curves!K131</f>
        <v>2.1242017070769212</v>
      </c>
      <c r="O201" s="33">
        <f ca="1">H201*external_curves!Q131</f>
        <v>28.187711134744617</v>
      </c>
      <c r="P201" s="33">
        <f ca="1">H201*external_curves!S131</f>
        <v>24.06434059096966</v>
      </c>
      <c r="Q201" s="14">
        <f ca="1">H201*external_curves!M131</f>
        <v>0.75368211590226253</v>
      </c>
    </row>
    <row r="202" spans="1:17" x14ac:dyDescent="0.2">
      <c r="A202" s="26">
        <v>40179</v>
      </c>
      <c r="B202" s="33">
        <f t="shared" si="23"/>
        <v>39.438054764536275</v>
      </c>
      <c r="C202" s="33">
        <f t="shared" si="23"/>
        <v>46.011063891958976</v>
      </c>
      <c r="D202" s="33"/>
      <c r="E202" s="33"/>
      <c r="F202" s="33">
        <f ca="1">$C$16*external_curves!K132</f>
        <v>61.386102924552439</v>
      </c>
      <c r="G202" s="33">
        <f ca="1">IF(swap_model!$B$37="Y",swap_model!B155,((F202*external_curves!AI132)+(Fwd_curves!B202*external_curves!AL132)+(Fwd_curves!C202*external_curves!AM132))/(external_curves!AH132))</f>
        <v>51.47040203919606</v>
      </c>
      <c r="H202" s="14">
        <f ca="1">external_curves!O132</f>
        <v>0.55445120746490562</v>
      </c>
      <c r="I202" s="15">
        <f t="shared" ca="1" si="17"/>
        <v>27.234136740437641</v>
      </c>
      <c r="J202" s="33">
        <f t="shared" ca="1" si="20"/>
        <v>21.866477084264211</v>
      </c>
      <c r="K202" s="33">
        <f t="shared" ca="1" si="21"/>
        <v>25.510889931641575</v>
      </c>
      <c r="L202" s="33">
        <f t="shared" ca="1" si="22"/>
        <v>34.035598888083072</v>
      </c>
      <c r="M202" s="33">
        <f t="shared" ca="1" si="16"/>
        <v>28.537826559336395</v>
      </c>
      <c r="N202" s="33">
        <f ca="1">H202*external_curves!K132</f>
        <v>2.2540131713962301</v>
      </c>
      <c r="O202" s="33">
        <f ca="1">H202*external_curves!Q132</f>
        <v>24.538184544903721</v>
      </c>
      <c r="P202" s="33">
        <f ca="1">H202*external_curves!S132</f>
        <v>21.903698344071898</v>
      </c>
      <c r="Q202" s="14">
        <f ca="1">H202*external_curves!M132</f>
        <v>0.74925754335583883</v>
      </c>
    </row>
    <row r="203" spans="1:17" x14ac:dyDescent="0.2">
      <c r="A203" s="26">
        <v>40210</v>
      </c>
      <c r="B203" s="33">
        <f t="shared" si="23"/>
        <v>35.852777058669339</v>
      </c>
      <c r="C203" s="33">
        <f t="shared" si="23"/>
        <v>44.815971323336676</v>
      </c>
      <c r="D203" s="33"/>
      <c r="E203" s="33"/>
      <c r="F203" s="33">
        <f ca="1">$C$16*external_curves!K133</f>
        <v>59.41550555089264</v>
      </c>
      <c r="G203" s="33">
        <f ca="1">IF(swap_model!$B$37="Y",swap_model!B156,((F203*external_curves!AI133)+(Fwd_curves!B203*external_curves!AL133)+(Fwd_curves!C203*external_curves!AM133))/(external_curves!AH133))</f>
        <v>49.634036606775865</v>
      </c>
      <c r="H203" s="14">
        <f ca="1">external_curves!O133</f>
        <v>0.55150318895604289</v>
      </c>
      <c r="I203" s="15">
        <f t="shared" ca="1" si="17"/>
        <v>27.379714754838041</v>
      </c>
      <c r="J203" s="33">
        <f t="shared" ca="1" si="20"/>
        <v>19.772920880786195</v>
      </c>
      <c r="K203" s="33">
        <f t="shared" ca="1" si="21"/>
        <v>24.716151100982746</v>
      </c>
      <c r="L203" s="33">
        <f t="shared" ca="1" si="22"/>
        <v>32.767840784752757</v>
      </c>
      <c r="M203" s="33">
        <f t="shared" ca="1" si="16"/>
        <v>27.373329469397859</v>
      </c>
      <c r="N203" s="33">
        <f ca="1">H203*external_curves!K133</f>
        <v>2.1700556811094542</v>
      </c>
      <c r="O203" s="33">
        <f ca="1">H203*external_curves!Q133</f>
        <v>23.27689926605624</v>
      </c>
      <c r="P203" s="33">
        <f ca="1">H203*external_curves!S133</f>
        <v>21.397012544378555</v>
      </c>
      <c r="Q203" s="14">
        <f ca="1">H203*external_curves!M133</f>
        <v>0.74486077651379967</v>
      </c>
    </row>
    <row r="204" spans="1:17" x14ac:dyDescent="0.2">
      <c r="A204" s="26">
        <v>40238</v>
      </c>
      <c r="B204" s="33">
        <f t="shared" si="23"/>
        <v>37.047869627291647</v>
      </c>
      <c r="C204" s="33">
        <f t="shared" si="23"/>
        <v>44.815971323336676</v>
      </c>
      <c r="D204" s="33"/>
      <c r="E204" s="33"/>
      <c r="F204" s="33">
        <f ca="1">$C$16*external_curves!K134</f>
        <v>56.870078003975138</v>
      </c>
      <c r="G204" s="33">
        <f ca="1">IF(swap_model!$B$37="Y",swap_model!B157,((F204*external_curves!AI134)+(Fwd_curves!B204*external_curves!AL134)+(Fwd_curves!C204*external_curves!AM134))/(external_curves!AH134))</f>
        <v>48.857074208286498</v>
      </c>
      <c r="H204" s="14">
        <f ca="1">external_curves!O134</f>
        <v>0.54885325571047838</v>
      </c>
      <c r="I204" s="15">
        <f t="shared" ca="1" si="17"/>
        <v>27.511907496027121</v>
      </c>
      <c r="J204" s="33">
        <f t="shared" ca="1" si="20"/>
        <v>20.333843862076368</v>
      </c>
      <c r="K204" s="33">
        <f t="shared" ca="1" si="21"/>
        <v>24.597391768640772</v>
      </c>
      <c r="L204" s="33">
        <f t="shared" ca="1" si="22"/>
        <v>31.21332746499062</v>
      </c>
      <c r="M204" s="33">
        <f t="shared" ca="1" si="16"/>
        <v>26.815364243706487</v>
      </c>
      <c r="N204" s="33">
        <f ca="1">H204*external_curves!K134</f>
        <v>2.0671077791384516</v>
      </c>
      <c r="O204" s="33">
        <f ca="1">H204*external_curves!Q134</f>
        <v>21.856940850801688</v>
      </c>
      <c r="P204" s="33">
        <f ca="1">H204*external_curves!S134</f>
        <v>19.640176210110759</v>
      </c>
      <c r="Q204" s="14">
        <f ca="1">H204*external_curves!M134</f>
        <v>0.74091324917971824</v>
      </c>
    </row>
    <row r="205" spans="1:17" x14ac:dyDescent="0.2">
      <c r="A205" s="26">
        <v>40269</v>
      </c>
      <c r="B205" s="33">
        <f t="shared" si="23"/>
        <v>35.255230774358168</v>
      </c>
      <c r="C205" s="33">
        <f t="shared" si="23"/>
        <v>44.815971323336676</v>
      </c>
      <c r="D205" s="33"/>
      <c r="E205" s="33"/>
      <c r="F205" s="33">
        <f ca="1">$C$16*external_curves!K135</f>
        <v>54.324223835371953</v>
      </c>
      <c r="G205" s="33">
        <f ca="1">IF(swap_model!$B$37="Y",swap_model!B158,((F205*external_curves!AI135)+(Fwd_curves!B205*external_curves!AL135)+(Fwd_curves!C205*external_curves!AM135))/(external_curves!AH135))</f>
        <v>47.022316367524823</v>
      </c>
      <c r="H205" s="14">
        <f ca="1">external_curves!O135</f>
        <v>0.54593349978423489</v>
      </c>
      <c r="I205" s="15">
        <f t="shared" ca="1" si="17"/>
        <v>27.659046396617644</v>
      </c>
      <c r="J205" s="33">
        <f t="shared" ca="1" si="20"/>
        <v>19.247011522346217</v>
      </c>
      <c r="K205" s="33">
        <f t="shared" ca="1" si="21"/>
        <v>24.4665400707791</v>
      </c>
      <c r="L205" s="33">
        <f t="shared" ca="1" si="22"/>
        <v>29.657413641506761</v>
      </c>
      <c r="M205" s="33">
        <f t="shared" ca="1" si="16"/>
        <v>25.671057742484336</v>
      </c>
      <c r="N205" s="33">
        <f ca="1">H205*external_curves!K135</f>
        <v>1.9640671285766067</v>
      </c>
      <c r="O205" s="33">
        <f ca="1">H205*external_curves!Q135</f>
        <v>20.071502352770004</v>
      </c>
      <c r="P205" s="33">
        <f ca="1">H205*external_curves!S135</f>
        <v>17.220375110917246</v>
      </c>
      <c r="Q205" s="14">
        <f ca="1">H205*external_curves!M135</f>
        <v>0.73656889367963319</v>
      </c>
    </row>
    <row r="206" spans="1:17" x14ac:dyDescent="0.2">
      <c r="A206" s="26">
        <v>40299</v>
      </c>
      <c r="B206" s="33">
        <f t="shared" ref="B206:C221" si="24">B194*(1+$B$22)</f>
        <v>38.242962195913954</v>
      </c>
      <c r="C206" s="33">
        <f t="shared" si="24"/>
        <v>44.815971323336676</v>
      </c>
      <c r="D206" s="33"/>
      <c r="E206" s="33"/>
      <c r="F206" s="33">
        <f ca="1">$C$16*external_curves!K136</f>
        <v>53.934864867299488</v>
      </c>
      <c r="G206" s="33">
        <f ca="1">IF(swap_model!$B$37="Y",swap_model!B159,((F206*external_curves!AI136)+(Fwd_curves!B206*external_curves!AL136)+(Fwd_curves!C206*external_curves!AM136))/(external_curves!AH136))</f>
        <v>47.575381163455646</v>
      </c>
      <c r="H206" s="14">
        <f ca="1">external_curves!O136</f>
        <v>0.54312197183750521</v>
      </c>
      <c r="I206" s="15">
        <f t="shared" ca="1" si="17"/>
        <v>27.802226356104253</v>
      </c>
      <c r="J206" s="33">
        <f t="shared" ca="1" si="20"/>
        <v>20.770593036751954</v>
      </c>
      <c r="K206" s="33">
        <f t="shared" ca="1" si="21"/>
        <v>24.340538714943705</v>
      </c>
      <c r="L206" s="33">
        <f t="shared" ca="1" si="22"/>
        <v>29.29321015751708</v>
      </c>
      <c r="M206" s="33">
        <f t="shared" ca="1" si="16"/>
        <v>25.839234828416934</v>
      </c>
      <c r="N206" s="33">
        <f ca="1">H206*external_curves!K136</f>
        <v>1.9399476925508001</v>
      </c>
      <c r="O206" s="33">
        <f ca="1">H206*external_curves!Q136</f>
        <v>18.492863864688481</v>
      </c>
      <c r="P206" s="33">
        <f ca="1">H206*external_curves!S136</f>
        <v>13.322815902517508</v>
      </c>
      <c r="Q206" s="14">
        <f ca="1">H206*external_curves!M136</f>
        <v>0.73239064810647447</v>
      </c>
    </row>
    <row r="207" spans="1:17" x14ac:dyDescent="0.2">
      <c r="A207" s="26">
        <v>40330</v>
      </c>
      <c r="B207" s="33">
        <f t="shared" si="24"/>
        <v>38.242962195913954</v>
      </c>
      <c r="C207" s="33">
        <f t="shared" si="24"/>
        <v>44.815971323336676</v>
      </c>
      <c r="D207" s="33"/>
      <c r="E207" s="33"/>
      <c r="F207" s="33">
        <f ca="1">$C$16*external_curves!K137</f>
        <v>55.53988418561557</v>
      </c>
      <c r="G207" s="33">
        <f ca="1">IF(swap_model!$B$37="Y",swap_model!B160,((F207*external_curves!AI137)+(Fwd_curves!B207*external_curves!AL137)+(Fwd_curves!C207*external_curves!AM137))/(external_curves!AH137))</f>
        <v>48.452037602636359</v>
      </c>
      <c r="H207" s="14">
        <f ca="1">external_curves!O137</f>
        <v>0.54023116845167107</v>
      </c>
      <c r="I207" s="15">
        <f t="shared" ca="1" si="17"/>
        <v>27.950997428151616</v>
      </c>
      <c r="J207" s="33">
        <f t="shared" ca="1" si="20"/>
        <v>20.66004015215168</v>
      </c>
      <c r="K207" s="33">
        <f t="shared" ca="1" si="21"/>
        <v>24.210984553302755</v>
      </c>
      <c r="L207" s="33">
        <f t="shared" ca="1" si="22"/>
        <v>30.004376529265588</v>
      </c>
      <c r="M207" s="33">
        <f t="shared" ca="1" si="16"/>
        <v>26.175300887936544</v>
      </c>
      <c r="N207" s="33">
        <f ca="1">H207*external_curves!K137</f>
        <v>1.9870448032626216</v>
      </c>
      <c r="O207" s="33">
        <f ca="1">H207*external_curves!Q137</f>
        <v>19.840719184439621</v>
      </c>
      <c r="P207" s="33">
        <f ca="1">H207*external_curves!S137</f>
        <v>14.837055651075335</v>
      </c>
      <c r="Q207" s="14">
        <f ca="1">H207*external_curves!M137</f>
        <v>0.72809978658494023</v>
      </c>
    </row>
    <row r="208" spans="1:17" x14ac:dyDescent="0.2">
      <c r="A208" s="26">
        <v>40360</v>
      </c>
      <c r="B208" s="33">
        <f t="shared" si="24"/>
        <v>35.852777058669339</v>
      </c>
      <c r="C208" s="33">
        <f t="shared" si="24"/>
        <v>45.652536121372293</v>
      </c>
      <c r="D208" s="33"/>
      <c r="E208" s="33"/>
      <c r="F208" s="33">
        <f ca="1">$C$16*external_curves!K138</f>
        <v>55.306276491662281</v>
      </c>
      <c r="G208" s="33">
        <f ca="1">IF(swap_model!$B$37="Y",swap_model!B161,((F208*external_curves!AI138)+(Fwd_curves!B208*external_curves!AL138)+(Fwd_curves!C208*external_curves!AM138))/(external_curves!AH138))</f>
        <v>47.799441016376782</v>
      </c>
      <c r="H208" s="14">
        <f ca="1">external_curves!O138</f>
        <v>0.5374119584237822</v>
      </c>
      <c r="I208" s="15">
        <f t="shared" ca="1" si="17"/>
        <v>28.097625598596608</v>
      </c>
      <c r="J208" s="33">
        <f t="shared" ca="1" si="20"/>
        <v>19.267711134030741</v>
      </c>
      <c r="K208" s="33">
        <f t="shared" ca="1" si="21"/>
        <v>24.534218843999142</v>
      </c>
      <c r="L208" s="33">
        <f t="shared" ca="1" si="22"/>
        <v>29.722254362511414</v>
      </c>
      <c r="M208" s="33">
        <f t="shared" ca="1" si="16"/>
        <v>25.687991208173109</v>
      </c>
      <c r="N208" s="33">
        <f ca="1">H208*external_curves!K138</f>
        <v>1.9683612160603585</v>
      </c>
      <c r="O208" s="33">
        <f ca="1">H208*external_curves!Q138</f>
        <v>43.172341658258908</v>
      </c>
      <c r="P208" s="33">
        <f ca="1">H208*external_curves!S138</f>
        <v>31.48864419851202</v>
      </c>
      <c r="Q208" s="14">
        <f ca="1">H208*external_curves!M138</f>
        <v>0.72391266666541854</v>
      </c>
    </row>
    <row r="209" spans="1:17" x14ac:dyDescent="0.2">
      <c r="A209" s="26">
        <v>40391</v>
      </c>
      <c r="B209" s="33">
        <f t="shared" si="24"/>
        <v>35.852777058669339</v>
      </c>
      <c r="C209" s="33">
        <f t="shared" si="24"/>
        <v>48.090524961361801</v>
      </c>
      <c r="D209" s="33"/>
      <c r="E209" s="33"/>
      <c r="F209" s="33">
        <f ca="1">$C$16*external_curves!K139</f>
        <v>55.265160275078514</v>
      </c>
      <c r="G209" s="33">
        <f ca="1">IF(swap_model!$B$37="Y",swap_model!B162,((F209*external_curves!AI139)+(Fwd_curves!B209*external_curves!AL139)+(Fwd_curves!C209*external_curves!AM139))/(external_curves!AH139))</f>
        <v>48.61272950619022</v>
      </c>
      <c r="H209" s="14">
        <f ca="1">external_curves!O139</f>
        <v>0.53448467235115404</v>
      </c>
      <c r="I209" s="15">
        <f t="shared" ca="1" si="17"/>
        <v>28.251511747897922</v>
      </c>
      <c r="J209" s="33">
        <f t="shared" ca="1" si="20"/>
        <v>19.162759799081854</v>
      </c>
      <c r="K209" s="33">
        <f t="shared" ca="1" si="21"/>
        <v>25.703648477168457</v>
      </c>
      <c r="L209" s="33">
        <f t="shared" ca="1" si="22"/>
        <v>29.538381082059352</v>
      </c>
      <c r="M209" s="33">
        <f t="shared" ca="1" si="16"/>
        <v>25.982758802211357</v>
      </c>
      <c r="N209" s="33">
        <f ca="1">H209*external_curves!K139</f>
        <v>1.9561841776198248</v>
      </c>
      <c r="O209" s="33">
        <f ca="1">H209*external_curves!Q139</f>
        <v>52.267345609174036</v>
      </c>
      <c r="P209" s="33">
        <f ca="1">H209*external_curves!S139</f>
        <v>38.282943939246408</v>
      </c>
      <c r="Q209" s="14">
        <f ca="1">H209*external_curves!M139</f>
        <v>0.71956421420304983</v>
      </c>
    </row>
    <row r="210" spans="1:17" x14ac:dyDescent="0.2">
      <c r="A210" s="26">
        <v>40422</v>
      </c>
      <c r="B210" s="33">
        <f t="shared" si="24"/>
        <v>35.852777058669339</v>
      </c>
      <c r="C210" s="33">
        <f t="shared" si="24"/>
        <v>48.090524961361801</v>
      </c>
      <c r="D210" s="33"/>
      <c r="E210" s="33"/>
      <c r="F210" s="33">
        <f ca="1">$C$16*external_curves!K140</f>
        <v>54.992343921888008</v>
      </c>
      <c r="G210" s="33">
        <f ca="1">IF(swap_model!$B$37="Y",swap_model!B163,((F210*external_curves!AI140)+(Fwd_curves!B210*external_curves!AL140)+(Fwd_curves!C210*external_curves!AM140))/(external_curves!AH140))</f>
        <v>48.473298076960901</v>
      </c>
      <c r="H210" s="14">
        <f ca="1">external_curves!O140</f>
        <v>0.53157147930330162</v>
      </c>
      <c r="I210" s="15">
        <f t="shared" ca="1" si="17"/>
        <v>28.406339670048983</v>
      </c>
      <c r="J210" s="33">
        <f t="shared" ref="J210:J241" ca="1" si="25">$H210*B210</f>
        <v>19.058313738208337</v>
      </c>
      <c r="K210" s="33">
        <f t="shared" ref="K210:K241" ca="1" si="26">$H210*C210</f>
        <v>25.563551494183443</v>
      </c>
      <c r="L210" s="33">
        <f t="shared" ref="L210:L241" ca="1" si="27">$H210*F210</f>
        <v>29.232361608913937</v>
      </c>
      <c r="M210" s="33">
        <f t="shared" ref="M210:M241" ca="1" si="28">$H210*G210</f>
        <v>25.767022765479993</v>
      </c>
      <c r="N210" s="33">
        <f ca="1">H210*external_curves!K140</f>
        <v>1.9359179873452939</v>
      </c>
      <c r="O210" s="33">
        <f ca="1">H210*external_curves!Q140</f>
        <v>46.490717210503256</v>
      </c>
      <c r="P210" s="33">
        <f ca="1">H210*external_curves!S140</f>
        <v>33.62395426245552</v>
      </c>
      <c r="Q210" s="14">
        <f ca="1">H210*external_curves!M140</f>
        <v>0.7152418032385115</v>
      </c>
    </row>
    <row r="211" spans="1:17" x14ac:dyDescent="0.2">
      <c r="A211" s="26">
        <v>40452</v>
      </c>
      <c r="B211" s="33">
        <f t="shared" si="24"/>
        <v>35.852777058669339</v>
      </c>
      <c r="C211" s="33">
        <f t="shared" si="24"/>
        <v>47.803702744892441</v>
      </c>
      <c r="D211" s="33"/>
      <c r="E211" s="33"/>
      <c r="F211" s="33">
        <f ca="1">$C$16*external_curves!K141</f>
        <v>55.204064969819584</v>
      </c>
      <c r="G211" s="33">
        <f ca="1">IF(swap_model!$B$37="Y",swap_model!B164,((F211*external_curves!AI141)+(Fwd_curves!B211*external_curves!AL141)+(Fwd_curves!C211*external_curves!AM141))/(external_curves!AH141))</f>
        <v>48.447205691518839</v>
      </c>
      <c r="H211" s="14">
        <f ca="1">external_curves!O141</f>
        <v>0.52876562542998307</v>
      </c>
      <c r="I211" s="15">
        <f t="shared" ca="1" si="17"/>
        <v>28.557075713310489</v>
      </c>
      <c r="J211" s="33">
        <f t="shared" ca="1" si="25"/>
        <v>18.957716084829041</v>
      </c>
      <c r="K211" s="33">
        <f t="shared" ca="1" si="26"/>
        <v>25.276954779772051</v>
      </c>
      <c r="L211" s="33">
        <f t="shared" ca="1" si="27"/>
        <v>29.190011940044073</v>
      </c>
      <c r="M211" s="33">
        <f t="shared" ca="1" si="28"/>
        <v>25.617217017810994</v>
      </c>
      <c r="N211" s="33">
        <f ca="1">H211*external_curves!K141</f>
        <v>1.9331133735128523</v>
      </c>
      <c r="O211" s="33">
        <f ca="1">H211*external_curves!Q141</f>
        <v>27.554484595969228</v>
      </c>
      <c r="P211" s="33">
        <f ca="1">H211*external_curves!S141</f>
        <v>24.11667317149918</v>
      </c>
      <c r="Q211" s="14">
        <f ca="1">H211*external_curves!M141</f>
        <v>0.71108347344436729</v>
      </c>
    </row>
    <row r="212" spans="1:17" x14ac:dyDescent="0.2">
      <c r="A212" s="26">
        <v>40483</v>
      </c>
      <c r="B212" s="33">
        <f t="shared" si="24"/>
        <v>39.438054764536275</v>
      </c>
      <c r="C212" s="33">
        <f t="shared" si="24"/>
        <v>47.803702744892441</v>
      </c>
      <c r="D212" s="33"/>
      <c r="E212" s="33"/>
      <c r="F212" s="33">
        <f ca="1">$C$16*external_curves!K142</f>
        <v>56.745606474637228</v>
      </c>
      <c r="G212" s="33">
        <f ca="1">IF(swap_model!$B$37="Y",swap_model!B165,((F212*external_curves!AI142)+(Fwd_curves!B212*external_curves!AL142)+(Fwd_curves!C212*external_curves!AM142))/(external_curves!AH142))</f>
        <v>50.13036395090284</v>
      </c>
      <c r="H212" s="14">
        <f ca="1">external_curves!O142</f>
        <v>0.52587999895569892</v>
      </c>
      <c r="I212" s="15">
        <f t="shared" ca="1" si="17"/>
        <v>28.713775062725009</v>
      </c>
      <c r="J212" s="33">
        <f t="shared" ca="1" si="25"/>
        <v>20.739684198389135</v>
      </c>
      <c r="K212" s="33">
        <f t="shared" ca="1" si="26"/>
        <v>25.139011149562577</v>
      </c>
      <c r="L212" s="33">
        <f t="shared" ca="1" si="27"/>
        <v>29.841379473622727</v>
      </c>
      <c r="M212" s="33">
        <f t="shared" ca="1" si="28"/>
        <v>26.362555742149592</v>
      </c>
      <c r="N212" s="33">
        <f ca="1">H212*external_curves!K142</f>
        <v>1.9762502962664057</v>
      </c>
      <c r="O212" s="33">
        <f ca="1">H212*external_curves!Q142</f>
        <v>26.505444466082295</v>
      </c>
      <c r="P212" s="33">
        <f ca="1">H212*external_curves!S142</f>
        <v>23.038767933869536</v>
      </c>
      <c r="Q212" s="14">
        <f ca="1">H212*external_curves!M142</f>
        <v>0.70681185242886113</v>
      </c>
    </row>
    <row r="213" spans="1:17" x14ac:dyDescent="0.2">
      <c r="A213" s="26">
        <v>40513</v>
      </c>
      <c r="B213" s="33">
        <f t="shared" si="24"/>
        <v>39.438054764536275</v>
      </c>
      <c r="C213" s="33">
        <f t="shared" si="24"/>
        <v>47.803702744892441</v>
      </c>
      <c r="D213" s="33"/>
      <c r="E213" s="33"/>
      <c r="F213" s="33">
        <f ca="1">$C$16*external_curves!K143</f>
        <v>58.459904336728407</v>
      </c>
      <c r="G213" s="33">
        <f ca="1">IF(swap_model!$B$37="Y",swap_model!B166,((F213*external_curves!AI143)+(Fwd_curves!B213*external_curves!AL143)+(Fwd_curves!C213*external_curves!AM143))/(external_curves!AH143))</f>
        <v>50.866376018795094</v>
      </c>
      <c r="H213" s="14">
        <f ca="1">external_curves!O143</f>
        <v>0.5231007169736156</v>
      </c>
      <c r="I213" s="15">
        <f t="shared" ref="I213:I261" ca="1" si="29">F213/N213</f>
        <v>28.866333977442473</v>
      </c>
      <c r="J213" s="33">
        <f t="shared" ca="1" si="25"/>
        <v>20.630074723373642</v>
      </c>
      <c r="K213" s="33">
        <f t="shared" ca="1" si="26"/>
        <v>25.006151179846832</v>
      </c>
      <c r="L213" s="33">
        <f t="shared" ca="1" si="27"/>
        <v>30.58041787275161</v>
      </c>
      <c r="M213" s="33">
        <f t="shared" ca="1" si="28"/>
        <v>26.608237765281242</v>
      </c>
      <c r="N213" s="33">
        <f ca="1">H213*external_curves!K143</f>
        <v>2.025193236606067</v>
      </c>
      <c r="O213" s="33">
        <f ca="1">H213*external_curves!Q143</f>
        <v>26.3513394568756</v>
      </c>
      <c r="P213" s="33">
        <f ca="1">H213*external_curves!S143</f>
        <v>22.780817964789787</v>
      </c>
      <c r="Q213" s="14">
        <f ca="1">H213*external_curves!M143</f>
        <v>0.70270238551668263</v>
      </c>
    </row>
    <row r="214" spans="1:17" x14ac:dyDescent="0.2">
      <c r="A214" s="26">
        <v>40544</v>
      </c>
      <c r="B214" s="33">
        <f t="shared" si="24"/>
        <v>40.226815859826999</v>
      </c>
      <c r="C214" s="33">
        <f t="shared" si="24"/>
        <v>46.931285169798159</v>
      </c>
      <c r="D214" s="33"/>
      <c r="E214" s="33"/>
      <c r="F214" s="33">
        <f ca="1">$C$16*external_curves!K144</f>
        <v>62.328358819394467</v>
      </c>
      <c r="G214" s="33">
        <f ca="1">IF(swap_model!$B$37="Y",swap_model!B167,((F214*external_curves!AI144)+(Fwd_curves!B214*external_curves!AL144)+(Fwd_curves!C214*external_curves!AM144))/(external_curves!AH144))</f>
        <v>52.370889877041712</v>
      </c>
      <c r="H214" s="14">
        <f ca="1">external_curves!O144</f>
        <v>0.52024243947560367</v>
      </c>
      <c r="I214" s="15">
        <f t="shared" ca="1" si="29"/>
        <v>29.024929252639534</v>
      </c>
      <c r="J214" s="33">
        <f t="shared" ca="1" si="25"/>
        <v>20.9276968152523</v>
      </c>
      <c r="K214" s="33">
        <f t="shared" ca="1" si="26"/>
        <v>24.415646284461015</v>
      </c>
      <c r="L214" s="33">
        <f t="shared" ca="1" si="27"/>
        <v>32.425857440712534</v>
      </c>
      <c r="M214" s="33">
        <f t="shared" ca="1" si="28"/>
        <v>27.245559507140378</v>
      </c>
      <c r="N214" s="33">
        <f ca="1">H214*external_curves!K144</f>
        <v>2.1474077775306313</v>
      </c>
      <c r="O214" s="33">
        <f ca="1">H214*external_curves!Q144</f>
        <v>23.294340002565125</v>
      </c>
      <c r="P214" s="33">
        <f ca="1">H214*external_curves!S144</f>
        <v>21.038359161285605</v>
      </c>
      <c r="Q214" s="14">
        <f ca="1">H214*external_curves!M144</f>
        <v>0.69848095959715517</v>
      </c>
    </row>
    <row r="215" spans="1:17" x14ac:dyDescent="0.2">
      <c r="A215" s="26">
        <v>40575</v>
      </c>
      <c r="B215" s="33">
        <f t="shared" si="24"/>
        <v>36.569832599842726</v>
      </c>
      <c r="C215" s="33">
        <f t="shared" si="24"/>
        <v>45.712290749803408</v>
      </c>
      <c r="D215" s="33"/>
      <c r="E215" s="33"/>
      <c r="F215" s="33">
        <f ca="1">$C$16*external_curves!K145</f>
        <v>60.453948266879273</v>
      </c>
      <c r="G215" s="33">
        <f ca="1">IF(swap_model!$B$37="Y",swap_model!B168,((F215*external_curves!AI145)+(Fwd_curves!B215*external_curves!AL145)+(Fwd_curves!C215*external_curves!AM145))/(external_curves!AH145))</f>
        <v>50.555351912706037</v>
      </c>
      <c r="H215" s="14">
        <f ca="1">external_curves!O145</f>
        <v>0.51739797764008244</v>
      </c>
      <c r="I215" s="15">
        <f t="shared" ca="1" si="29"/>
        <v>29.18449752910324</v>
      </c>
      <c r="J215" s="33">
        <f t="shared" ca="1" si="25"/>
        <v>18.921157429794984</v>
      </c>
      <c r="K215" s="33">
        <f t="shared" ca="1" si="26"/>
        <v>23.651446787243732</v>
      </c>
      <c r="L215" s="33">
        <f t="shared" ca="1" si="27"/>
        <v>31.278750573641503</v>
      </c>
      <c r="M215" s="33">
        <f t="shared" ca="1" si="28"/>
        <v>26.157236838516777</v>
      </c>
      <c r="N215" s="33">
        <f ca="1">H215*external_curves!K145</f>
        <v>2.0714404353404969</v>
      </c>
      <c r="O215" s="33">
        <f ca="1">H215*external_curves!Q145</f>
        <v>22.112971419012737</v>
      </c>
      <c r="P215" s="33">
        <f ca="1">H215*external_curves!S145</f>
        <v>20.58141217406131</v>
      </c>
      <c r="Q215" s="14">
        <f ca="1">H215*external_curves!M145</f>
        <v>0.69428481692347677</v>
      </c>
    </row>
    <row r="216" spans="1:17" x14ac:dyDescent="0.2">
      <c r="A216" s="26">
        <v>40603</v>
      </c>
      <c r="B216" s="33">
        <f t="shared" si="24"/>
        <v>37.788827019837477</v>
      </c>
      <c r="C216" s="33">
        <f t="shared" si="24"/>
        <v>45.712290749803408</v>
      </c>
      <c r="D216" s="33"/>
      <c r="E216" s="33"/>
      <c r="F216" s="33">
        <f ca="1">$C$16*external_curves!K146</f>
        <v>57.990046798534486</v>
      </c>
      <c r="G216" s="33">
        <f ca="1">IF(swap_model!$B$37="Y",swap_model!B169,((F216*external_curves!AI146)+(Fwd_curves!B216*external_curves!AL146)+(Fwd_curves!C216*external_curves!AM146))/(external_curves!AH146))</f>
        <v>49.825593034237961</v>
      </c>
      <c r="H216" s="14">
        <f ca="1">external_curves!O146</f>
        <v>0.51484061480990151</v>
      </c>
      <c r="I216" s="15">
        <f t="shared" ca="1" si="29"/>
        <v>29.329465402754767</v>
      </c>
      <c r="J216" s="33">
        <f t="shared" ca="1" si="25"/>
        <v>19.455222935838144</v>
      </c>
      <c r="K216" s="33">
        <f t="shared" ca="1" si="26"/>
        <v>23.534543873997759</v>
      </c>
      <c r="L216" s="33">
        <f t="shared" ca="1" si="27"/>
        <v>29.855631346612455</v>
      </c>
      <c r="M216" s="33">
        <f t="shared" ca="1" si="28"/>
        <v>25.652238951015018</v>
      </c>
      <c r="N216" s="33">
        <f ca="1">H216*external_curves!K146</f>
        <v>1.9771941289147321</v>
      </c>
      <c r="O216" s="33">
        <f ca="1">H216*external_curves!Q146</f>
        <v>20.784542390817926</v>
      </c>
      <c r="P216" s="33">
        <f ca="1">H216*external_curves!S146</f>
        <v>18.9142454217417</v>
      </c>
      <c r="Q216" s="14">
        <f ca="1">H216*external_curves!M146</f>
        <v>0.69051635849893434</v>
      </c>
    </row>
    <row r="217" spans="1:17" x14ac:dyDescent="0.2">
      <c r="A217" s="26">
        <v>40634</v>
      </c>
      <c r="B217" s="33">
        <f t="shared" si="24"/>
        <v>35.960335389845334</v>
      </c>
      <c r="C217" s="33">
        <f t="shared" si="24"/>
        <v>45.712290749803408</v>
      </c>
      <c r="D217" s="33"/>
      <c r="E217" s="33"/>
      <c r="F217" s="33">
        <f ca="1">$C$16*external_curves!K147</f>
        <v>55.525583668668318</v>
      </c>
      <c r="G217" s="33">
        <f ca="1">IF(swap_model!$B$37="Y",swap_model!B170,((F217*external_curves!AI147)+(Fwd_curves!B217*external_curves!AL147)+(Fwd_curves!C217*external_curves!AM147))/(external_curves!AH147))</f>
        <v>48.016371194616823</v>
      </c>
      <c r="H217" s="14">
        <f ca="1">external_curves!O147</f>
        <v>0.51202229349078099</v>
      </c>
      <c r="I217" s="15">
        <f t="shared" ca="1" si="29"/>
        <v>29.490903407845224</v>
      </c>
      <c r="J217" s="33">
        <f t="shared" ca="1" si="25"/>
        <v>18.412493401006305</v>
      </c>
      <c r="K217" s="33">
        <f t="shared" ca="1" si="26"/>
        <v>23.405711950431755</v>
      </c>
      <c r="L217" s="33">
        <f t="shared" ca="1" si="27"/>
        <v>28.430336697445806</v>
      </c>
      <c r="M217" s="33">
        <f t="shared" ca="1" si="28"/>
        <v>24.585452504172377</v>
      </c>
      <c r="N217" s="33">
        <f ca="1">H217*external_curves!K147</f>
        <v>1.8828037547977354</v>
      </c>
      <c r="O217" s="33">
        <f ca="1">H217*external_curves!Q147</f>
        <v>19.115346552813328</v>
      </c>
      <c r="P217" s="33">
        <f ca="1">H217*external_curves!S147</f>
        <v>16.646824331011061</v>
      </c>
      <c r="Q217" s="14">
        <f ca="1">H217*external_curves!M147</f>
        <v>0.686367919311071</v>
      </c>
    </row>
    <row r="218" spans="1:17" x14ac:dyDescent="0.2">
      <c r="A218" s="26">
        <v>40664</v>
      </c>
      <c r="B218" s="33">
        <f t="shared" si="24"/>
        <v>39.007821439832234</v>
      </c>
      <c r="C218" s="33">
        <f t="shared" si="24"/>
        <v>45.712290749803408</v>
      </c>
      <c r="D218" s="33"/>
      <c r="E218" s="33"/>
      <c r="F218" s="33">
        <f ca="1">$C$16*external_curves!K148</f>
        <v>55.160229565086993</v>
      </c>
      <c r="G218" s="33">
        <f ca="1">IF(swap_model!$B$37="Y",swap_model!B171,((F218*external_curves!AI148)+(Fwd_curves!B218*external_curves!AL148)+(Fwd_curves!C218*external_curves!AM148))/(external_curves!AH148))</f>
        <v>48.596279814890629</v>
      </c>
      <c r="H218" s="14">
        <f ca="1">external_curves!O148</f>
        <v>0.51036309399000201</v>
      </c>
      <c r="I218" s="15">
        <f t="shared" ca="1" si="29"/>
        <v>29.586778859632446</v>
      </c>
      <c r="J218" s="33">
        <f t="shared" ca="1" si="25"/>
        <v>19.908152439842315</v>
      </c>
      <c r="K218" s="33">
        <f t="shared" ca="1" si="26"/>
        <v>23.329866140440217</v>
      </c>
      <c r="L218" s="33">
        <f t="shared" ca="1" si="27"/>
        <v>28.15174542603658</v>
      </c>
      <c r="M218" s="33">
        <f t="shared" ca="1" si="28"/>
        <v>24.801747722731463</v>
      </c>
      <c r="N218" s="33">
        <f ca="1">H218*external_curves!K148</f>
        <v>1.864354001724277</v>
      </c>
      <c r="O218" s="33">
        <f ca="1">H218*external_curves!Q148</f>
        <v>17.138782250810209</v>
      </c>
      <c r="P218" s="33">
        <f ca="1">H218*external_curves!S148</f>
        <v>13.024332806190447</v>
      </c>
      <c r="Q218" s="14">
        <f ca="1">H218*external_curves!M148</f>
        <v>0.68282000999243853</v>
      </c>
    </row>
    <row r="219" spans="1:17" x14ac:dyDescent="0.2">
      <c r="A219" s="26">
        <v>40695</v>
      </c>
      <c r="B219" s="33">
        <f t="shared" si="24"/>
        <v>39.007821439832234</v>
      </c>
      <c r="C219" s="33">
        <f t="shared" si="24"/>
        <v>45.712290749803408</v>
      </c>
      <c r="D219" s="33"/>
      <c r="E219" s="33"/>
      <c r="F219" s="33">
        <f ca="1">$C$16*external_curves!K149</f>
        <v>56.771728583621716</v>
      </c>
      <c r="G219" s="33">
        <f ca="1">IF(swap_model!$B$37="Y",swap_model!B172,((F219*external_curves!AI149)+(Fwd_curves!B219*external_curves!AL149)+(Fwd_curves!C219*external_curves!AM149))/(external_curves!AH149))</f>
        <v>49.480256748343848</v>
      </c>
      <c r="H219" s="14">
        <f ca="1">external_curves!O149</f>
        <v>0.50755997763016758</v>
      </c>
      <c r="I219" s="15">
        <f t="shared" ca="1" si="29"/>
        <v>29.750178630125522</v>
      </c>
      <c r="J219" s="33">
        <f t="shared" ca="1" si="25"/>
        <v>19.798808977402821</v>
      </c>
      <c r="K219" s="33">
        <f t="shared" ca="1" si="26"/>
        <v>23.201729270393933</v>
      </c>
      <c r="L219" s="33">
        <f t="shared" ca="1" si="27"/>
        <v>28.815057289928983</v>
      </c>
      <c r="M219" s="33">
        <f t="shared" ca="1" si="28"/>
        <v>25.114198008324351</v>
      </c>
      <c r="N219" s="33">
        <f ca="1">H219*external_curves!K149</f>
        <v>1.9082819397303963</v>
      </c>
      <c r="O219" s="33">
        <f ca="1">H219*external_curves!Q149</f>
        <v>18.393472018271222</v>
      </c>
      <c r="P219" s="33">
        <f ca="1">H219*external_curves!S149</f>
        <v>14.333861554082789</v>
      </c>
      <c r="Q219" s="14">
        <f ca="1">H219*external_curves!M149</f>
        <v>0.67872590473325523</v>
      </c>
    </row>
    <row r="220" spans="1:17" x14ac:dyDescent="0.2">
      <c r="A220" s="26">
        <v>40725</v>
      </c>
      <c r="B220" s="33">
        <f t="shared" si="24"/>
        <v>36.569832599842726</v>
      </c>
      <c r="C220" s="33">
        <f t="shared" si="24"/>
        <v>46.565586843799743</v>
      </c>
      <c r="D220" s="33"/>
      <c r="E220" s="33"/>
      <c r="F220" s="33">
        <f ca="1">$C$16*external_curves!K150</f>
        <v>56.540543127134733</v>
      </c>
      <c r="G220" s="33">
        <f ca="1">IF(swap_model!$B$37="Y",swap_model!B173,((F220*external_curves!AI150)+(Fwd_curves!B220*external_curves!AL150)+(Fwd_curves!C220*external_curves!AM150))/(external_curves!AH150))</f>
        <v>48.813300013444604</v>
      </c>
      <c r="H220" s="14">
        <f ca="1">external_curves!O150</f>
        <v>0.50485163767771213</v>
      </c>
      <c r="I220" s="15">
        <f t="shared" ca="1" si="29"/>
        <v>29.909777196047362</v>
      </c>
      <c r="J220" s="33">
        <f t="shared" ca="1" si="25"/>
        <v>18.462339877630384</v>
      </c>
      <c r="K220" s="33">
        <f t="shared" ca="1" si="26"/>
        <v>23.508712777516028</v>
      </c>
      <c r="L220" s="33">
        <f t="shared" ca="1" si="27"/>
        <v>28.544585792921282</v>
      </c>
      <c r="M220" s="33">
        <f t="shared" ca="1" si="28"/>
        <v>24.643474452240994</v>
      </c>
      <c r="N220" s="33">
        <f ca="1">H220*external_curves!K150</f>
        <v>1.890369920061012</v>
      </c>
      <c r="O220" s="33">
        <f ca="1">H220*external_curves!Q150</f>
        <v>39.378617537572865</v>
      </c>
      <c r="P220" s="33">
        <f ca="1">H220*external_curves!S150</f>
        <v>28.688634800186616</v>
      </c>
      <c r="Q220" s="14">
        <f ca="1">H220*external_curves!M150</f>
        <v>0.67475355616128962</v>
      </c>
    </row>
    <row r="221" spans="1:17" x14ac:dyDescent="0.2">
      <c r="A221" s="26">
        <v>40756</v>
      </c>
      <c r="B221" s="33">
        <f t="shared" si="24"/>
        <v>36.569832599842726</v>
      </c>
      <c r="C221" s="33">
        <f t="shared" si="24"/>
        <v>49.052335460589035</v>
      </c>
      <c r="D221" s="33"/>
      <c r="E221" s="33"/>
      <c r="F221" s="33">
        <f ca="1">$C$16*external_curves!K151</f>
        <v>56.500213034507219</v>
      </c>
      <c r="G221" s="33">
        <f ca="1">IF(swap_model!$B$37="Y",swap_model!B174,((F221*external_curves!AI151)+(Fwd_curves!B221*external_curves!AL151)+(Fwd_curves!C221*external_curves!AM151))/(external_curves!AH151))</f>
        <v>49.649161295030666</v>
      </c>
      <c r="H221" s="14">
        <f ca="1">external_curves!O151</f>
        <v>0.50207057349052664</v>
      </c>
      <c r="I221" s="15">
        <f t="shared" ca="1" si="29"/>
        <v>30.075453128074862</v>
      </c>
      <c r="J221" s="33">
        <f t="shared" ca="1" si="25"/>
        <v>18.360636825855593</v>
      </c>
      <c r="K221" s="33">
        <f t="shared" ca="1" si="26"/>
        <v>24.627734195747632</v>
      </c>
      <c r="L221" s="33">
        <f t="shared" ca="1" si="27"/>
        <v>28.367094360571969</v>
      </c>
      <c r="M221" s="33">
        <f t="shared" ca="1" si="28"/>
        <v>24.927382884719705</v>
      </c>
      <c r="N221" s="33">
        <f ca="1">H221*external_curves!K151</f>
        <v>1.87861552056768</v>
      </c>
      <c r="O221" s="33">
        <f ca="1">H221*external_curves!Q151</f>
        <v>47.860476262943912</v>
      </c>
      <c r="P221" s="33">
        <f ca="1">H221*external_curves!S151</f>
        <v>35.997186770239537</v>
      </c>
      <c r="Q221" s="14">
        <f ca="1">H221*external_curves!M151</f>
        <v>0.6706905305905817</v>
      </c>
    </row>
    <row r="222" spans="1:17" x14ac:dyDescent="0.2">
      <c r="A222" s="26">
        <v>40787</v>
      </c>
      <c r="B222" s="33">
        <f t="shared" ref="B222:C237" si="30">B210*(1+$B$22)</f>
        <v>36.569832599842726</v>
      </c>
      <c r="C222" s="33">
        <f t="shared" si="30"/>
        <v>49.052335460589035</v>
      </c>
      <c r="D222" s="33"/>
      <c r="E222" s="33"/>
      <c r="F222" s="33">
        <f ca="1">$C$16*external_curves!K152</f>
        <v>56.21099598620755</v>
      </c>
      <c r="G222" s="33">
        <f ca="1">IF(swap_model!$B$37="Y",swap_model!B175,((F222*external_curves!AI152)+(Fwd_curves!B222*external_curves!AL152)+(Fwd_curves!C222*external_curves!AM152))/(external_curves!AH152))</f>
        <v>49.500846573820098</v>
      </c>
      <c r="H222" s="14">
        <f ca="1">external_curves!O152</f>
        <v>0.49930711239063069</v>
      </c>
      <c r="I222" s="15">
        <f t="shared" ca="1" si="29"/>
        <v>30.241908487349132</v>
      </c>
      <c r="J222" s="33">
        <f t="shared" ca="1" si="25"/>
        <v>18.259577516036224</v>
      </c>
      <c r="K222" s="33">
        <f t="shared" ca="1" si="26"/>
        <v>24.49217997484325</v>
      </c>
      <c r="L222" s="33">
        <f t="shared" ca="1" si="27"/>
        <v>28.066550090474625</v>
      </c>
      <c r="M222" s="33">
        <f t="shared" ca="1" si="28"/>
        <v>24.716124763665757</v>
      </c>
      <c r="N222" s="33">
        <f ca="1">H222*external_curves!K152</f>
        <v>1.8587119265214982</v>
      </c>
      <c r="O222" s="33">
        <f ca="1">H222*external_curves!Q152</f>
        <v>42.900118183868514</v>
      </c>
      <c r="P222" s="33">
        <f ca="1">H222*external_curves!S152</f>
        <v>31.601864836527181</v>
      </c>
      <c r="Q222" s="14">
        <f ca="1">H222*external_curves!M152</f>
        <v>0.66666850324581994</v>
      </c>
    </row>
    <row r="223" spans="1:17" x14ac:dyDescent="0.2">
      <c r="A223" s="26">
        <v>40817</v>
      </c>
      <c r="B223" s="33">
        <f t="shared" si="30"/>
        <v>36.569832599842726</v>
      </c>
      <c r="C223" s="33">
        <f t="shared" si="30"/>
        <v>48.759776799790288</v>
      </c>
      <c r="D223" s="33"/>
      <c r="E223" s="33"/>
      <c r="F223" s="33">
        <f ca="1">$C$16*external_curves!K153</f>
        <v>56.402214325455191</v>
      </c>
      <c r="G223" s="33">
        <f ca="1">IF(swap_model!$B$37="Y",swap_model!B176,((F223*external_curves!AI153)+(Fwd_curves!B223*external_curves!AL153)+(Fwd_curves!C223*external_curves!AM153))/(external_curves!AH153))</f>
        <v>49.45863215332821</v>
      </c>
      <c r="H223" s="14">
        <f ca="1">external_curves!O153</f>
        <v>0.49663695118254447</v>
      </c>
      <c r="I223" s="15">
        <f t="shared" ca="1" si="29"/>
        <v>30.404503660159239</v>
      </c>
      <c r="J223" s="33">
        <f t="shared" ca="1" si="25"/>
        <v>18.161930167641916</v>
      </c>
      <c r="K223" s="33">
        <f t="shared" ca="1" si="26"/>
        <v>24.215906890189213</v>
      </c>
      <c r="L223" s="33">
        <f t="shared" ca="1" si="27"/>
        <v>28.011423762538499</v>
      </c>
      <c r="M223" s="33">
        <f t="shared" ca="1" si="28"/>
        <v>24.562984282287886</v>
      </c>
      <c r="N223" s="33">
        <f ca="1">H223*external_curves!K153</f>
        <v>1.855061176327053</v>
      </c>
      <c r="O223" s="33">
        <f ca="1">H223*external_curves!Q153</f>
        <v>24.754321939014968</v>
      </c>
      <c r="P223" s="33">
        <f ca="1">H223*external_curves!S153</f>
        <v>22.455573980743598</v>
      </c>
      <c r="Q223" s="14">
        <f ca="1">H223*external_curves!M153</f>
        <v>0.66276631697496569</v>
      </c>
    </row>
    <row r="224" spans="1:17" x14ac:dyDescent="0.2">
      <c r="A224" s="26">
        <v>40848</v>
      </c>
      <c r="B224" s="33">
        <f t="shared" si="30"/>
        <v>40.226815859826999</v>
      </c>
      <c r="C224" s="33">
        <f t="shared" si="30"/>
        <v>48.759776799790288</v>
      </c>
      <c r="D224" s="33"/>
      <c r="E224" s="33"/>
      <c r="F224" s="33">
        <f ca="1">$C$16*external_curves!K154</f>
        <v>57.835563206491024</v>
      </c>
      <c r="G224" s="33">
        <f ca="1">IF(swap_model!$B$37="Y",swap_model!B177,((F224*external_curves!AI154)+(Fwd_curves!B224*external_curves!AL154)+(Fwd_curves!C224*external_curves!AM154))/(external_curves!AH154))</f>
        <v>51.11099303551962</v>
      </c>
      <c r="H224" s="14">
        <f ca="1">external_curves!O154</f>
        <v>0.49389953439508466</v>
      </c>
      <c r="I224" s="15">
        <f t="shared" ca="1" si="29"/>
        <v>30.573019305422282</v>
      </c>
      <c r="J224" s="33">
        <f t="shared" ca="1" si="25"/>
        <v>19.868005623365363</v>
      </c>
      <c r="K224" s="33">
        <f t="shared" ca="1" si="26"/>
        <v>24.082431058624675</v>
      </c>
      <c r="L224" s="33">
        <f t="shared" ca="1" si="27"/>
        <v>28.564957739163408</v>
      </c>
      <c r="M224" s="33">
        <f t="shared" ca="1" si="28"/>
        <v>25.243695662713556</v>
      </c>
      <c r="N224" s="33">
        <f ca="1">H224*external_curves!K154</f>
        <v>1.8917190555737355</v>
      </c>
      <c r="O224" s="33">
        <f ca="1">H224*external_curves!Q154</f>
        <v>22.62948407216285</v>
      </c>
      <c r="P224" s="33">
        <f ca="1">H224*external_curves!S154</f>
        <v>20.93759799711211</v>
      </c>
      <c r="Q224" s="14">
        <f ca="1">H224*external_curves!M154</f>
        <v>0.6587913849246827</v>
      </c>
    </row>
    <row r="225" spans="1:17" x14ac:dyDescent="0.2">
      <c r="A225" s="26">
        <v>40878</v>
      </c>
      <c r="B225" s="33">
        <f t="shared" si="30"/>
        <v>40.226815859826999</v>
      </c>
      <c r="C225" s="33">
        <f t="shared" si="30"/>
        <v>48.759776799790288</v>
      </c>
      <c r="D225" s="33"/>
      <c r="E225" s="33"/>
      <c r="F225" s="33">
        <f ca="1">$C$16*external_curves!K155</f>
        <v>59.478662216806143</v>
      </c>
      <c r="G225" s="33">
        <f ca="1">IF(swap_model!$B$37="Y",swap_model!B178,((F225*external_curves!AI155)+(Fwd_curves!B225*external_curves!AL155)+(Fwd_curves!C225*external_curves!AM155))/(external_curves!AH155))</f>
        <v>51.812527527419377</v>
      </c>
      <c r="H225" s="14">
        <f ca="1">external_curves!O155</f>
        <v>0.49125444944991659</v>
      </c>
      <c r="I225" s="15">
        <f t="shared" ca="1" si="29"/>
        <v>30.737635082813526</v>
      </c>
      <c r="J225" s="33">
        <f t="shared" ca="1" si="25"/>
        <v>19.761602278342487</v>
      </c>
      <c r="K225" s="33">
        <f t="shared" ca="1" si="26"/>
        <v>23.953457307081795</v>
      </c>
      <c r="L225" s="33">
        <f t="shared" ca="1" si="27"/>
        <v>29.219157461334657</v>
      </c>
      <c r="M225" s="33">
        <f t="shared" ca="1" si="28"/>
        <v>25.453134685091054</v>
      </c>
      <c r="N225" s="33">
        <f ca="1">H225*external_curves!K155</f>
        <v>1.9350435404857389</v>
      </c>
      <c r="O225" s="33">
        <f ca="1">H225*external_curves!Q155</f>
        <v>22.169551104656925</v>
      </c>
      <c r="P225" s="33">
        <f ca="1">H225*external_curves!S155</f>
        <v>20.575805417487118</v>
      </c>
      <c r="Q225" s="14">
        <f ca="1">H225*external_curves!M155</f>
        <v>0.65493504001940683</v>
      </c>
    </row>
    <row r="226" spans="1:17" x14ac:dyDescent="0.2">
      <c r="A226" s="26">
        <v>40909</v>
      </c>
      <c r="B226" s="33">
        <f t="shared" si="30"/>
        <v>41.031352177023543</v>
      </c>
      <c r="C226" s="33">
        <f t="shared" si="30"/>
        <v>47.869910873194122</v>
      </c>
      <c r="D226" s="33"/>
      <c r="E226" s="33"/>
      <c r="F226" s="33">
        <f ca="1">$C$16*external_curves!K156</f>
        <v>63.372705825772158</v>
      </c>
      <c r="G226" s="33">
        <f ca="1">IF(swap_model!$B$37="Y",swap_model!B179,((F226*external_curves!AI156)+(Fwd_curves!B226*external_curves!AL156)+(Fwd_curves!C226*external_curves!AM156))/(external_curves!AH156))</f>
        <v>53.326982436513433</v>
      </c>
      <c r="H226" s="14">
        <f ca="1">external_curves!O156</f>
        <v>0.48716685862157738</v>
      </c>
      <c r="I226" s="15">
        <f t="shared" ca="1" si="29"/>
        <v>30.995540301581588</v>
      </c>
      <c r="J226" s="33">
        <f t="shared" ca="1" si="25"/>
        <v>19.989114945076178</v>
      </c>
      <c r="K226" s="33">
        <f t="shared" ca="1" si="26"/>
        <v>23.320634102588873</v>
      </c>
      <c r="L226" s="33">
        <f t="shared" ca="1" si="27"/>
        <v>30.873082019490759</v>
      </c>
      <c r="M226" s="33">
        <f t="shared" ca="1" si="28"/>
        <v>25.97913851336428</v>
      </c>
      <c r="N226" s="33">
        <f ca="1">H226*external_curves!K156</f>
        <v>2.0445749681781957</v>
      </c>
      <c r="O226" s="33">
        <f ca="1">H226*external_curves!Q156</f>
        <v>23.158213753628381</v>
      </c>
      <c r="P226" s="33">
        <f ca="1">H226*external_curves!S156</f>
        <v>20.532636813009155</v>
      </c>
      <c r="Q226" s="14">
        <f ca="1">H226*external_curves!M156</f>
        <v>0.64597527904123797</v>
      </c>
    </row>
    <row r="227" spans="1:17" x14ac:dyDescent="0.2">
      <c r="A227" s="26">
        <v>40940</v>
      </c>
      <c r="B227" s="33">
        <f t="shared" si="30"/>
        <v>37.30122925183958</v>
      </c>
      <c r="C227" s="33">
        <f t="shared" si="30"/>
        <v>46.62653656479948</v>
      </c>
      <c r="D227" s="33"/>
      <c r="E227" s="33"/>
      <c r="F227" s="33">
        <f ca="1">$C$16*external_curves!K157</f>
        <v>61.591084683916534</v>
      </c>
      <c r="G227" s="33">
        <f ca="1">IF(swap_model!$B$37="Y",swap_model!B180,((F227*external_curves!AI157)+(Fwd_curves!B227*external_curves!AL157)+(Fwd_curves!C227*external_curves!AM157))/(external_curves!AH157))</f>
        <v>51.532200594626666</v>
      </c>
      <c r="H227" s="14">
        <f ca="1">external_curves!O157</f>
        <v>0.48448827577482423</v>
      </c>
      <c r="I227" s="15">
        <f t="shared" ca="1" si="29"/>
        <v>31.166904866482323</v>
      </c>
      <c r="J227" s="33">
        <f t="shared" ca="1" si="25"/>
        <v>18.072008244505195</v>
      </c>
      <c r="K227" s="33">
        <f t="shared" ca="1" si="26"/>
        <v>22.590010305631495</v>
      </c>
      <c r="L227" s="33">
        <f t="shared" ca="1" si="27"/>
        <v>29.840158421611907</v>
      </c>
      <c r="M227" s="33">
        <f t="shared" ca="1" si="28"/>
        <v>24.966747012973045</v>
      </c>
      <c r="N227" s="33">
        <f ca="1">H227*external_curves!K157</f>
        <v>1.9761694318948284</v>
      </c>
      <c r="O227" s="33">
        <f ca="1">H227*external_curves!Q157</f>
        <v>22.694651839998123</v>
      </c>
      <c r="P227" s="33">
        <f ca="1">H227*external_curves!S157</f>
        <v>20.339128267193033</v>
      </c>
      <c r="Q227" s="14">
        <f ca="1">H227*external_curves!M157</f>
        <v>0.64199863762370923</v>
      </c>
    </row>
    <row r="228" spans="1:17" x14ac:dyDescent="0.2">
      <c r="A228" s="26">
        <v>40969</v>
      </c>
      <c r="B228" s="33">
        <f t="shared" si="30"/>
        <v>38.544603560234229</v>
      </c>
      <c r="C228" s="33">
        <f t="shared" si="30"/>
        <v>46.62653656479948</v>
      </c>
      <c r="D228" s="33"/>
      <c r="E228" s="33"/>
      <c r="F228" s="33">
        <f ca="1">$C$16*external_curves!K158</f>
        <v>59.204204398905318</v>
      </c>
      <c r="G228" s="33">
        <f ca="1">IF(swap_model!$B$37="Y",swap_model!B181,((F228*external_curves!AI158)+(Fwd_curves!B228*external_curves!AL158)+(Fwd_curves!C228*external_curves!AM158))/(external_curves!AH158))</f>
        <v>50.848990986991602</v>
      </c>
      <c r="H228" s="14">
        <f ca="1">external_curves!O158</f>
        <v>0.48199442706058732</v>
      </c>
      <c r="I228" s="15">
        <f t="shared" ca="1" si="29"/>
        <v>31.328163049698308</v>
      </c>
      <c r="J228" s="33">
        <f t="shared" ca="1" si="25"/>
        <v>18.578284109292571</v>
      </c>
      <c r="K228" s="33">
        <f t="shared" ca="1" si="26"/>
        <v>22.473730777370051</v>
      </c>
      <c r="L228" s="33">
        <f t="shared" ca="1" si="27"/>
        <v>28.536096578828271</v>
      </c>
      <c r="M228" s="33">
        <f t="shared" ca="1" si="28"/>
        <v>24.508930277383985</v>
      </c>
      <c r="N228" s="33">
        <f ca="1">H228*external_curves!K158</f>
        <v>1.8898077204522037</v>
      </c>
      <c r="O228" s="33">
        <f ca="1">H228*external_curves!Q158</f>
        <v>20.957000680860091</v>
      </c>
      <c r="P228" s="33">
        <f ca="1">H228*external_curves!S158</f>
        <v>19.039405322626106</v>
      </c>
      <c r="Q228" s="14">
        <f ca="1">H228*external_curves!M158</f>
        <v>0.63830048521617566</v>
      </c>
    </row>
    <row r="229" spans="1:17" x14ac:dyDescent="0.2">
      <c r="A229" s="26">
        <v>41000</v>
      </c>
      <c r="B229" s="33">
        <f t="shared" si="30"/>
        <v>36.679542097642241</v>
      </c>
      <c r="C229" s="33">
        <f t="shared" si="30"/>
        <v>46.62653656479948</v>
      </c>
      <c r="D229" s="33"/>
      <c r="E229" s="33"/>
      <c r="F229" s="33">
        <f ca="1">$C$16*external_curves!K159</f>
        <v>56.817994532116181</v>
      </c>
      <c r="G229" s="33">
        <f ca="1">IF(swap_model!$B$37="Y",swap_model!B182,((F229*external_curves!AI159)+(Fwd_curves!B229*external_curves!AL159)+(Fwd_curves!C229*external_curves!AM159))/(external_curves!AH159))</f>
        <v>49.061584907210587</v>
      </c>
      <c r="H229" s="14">
        <f ca="1">external_curves!O159</f>
        <v>0.479341281074805</v>
      </c>
      <c r="I229" s="15">
        <f t="shared" ca="1" si="29"/>
        <v>31.5015639090002</v>
      </c>
      <c r="J229" s="33">
        <f t="shared" ca="1" si="25"/>
        <v>17.582018698321072</v>
      </c>
      <c r="K229" s="33">
        <f t="shared" ca="1" si="26"/>
        <v>22.350023769052221</v>
      </c>
      <c r="L229" s="33">
        <f t="shared" ca="1" si="27"/>
        <v>27.235210287125835</v>
      </c>
      <c r="M229" s="33">
        <f t="shared" ca="1" si="28"/>
        <v>23.517242960982642</v>
      </c>
      <c r="N229" s="33">
        <f ca="1">H229*external_curves!K159</f>
        <v>1.8036563104056846</v>
      </c>
      <c r="O229" s="33">
        <f ca="1">H229*external_curves!Q159</f>
        <v>19.310240870385794</v>
      </c>
      <c r="P229" s="33">
        <f ca="1">H229*external_curves!S159</f>
        <v>17.205187783825451</v>
      </c>
      <c r="Q229" s="14">
        <f ca="1">H229*external_curves!M159</f>
        <v>0.63437059363948078</v>
      </c>
    </row>
    <row r="230" spans="1:17" x14ac:dyDescent="0.2">
      <c r="A230" s="26">
        <v>41030</v>
      </c>
      <c r="B230" s="33">
        <f t="shared" si="30"/>
        <v>39.787977868628879</v>
      </c>
      <c r="C230" s="33">
        <f t="shared" si="30"/>
        <v>46.62653656479948</v>
      </c>
      <c r="D230" s="33"/>
      <c r="E230" s="33"/>
      <c r="F230" s="33">
        <f ca="1">$C$16*external_curves!K160</f>
        <v>56.475160213297634</v>
      </c>
      <c r="G230" s="33">
        <f ca="1">IF(swap_model!$B$37="Y",swap_model!B183,((F230*external_curves!AI160)+(Fwd_curves!B230*external_curves!AL160)+(Fwd_curves!C230*external_curves!AM160))/(external_curves!AH160))</f>
        <v>49.668376878973298</v>
      </c>
      <c r="H230" s="14">
        <f ca="1">external_curves!O160</f>
        <v>0.47678615731938551</v>
      </c>
      <c r="I230" s="15">
        <f t="shared" ca="1" si="29"/>
        <v>31.670382556607947</v>
      </c>
      <c r="J230" s="33">
        <f t="shared" ca="1" si="25"/>
        <v>18.970357075492316</v>
      </c>
      <c r="K230" s="33">
        <f t="shared" ca="1" si="26"/>
        <v>22.230887197842566</v>
      </c>
      <c r="L230" s="33">
        <f t="shared" ca="1" si="27"/>
        <v>26.926574622094826</v>
      </c>
      <c r="M230" s="33">
        <f t="shared" ca="1" si="28"/>
        <v>23.681194552416692</v>
      </c>
      <c r="N230" s="33">
        <f ca="1">H230*external_curves!K160</f>
        <v>1.7832168623903859</v>
      </c>
      <c r="O230" s="33">
        <f ca="1">H230*external_curves!Q160</f>
        <v>18.406929951946115</v>
      </c>
      <c r="P230" s="33">
        <f ca="1">H230*external_curves!S160</f>
        <v>14.060739085064165</v>
      </c>
      <c r="Q230" s="14">
        <f ca="1">H230*external_curves!M160</f>
        <v>0.63059026899438553</v>
      </c>
    </row>
    <row r="231" spans="1:17" x14ac:dyDescent="0.2">
      <c r="A231" s="26">
        <v>41061</v>
      </c>
      <c r="B231" s="33">
        <f t="shared" si="30"/>
        <v>39.787977868628879</v>
      </c>
      <c r="C231" s="33">
        <f t="shared" si="30"/>
        <v>46.62653656479948</v>
      </c>
      <c r="D231" s="33"/>
      <c r="E231" s="33"/>
      <c r="F231" s="33">
        <f ca="1">$C$16*external_curves!K161</f>
        <v>58.092829642542426</v>
      </c>
      <c r="G231" s="33">
        <f ca="1">IF(swap_model!$B$37="Y",swap_model!B184,((F231*external_curves!AI161)+(Fwd_curves!B231*external_curves!AL161)+(Fwd_curves!C231*external_curves!AM161))/(external_curves!AH161))</f>
        <v>50.560632165965437</v>
      </c>
      <c r="H231" s="14">
        <f ca="1">external_curves!O161</f>
        <v>0.47415866081856961</v>
      </c>
      <c r="I231" s="15">
        <f t="shared" ca="1" si="29"/>
        <v>31.845880393562631</v>
      </c>
      <c r="J231" s="33">
        <f t="shared" ca="1" si="25"/>
        <v>18.865814302867953</v>
      </c>
      <c r="K231" s="33">
        <f t="shared" ca="1" si="26"/>
        <v>22.108376136173391</v>
      </c>
      <c r="L231" s="33">
        <f t="shared" ca="1" si="27"/>
        <v>27.54521830646922</v>
      </c>
      <c r="M231" s="33">
        <f t="shared" ca="1" si="28"/>
        <v>23.973761637954468</v>
      </c>
      <c r="N231" s="33">
        <f ca="1">H231*external_curves!K161</f>
        <v>1.8241866428125313</v>
      </c>
      <c r="O231" s="33">
        <f ca="1">H231*external_curves!Q161</f>
        <v>18.450264361785511</v>
      </c>
      <c r="P231" s="33">
        <f ca="1">H231*external_curves!S161</f>
        <v>14.486967085157399</v>
      </c>
      <c r="Q231" s="14">
        <f ca="1">H231*external_curves!M161</f>
        <v>0.6267073492454317</v>
      </c>
    </row>
    <row r="232" spans="1:17" x14ac:dyDescent="0.2">
      <c r="A232" s="26">
        <v>41091</v>
      </c>
      <c r="B232" s="33">
        <f t="shared" si="30"/>
        <v>37.30122925183958</v>
      </c>
      <c r="C232" s="33">
        <f t="shared" si="30"/>
        <v>47.49689858067574</v>
      </c>
      <c r="D232" s="33"/>
      <c r="E232" s="33"/>
      <c r="F232" s="33">
        <f ca="1">$C$16*external_curves!K162</f>
        <v>57.864005972687295</v>
      </c>
      <c r="G232" s="33">
        <f ca="1">IF(swap_model!$B$37="Y",swap_model!B185,((F232*external_curves!AI162)+(Fwd_curves!B232*external_curves!AL162)+(Fwd_curves!C232*external_curves!AM162))/(external_curves!AH162))</f>
        <v>49.876570135072797</v>
      </c>
      <c r="H232" s="14">
        <f ca="1">external_curves!O162</f>
        <v>0.47162825652846274</v>
      </c>
      <c r="I232" s="15">
        <f t="shared" ca="1" si="29"/>
        <v>32.016741556469306</v>
      </c>
      <c r="J232" s="33">
        <f t="shared" ca="1" si="25"/>
        <v>17.592313718413596</v>
      </c>
      <c r="K232" s="33">
        <f t="shared" ca="1" si="26"/>
        <v>22.400879468113317</v>
      </c>
      <c r="L232" s="33">
        <f t="shared" ca="1" si="27"/>
        <v>27.290300252651065</v>
      </c>
      <c r="M232" s="33">
        <f t="shared" ca="1" si="28"/>
        <v>23.523199814423975</v>
      </c>
      <c r="N232" s="33">
        <f ca="1">H232*external_curves!K162</f>
        <v>1.807304652493448</v>
      </c>
      <c r="O232" s="33">
        <f ca="1">H232*external_curves!Q162</f>
        <v>30.488260042702105</v>
      </c>
      <c r="P232" s="33">
        <f ca="1">H232*external_curves!S162</f>
        <v>24.274815586288685</v>
      </c>
      <c r="Q232" s="14">
        <f ca="1">H232*external_curves!M162</f>
        <v>0.62297221174299366</v>
      </c>
    </row>
    <row r="233" spans="1:17" x14ac:dyDescent="0.2">
      <c r="A233" s="26">
        <v>41122</v>
      </c>
      <c r="B233" s="33">
        <f t="shared" si="30"/>
        <v>37.30122925183958</v>
      </c>
      <c r="C233" s="33">
        <f t="shared" si="30"/>
        <v>50.033382169800817</v>
      </c>
      <c r="D233" s="33"/>
      <c r="E233" s="33"/>
      <c r="F233" s="33">
        <f ca="1">$C$16*external_curves!K163</f>
        <v>57.824480026253397</v>
      </c>
      <c r="G233" s="33">
        <f ca="1">IF(swap_model!$B$37="Y",swap_model!B186,((F233*external_curves!AI163)+(Fwd_curves!B233*external_curves!AL163)+(Fwd_curves!C233*external_curves!AM163))/(external_curves!AH163))</f>
        <v>50.738231463174046</v>
      </c>
      <c r="H233" s="14">
        <f ca="1">external_curves!O163</f>
        <v>0.46902619777365584</v>
      </c>
      <c r="I233" s="15">
        <f t="shared" ca="1" si="29"/>
        <v>32.194363708628075</v>
      </c>
      <c r="J233" s="33">
        <f t="shared" ca="1" si="25"/>
        <v>17.495253728273788</v>
      </c>
      <c r="K233" s="33">
        <f t="shared" ca="1" si="26"/>
        <v>23.466967000857903</v>
      </c>
      <c r="L233" s="33">
        <f t="shared" ca="1" si="27"/>
        <v>27.121196004952338</v>
      </c>
      <c r="M233" s="33">
        <f t="shared" ca="1" si="28"/>
        <v>23.797559784932197</v>
      </c>
      <c r="N233" s="33">
        <f ca="1">H233*external_curves!K163</f>
        <v>1.7961056956922079</v>
      </c>
      <c r="O233" s="33">
        <f ca="1">H233*external_curves!Q163</f>
        <v>41.135376477268139</v>
      </c>
      <c r="P233" s="33">
        <f ca="1">H233*external_curves!S163</f>
        <v>32.372941857726154</v>
      </c>
      <c r="Q233" s="14">
        <f ca="1">H233*external_curves!M163</f>
        <v>0.61913570856815381</v>
      </c>
    </row>
    <row r="234" spans="1:17" x14ac:dyDescent="0.2">
      <c r="A234" s="26">
        <v>41153</v>
      </c>
      <c r="B234" s="33">
        <f t="shared" si="30"/>
        <v>37.30122925183958</v>
      </c>
      <c r="C234" s="33">
        <f t="shared" si="30"/>
        <v>50.033382169800817</v>
      </c>
      <c r="D234" s="33"/>
      <c r="E234" s="33"/>
      <c r="F234" s="33">
        <f ca="1">$C$16*external_curves!K164</f>
        <v>57.519100821031763</v>
      </c>
      <c r="G234" s="33">
        <f ca="1">IF(swap_model!$B$37="Y",swap_model!B187,((F234*external_curves!AI164)+(Fwd_curves!B234*external_curves!AL164)+(Fwd_curves!C234*external_curves!AM164))/(external_curves!AH164))</f>
        <v>50.580762797123192</v>
      </c>
      <c r="H234" s="14">
        <f ca="1">external_curves!O164</f>
        <v>0.46643698568098091</v>
      </c>
      <c r="I234" s="15">
        <f t="shared" ca="1" si="29"/>
        <v>32.373076028596991</v>
      </c>
      <c r="J234" s="33">
        <f t="shared" ca="1" si="25"/>
        <v>17.398672934423285</v>
      </c>
      <c r="K234" s="33">
        <f t="shared" ca="1" si="26"/>
        <v>23.337419962706431</v>
      </c>
      <c r="L234" s="33">
        <f t="shared" ca="1" si="27"/>
        <v>26.82903600604249</v>
      </c>
      <c r="M234" s="33">
        <f t="shared" ca="1" si="28"/>
        <v>23.592738532534842</v>
      </c>
      <c r="N234" s="33">
        <f ca="1">H234*external_curves!K164</f>
        <v>1.7767573513935424</v>
      </c>
      <c r="O234" s="33">
        <f ca="1">H234*external_curves!Q164</f>
        <v>39.49755663069709</v>
      </c>
      <c r="P234" s="33">
        <f ca="1">H234*external_curves!S164</f>
        <v>29.682956317379922</v>
      </c>
      <c r="Q234" s="14">
        <f ca="1">H234*external_curves!M164</f>
        <v>0.61532258343506918</v>
      </c>
    </row>
    <row r="235" spans="1:17" x14ac:dyDescent="0.2">
      <c r="A235" s="26">
        <v>41183</v>
      </c>
      <c r="B235" s="33">
        <f t="shared" si="30"/>
        <v>37.30122925183958</v>
      </c>
      <c r="C235" s="33">
        <f t="shared" si="30"/>
        <v>49.734972335786097</v>
      </c>
      <c r="D235" s="33"/>
      <c r="E235" s="33"/>
      <c r="F235" s="33">
        <f ca="1">$C$16*external_curves!K165</f>
        <v>57.690245072833676</v>
      </c>
      <c r="G235" s="33">
        <f ca="1">IF(swap_model!$B$37="Y",swap_model!B188,((F235*external_curves!AI165)+(Fwd_curves!B235*external_curves!AL165)+(Fwd_curves!C235*external_curves!AM165))/(external_curves!AH165))</f>
        <v>50.520056746464817</v>
      </c>
      <c r="H235" s="14">
        <f ca="1">external_curves!O165</f>
        <v>0.46394347727344842</v>
      </c>
      <c r="I235" s="15">
        <f t="shared" ca="1" si="29"/>
        <v>32.547068209130259</v>
      </c>
      <c r="J235" s="33">
        <f t="shared" ca="1" si="25"/>
        <v>17.305662005672527</v>
      </c>
      <c r="K235" s="33">
        <f t="shared" ca="1" si="26"/>
        <v>23.074216007563361</v>
      </c>
      <c r="L235" s="33">
        <f t="shared" ca="1" si="27"/>
        <v>26.765012903847879</v>
      </c>
      <c r="M235" s="33">
        <f t="shared" ca="1" si="28"/>
        <v>23.438450799006823</v>
      </c>
      <c r="N235" s="33">
        <f ca="1">H235*external_curves!K165</f>
        <v>1.772517410850853</v>
      </c>
      <c r="O235" s="33">
        <f ca="1">H235*external_curves!Q165</f>
        <v>24.888225212044404</v>
      </c>
      <c r="P235" s="33">
        <f ca="1">H235*external_curves!S165</f>
        <v>22.732964903446494</v>
      </c>
      <c r="Q235" s="14">
        <f ca="1">H235*external_curves!M165</f>
        <v>0.61165458864695021</v>
      </c>
    </row>
    <row r="236" spans="1:17" x14ac:dyDescent="0.2">
      <c r="A236" s="26">
        <v>41214</v>
      </c>
      <c r="B236" s="33">
        <f t="shared" si="30"/>
        <v>41.031352177023543</v>
      </c>
      <c r="C236" s="33">
        <f t="shared" si="30"/>
        <v>49.734972335786097</v>
      </c>
      <c r="D236" s="33"/>
      <c r="E236" s="33"/>
      <c r="F236" s="33">
        <f ca="1">$C$16*external_curves!K166</f>
        <v>59.017599750680731</v>
      </c>
      <c r="G236" s="33">
        <f ca="1">IF(swap_model!$B$37="Y",swap_model!B189,((F236*external_curves!AI166)+(Fwd_curves!B236*external_curves!AL166)+(Fwd_curves!C236*external_curves!AM166))/(external_curves!AH166))</f>
        <v>52.145594144259292</v>
      </c>
      <c r="H236" s="14">
        <f ca="1">external_curves!O166</f>
        <v>0.46137938610607093</v>
      </c>
      <c r="I236" s="15">
        <f t="shared" ca="1" si="29"/>
        <v>32.727946793289362</v>
      </c>
      <c r="J236" s="33">
        <f t="shared" ca="1" si="25"/>
        <v>18.93102007853712</v>
      </c>
      <c r="K236" s="33">
        <f t="shared" ca="1" si="26"/>
        <v>22.946691004287409</v>
      </c>
      <c r="L236" s="33">
        <f t="shared" ca="1" si="27"/>
        <v>27.22950394242288</v>
      </c>
      <c r="M236" s="33">
        <f t="shared" ca="1" si="28"/>
        <v>24.05890221441468</v>
      </c>
      <c r="N236" s="33">
        <f ca="1">H236*external_curves!K166</f>
        <v>1.8032784067829724</v>
      </c>
      <c r="O236" s="33">
        <f ca="1">H236*external_curves!Q166</f>
        <v>24.127037209077329</v>
      </c>
      <c r="P236" s="33">
        <f ca="1">H236*external_curves!S166</f>
        <v>21.244369251723921</v>
      </c>
      <c r="Q236" s="14">
        <f ca="1">H236*external_curves!M166</f>
        <v>0.607887054902427</v>
      </c>
    </row>
    <row r="237" spans="1:17" x14ac:dyDescent="0.2">
      <c r="A237" s="26">
        <v>41244</v>
      </c>
      <c r="B237" s="33">
        <f t="shared" si="30"/>
        <v>41.031352177023543</v>
      </c>
      <c r="C237" s="33">
        <f t="shared" si="30"/>
        <v>49.734972335786097</v>
      </c>
      <c r="D237" s="33"/>
      <c r="E237" s="33"/>
      <c r="F237" s="33">
        <f ca="1">$C$16*external_curves!K167</f>
        <v>60.591134017115557</v>
      </c>
      <c r="G237" s="33">
        <f ca="1">IF(swap_model!$B$37="Y",swap_model!B190,((F237*external_curves!AI167)+(Fwd_curves!B237*external_curves!AL167)+(Fwd_curves!C237*external_curves!AM167))/(external_curves!AH167))</f>
        <v>52.812299975417496</v>
      </c>
      <c r="H237" s="14">
        <f ca="1">external_curves!O167</f>
        <v>0.45891008727201077</v>
      </c>
      <c r="I237" s="15">
        <f t="shared" ca="1" si="29"/>
        <v>32.904049003938638</v>
      </c>
      <c r="J237" s="33">
        <f t="shared" ca="1" si="25"/>
        <v>18.829701408446482</v>
      </c>
      <c r="K237" s="33">
        <f t="shared" ca="1" si="26"/>
        <v>22.823880495086637</v>
      </c>
      <c r="L237" s="33">
        <f t="shared" ca="1" si="27"/>
        <v>27.805882599704599</v>
      </c>
      <c r="M237" s="33">
        <f t="shared" ca="1" si="28"/>
        <v>24.236097190754457</v>
      </c>
      <c r="N237" s="33">
        <f ca="1">H237*external_curves!K167</f>
        <v>1.8414491787883842</v>
      </c>
      <c r="O237" s="33">
        <f ca="1">H237*external_curves!Q167</f>
        <v>24.134260991882989</v>
      </c>
      <c r="P237" s="33">
        <f ca="1">H237*external_curves!S167</f>
        <v>21.114115937137687</v>
      </c>
      <c r="Q237" s="14">
        <f ca="1">H237*external_curves!M167</f>
        <v>0.60426291917583852</v>
      </c>
    </row>
    <row r="238" spans="1:17" x14ac:dyDescent="0.2">
      <c r="A238" s="26">
        <v>41275</v>
      </c>
      <c r="B238" s="33">
        <f t="shared" ref="B238:C253" si="31">B226*(1+$B$22)</f>
        <v>41.851979220564012</v>
      </c>
      <c r="C238" s="33">
        <f t="shared" si="31"/>
        <v>48.827309090658005</v>
      </c>
      <c r="D238" s="33"/>
      <c r="E238" s="33"/>
      <c r="F238" s="33">
        <f ca="1">$C$16*external_curves!K168</f>
        <v>64.511404490951165</v>
      </c>
      <c r="G238" s="33">
        <f ca="1">IF(swap_model!$B$37="Y",swap_model!B191,((F238*external_curves!AI168)+(Fwd_curves!B238*external_curves!AL168)+(Fwd_curves!C238*external_curves!AM168))/(external_curves!AH168))</f>
        <v>54.335374462059498</v>
      </c>
      <c r="H238" s="14">
        <f ca="1">external_curves!O168</f>
        <v>0.45637090863139895</v>
      </c>
      <c r="I238" s="15">
        <f t="shared" ca="1" si="29"/>
        <v>33.087122150890529</v>
      </c>
      <c r="J238" s="33">
        <f t="shared" ca="1" si="25"/>
        <v>19.100025784911224</v>
      </c>
      <c r="K238" s="33">
        <f t="shared" ca="1" si="26"/>
        <v>22.28336341572976</v>
      </c>
      <c r="L238" s="33">
        <f t="shared" ca="1" si="27"/>
        <v>29.441128284623094</v>
      </c>
      <c r="M238" s="33">
        <f t="shared" ca="1" si="28"/>
        <v>24.797084214077405</v>
      </c>
      <c r="N238" s="33">
        <f ca="1">H238*external_curves!K168</f>
        <v>1.9497435950081521</v>
      </c>
      <c r="O238" s="33">
        <f ca="1">H238*external_curves!Q168</f>
        <v>21.589428735215407</v>
      </c>
      <c r="P238" s="33">
        <f ca="1">H238*external_curves!S168</f>
        <v>19.250226869023777</v>
      </c>
      <c r="Q238" s="14">
        <f ca="1">H238*external_curves!M168</f>
        <v>0.60054043769722965</v>
      </c>
    </row>
    <row r="239" spans="1:17" x14ac:dyDescent="0.2">
      <c r="A239" s="26">
        <v>41306</v>
      </c>
      <c r="B239" s="33">
        <f t="shared" si="31"/>
        <v>38.047253836876372</v>
      </c>
      <c r="C239" s="33">
        <f t="shared" si="31"/>
        <v>47.559067296095471</v>
      </c>
      <c r="D239" s="33"/>
      <c r="E239" s="33"/>
      <c r="F239" s="33">
        <f ca="1">$C$16*external_curves!K169</f>
        <v>62.820625536101979</v>
      </c>
      <c r="G239" s="33">
        <f ca="1">IF(swap_model!$B$37="Y",swap_model!B192,((F239*external_curves!AI169)+(Fwd_curves!B239*external_curves!AL169)+(Fwd_curves!C239*external_curves!AM169))/(external_curves!AH169))</f>
        <v>52.561758491522596</v>
      </c>
      <c r="H239" s="14">
        <f ca="1">external_curves!O169</f>
        <v>0.45384431101526601</v>
      </c>
      <c r="I239" s="15">
        <f t="shared" ca="1" si="29"/>
        <v>33.271321538041889</v>
      </c>
      <c r="J239" s="33">
        <f t="shared" ca="1" si="25"/>
        <v>17.267529703620092</v>
      </c>
      <c r="K239" s="33">
        <f t="shared" ca="1" si="26"/>
        <v>21.58441212952512</v>
      </c>
      <c r="L239" s="33">
        <f t="shared" ca="1" si="27"/>
        <v>28.510783513980229</v>
      </c>
      <c r="M239" s="33">
        <f t="shared" ca="1" si="28"/>
        <v>23.85485506833588</v>
      </c>
      <c r="N239" s="33">
        <f ca="1">H239*external_curves!K169</f>
        <v>1.888131358541737</v>
      </c>
      <c r="O239" s="33">
        <f ca="1">H239*external_curves!Q169</f>
        <v>21.158000937777686</v>
      </c>
      <c r="P239" s="33">
        <f ca="1">H239*external_curves!S169</f>
        <v>18.956795789505964</v>
      </c>
      <c r="Q239" s="14">
        <f ca="1">H239*external_curves!M169</f>
        <v>0.596840647045915</v>
      </c>
    </row>
    <row r="240" spans="1:17" x14ac:dyDescent="0.2">
      <c r="A240" s="26">
        <v>41334</v>
      </c>
      <c r="B240" s="33">
        <f t="shared" si="31"/>
        <v>39.315495631438914</v>
      </c>
      <c r="C240" s="33">
        <f t="shared" si="31"/>
        <v>47.559067296095471</v>
      </c>
      <c r="D240" s="33"/>
      <c r="E240" s="33"/>
      <c r="F240" s="33">
        <f ca="1">$C$16*external_curves!K170</f>
        <v>60.511552641299161</v>
      </c>
      <c r="G240" s="33">
        <f ca="1">IF(swap_model!$B$37="Y",swap_model!B193,((F240*external_curves!AI170)+(Fwd_curves!B240*external_curves!AL170)+(Fwd_curves!C240*external_curves!AM170))/(external_curves!AH170))</f>
        <v>51.926940173431696</v>
      </c>
      <c r="H240" s="14">
        <f ca="1">external_curves!O170</f>
        <v>0.45157299216157509</v>
      </c>
      <c r="I240" s="15">
        <f t="shared" ca="1" si="29"/>
        <v>33.438669411383096</v>
      </c>
      <c r="J240" s="33">
        <f t="shared" ca="1" si="25"/>
        <v>17.753816000604203</v>
      </c>
      <c r="K240" s="33">
        <f t="shared" ca="1" si="26"/>
        <v>21.476390323311541</v>
      </c>
      <c r="L240" s="33">
        <f t="shared" ca="1" si="27"/>
        <v>27.325382886574126</v>
      </c>
      <c r="M240" s="33">
        <f t="shared" ca="1" si="28"/>
        <v>23.448803747911651</v>
      </c>
      <c r="N240" s="33">
        <f ca="1">H240*external_curves!K170</f>
        <v>1.8096280057333858</v>
      </c>
      <c r="O240" s="33">
        <f ca="1">H240*external_curves!Q170</f>
        <v>19.54307349744326</v>
      </c>
      <c r="P240" s="33">
        <f ca="1">H240*external_curves!S170</f>
        <v>17.646072572279586</v>
      </c>
      <c r="Q240" s="14">
        <f ca="1">H240*external_curves!M170</f>
        <v>0.59351829010533019</v>
      </c>
    </row>
    <row r="241" spans="1:17" x14ac:dyDescent="0.2">
      <c r="A241" s="26">
        <v>41365</v>
      </c>
      <c r="B241" s="33">
        <f t="shared" si="31"/>
        <v>37.413132939595087</v>
      </c>
      <c r="C241" s="33">
        <f t="shared" si="31"/>
        <v>47.559067296095471</v>
      </c>
      <c r="D241" s="33"/>
      <c r="E241" s="33"/>
      <c r="F241" s="33">
        <f ca="1">$C$16*external_curves!K171</f>
        <v>58.201625217476256</v>
      </c>
      <c r="G241" s="33">
        <f ca="1">IF(swap_model!$B$37="Y",swap_model!B194,((F241*external_curves!AI171)+(Fwd_curves!B241*external_curves!AL171)+(Fwd_curves!C241*external_curves!AM171))/(external_curves!AH171))</f>
        <v>50.158209642889751</v>
      </c>
      <c r="H241" s="14">
        <f ca="1">external_curves!O171</f>
        <v>0.44907019194885606</v>
      </c>
      <c r="I241" s="15">
        <f t="shared" ca="1" si="29"/>
        <v>33.625032947454493</v>
      </c>
      <c r="J241" s="33">
        <f t="shared" ca="1" si="25"/>
        <v>16.801122790592036</v>
      </c>
      <c r="K241" s="33">
        <f t="shared" ca="1" si="26"/>
        <v>21.357359479566156</v>
      </c>
      <c r="L241" s="33">
        <f t="shared" ca="1" si="27"/>
        <v>26.136615008147444</v>
      </c>
      <c r="M241" s="33">
        <f t="shared" ca="1" si="28"/>
        <v>22.524556832143464</v>
      </c>
      <c r="N241" s="33">
        <f ca="1">H241*external_curves!K171</f>
        <v>1.7309016561687049</v>
      </c>
      <c r="O241" s="33">
        <f ca="1">H241*external_curves!Q171</f>
        <v>18.011415039495581</v>
      </c>
      <c r="P241" s="33">
        <f ca="1">H241*external_curves!S171</f>
        <v>16.143029346435085</v>
      </c>
      <c r="Q241" s="14">
        <f ca="1">H241*external_curves!M171</f>
        <v>0.58986130799068548</v>
      </c>
    </row>
    <row r="242" spans="1:17" x14ac:dyDescent="0.2">
      <c r="A242" s="26">
        <v>41395</v>
      </c>
      <c r="B242" s="33">
        <f t="shared" si="31"/>
        <v>40.583737426001456</v>
      </c>
      <c r="C242" s="33">
        <f t="shared" si="31"/>
        <v>47.559067296095471</v>
      </c>
      <c r="D242" s="33"/>
      <c r="E242" s="33"/>
      <c r="F242" s="33">
        <f ca="1">$C$16*external_curves!K172</f>
        <v>57.88087770808675</v>
      </c>
      <c r="G242" s="33">
        <f ca="1">IF(swap_model!$B$37="Y",swap_model!B195,((F242*external_curves!AI172)+(Fwd_curves!B242*external_curves!AL172)+(Fwd_curves!C242*external_curves!AM172))/(external_curves!AH172))</f>
        <v>50.792426446477712</v>
      </c>
      <c r="H242" s="14">
        <f ca="1">external_curves!O172</f>
        <v>0.44665995968280253</v>
      </c>
      <c r="I242" s="15">
        <f t="shared" ca="1" si="29"/>
        <v>33.806477775002101</v>
      </c>
      <c r="J242" s="33">
        <f t="shared" ref="J242:J261" ca="1" si="32">$H242*B242</f>
        <v>18.127130522475255</v>
      </c>
      <c r="K242" s="33">
        <f t="shared" ref="K242:K261" ca="1" si="33">$H242*C242</f>
        <v>21.242731081025696</v>
      </c>
      <c r="L242" s="33">
        <f t="shared" ref="L242:L261" ca="1" si="34">$H242*F242</f>
        <v>25.85307050349925</v>
      </c>
      <c r="M242" s="33">
        <f t="shared" ref="M242:M261" ca="1" si="35">$H242*G242</f>
        <v>22.686943148775448</v>
      </c>
      <c r="N242" s="33">
        <f ca="1">H242*external_curves!K172</f>
        <v>1.712123874403924</v>
      </c>
      <c r="O242" s="33">
        <f ca="1">H242*external_curves!Q172</f>
        <v>17.171070074961953</v>
      </c>
      <c r="P242" s="33">
        <f ca="1">H242*external_curves!S172</f>
        <v>13.118648233976836</v>
      </c>
      <c r="Q242" s="14">
        <f ca="1">H242*external_curves!M172</f>
        <v>0.58634352313341143</v>
      </c>
    </row>
    <row r="243" spans="1:17" x14ac:dyDescent="0.2">
      <c r="A243" s="26">
        <v>41426</v>
      </c>
      <c r="B243" s="33">
        <f t="shared" si="31"/>
        <v>40.583737426001456</v>
      </c>
      <c r="C243" s="33">
        <f t="shared" si="31"/>
        <v>47.559067296095471</v>
      </c>
      <c r="D243" s="33"/>
      <c r="E243" s="33"/>
      <c r="F243" s="33">
        <f ca="1">$C$16*external_curves!K173</f>
        <v>59.505158877786286</v>
      </c>
      <c r="G243" s="33">
        <f ca="1">IF(swap_model!$B$37="Y",swap_model!B196,((F243*external_curves!AI173)+(Fwd_curves!B243*external_curves!AL173)+(Fwd_curves!C243*external_curves!AM173))/(external_curves!AH173))</f>
        <v>51.694298101121333</v>
      </c>
      <c r="H243" s="14">
        <f ca="1">external_curves!O173</f>
        <v>0.44418156181610619</v>
      </c>
      <c r="I243" s="15">
        <f t="shared" ca="1" si="29"/>
        <v>33.995107627298339</v>
      </c>
      <c r="J243" s="33">
        <f t="shared" ca="1" si="32"/>
        <v>18.026547874216089</v>
      </c>
      <c r="K243" s="33">
        <f t="shared" ca="1" si="33"/>
        <v>21.124860790096985</v>
      </c>
      <c r="L243" s="33">
        <f t="shared" ca="1" si="34"/>
        <v>26.431094406450647</v>
      </c>
      <c r="M243" s="33">
        <f t="shared" ca="1" si="35"/>
        <v>22.961654067543446</v>
      </c>
      <c r="N243" s="33">
        <f ca="1">H243*external_curves!K173</f>
        <v>1.750403603076202</v>
      </c>
      <c r="O243" s="33">
        <f ca="1">H243*external_curves!Q173</f>
        <v>17.210938987754105</v>
      </c>
      <c r="P243" s="33">
        <f ca="1">H243*external_curves!S173</f>
        <v>13.420845022695994</v>
      </c>
      <c r="Q243" s="14">
        <f ca="1">H243*external_curves!M173</f>
        <v>0.58273028568661267</v>
      </c>
    </row>
    <row r="244" spans="1:17" x14ac:dyDescent="0.2">
      <c r="A244" s="26">
        <v>41456</v>
      </c>
      <c r="B244" s="33">
        <f t="shared" si="31"/>
        <v>38.047253836876372</v>
      </c>
      <c r="C244" s="33">
        <f t="shared" si="31"/>
        <v>48.446836552289255</v>
      </c>
      <c r="D244" s="33"/>
      <c r="E244" s="33"/>
      <c r="F244" s="33">
        <f ca="1">$C$16*external_curves!K174</f>
        <v>59.278627090822162</v>
      </c>
      <c r="G244" s="33">
        <f ca="1">IF(swap_model!$B$37="Y",swap_model!B197,((F244*external_curves!AI174)+(Fwd_curves!B244*external_curves!AL174)+(Fwd_curves!C244*external_curves!AM174))/(external_curves!AH174))</f>
        <v>50.990320053307656</v>
      </c>
      <c r="H244" s="14">
        <f ca="1">external_curves!O174</f>
        <v>0.44179484594577068</v>
      </c>
      <c r="I244" s="15">
        <f t="shared" ca="1" si="29"/>
        <v>34.178759980041711</v>
      </c>
      <c r="J244" s="33">
        <f t="shared" ca="1" si="32"/>
        <v>16.809080647522428</v>
      </c>
      <c r="K244" s="33">
        <f t="shared" ca="1" si="33"/>
        <v>21.403562691178564</v>
      </c>
      <c r="L244" s="33">
        <f t="shared" ca="1" si="34"/>
        <v>26.188991923466567</v>
      </c>
      <c r="M244" s="33">
        <f t="shared" ca="1" si="35"/>
        <v>22.527260592676598</v>
      </c>
      <c r="N244" s="33">
        <f ca="1">H244*external_curves!K174</f>
        <v>1.7343703260573884</v>
      </c>
      <c r="O244" s="33">
        <f ca="1">H244*external_curves!Q174</f>
        <v>28.476155311006494</v>
      </c>
      <c r="P244" s="33">
        <f ca="1">H244*external_curves!S174</f>
        <v>22.80986206379049</v>
      </c>
      <c r="Q244" s="14">
        <f ca="1">H244*external_curves!M174</f>
        <v>0.57925458321819567</v>
      </c>
    </row>
    <row r="245" spans="1:17" x14ac:dyDescent="0.2">
      <c r="A245" s="26">
        <v>41487</v>
      </c>
      <c r="B245" s="33">
        <f t="shared" si="31"/>
        <v>38.047253836876372</v>
      </c>
      <c r="C245" s="33">
        <f t="shared" si="31"/>
        <v>51.03404981319683</v>
      </c>
      <c r="D245" s="33"/>
      <c r="E245" s="33"/>
      <c r="F245" s="33">
        <f ca="1">$C$16*external_curves!K175</f>
        <v>59.239920643906693</v>
      </c>
      <c r="G245" s="33">
        <f ca="1">IF(swap_model!$B$37="Y",swap_model!B198,((F245*external_curves!AI175)+(Fwd_curves!B245*external_curves!AL175)+(Fwd_curves!C245*external_curves!AM175))/(external_curves!AH175))</f>
        <v>51.881079391232127</v>
      </c>
      <c r="H245" s="14">
        <f ca="1">external_curves!O175</f>
        <v>0.43934064661425654</v>
      </c>
      <c r="I245" s="15">
        <f t="shared" ca="1" si="29"/>
        <v>34.369685838009616</v>
      </c>
      <c r="J245" s="33">
        <f t="shared" ca="1" si="32"/>
        <v>16.715705102590018</v>
      </c>
      <c r="K245" s="33">
        <f t="shared" ca="1" si="33"/>
        <v>22.421332444274075</v>
      </c>
      <c r="L245" s="33">
        <f t="shared" ca="1" si="34"/>
        <v>26.026505041071211</v>
      </c>
      <c r="M245" s="33">
        <f t="shared" ca="1" si="35"/>
        <v>22.793466966789502</v>
      </c>
      <c r="N245" s="33">
        <f ca="1">H245*external_curves!K175</f>
        <v>1.7236096053689545</v>
      </c>
      <c r="O245" s="33">
        <f ca="1">H245*external_curves!Q175</f>
        <v>38.375133629830835</v>
      </c>
      <c r="P245" s="33">
        <f ca="1">H245*external_curves!S175</f>
        <v>30.192303589309091</v>
      </c>
      <c r="Q245" s="14">
        <f ca="1">H245*external_curves!M175</f>
        <v>0.57568457290475306</v>
      </c>
    </row>
    <row r="246" spans="1:17" x14ac:dyDescent="0.2">
      <c r="A246" s="26">
        <v>41518</v>
      </c>
      <c r="B246" s="33">
        <f t="shared" si="31"/>
        <v>38.047253836876372</v>
      </c>
      <c r="C246" s="33">
        <f t="shared" si="31"/>
        <v>51.03404981319683</v>
      </c>
      <c r="D246" s="33"/>
      <c r="E246" s="33"/>
      <c r="F246" s="33">
        <f ca="1">$C$16*external_curves!K176</f>
        <v>58.918581840362037</v>
      </c>
      <c r="G246" s="33">
        <f ca="1">IF(swap_model!$B$37="Y",swap_model!B199,((F246*external_curves!AI176)+(Fwd_curves!B246*external_curves!AL176)+(Fwd_curves!C246*external_curves!AM176))/(external_curves!AH176))</f>
        <v>51.71415978782148</v>
      </c>
      <c r="H246" s="14">
        <f ca="1">external_curves!O176</f>
        <v>0.43689866721271209</v>
      </c>
      <c r="I246" s="15">
        <f t="shared" ca="1" si="29"/>
        <v>34.561790028643614</v>
      </c>
      <c r="J246" s="33">
        <f t="shared" ca="1" si="32"/>
        <v>16.622794492435034</v>
      </c>
      <c r="K246" s="33">
        <f t="shared" ca="1" si="33"/>
        <v>22.296708345852853</v>
      </c>
      <c r="L246" s="33">
        <f t="shared" ca="1" si="34"/>
        <v>25.741449880117276</v>
      </c>
      <c r="M246" s="33">
        <f t="shared" ca="1" si="35"/>
        <v>22.593847487324435</v>
      </c>
      <c r="N246" s="33">
        <f ca="1">H246*external_curves!K176</f>
        <v>1.7047317801402171</v>
      </c>
      <c r="O246" s="33">
        <f ca="1">H246*external_curves!Q176</f>
        <v>36.779784236727565</v>
      </c>
      <c r="P246" s="33">
        <f ca="1">H246*external_curves!S176</f>
        <v>27.642719303344052</v>
      </c>
      <c r="Q246" s="14">
        <f ca="1">H246*external_curves!M176</f>
        <v>0.57213633408614084</v>
      </c>
    </row>
    <row r="247" spans="1:17" x14ac:dyDescent="0.2">
      <c r="A247" s="26">
        <v>41548</v>
      </c>
      <c r="B247" s="33">
        <f t="shared" si="31"/>
        <v>38.047253836876372</v>
      </c>
      <c r="C247" s="33">
        <f t="shared" si="31"/>
        <v>50.729671782501818</v>
      </c>
      <c r="D247" s="33"/>
      <c r="E247" s="33"/>
      <c r="F247" s="33">
        <f ca="1">$C$16*external_curves!K177</f>
        <v>59.070061763991248</v>
      </c>
      <c r="G247" s="33">
        <f ca="1">IF(swap_model!$B$37="Y",swap_model!B200,((F247*external_curves!AI177)+(Fwd_curves!B247*external_curves!AL177)+(Fwd_curves!C247*external_curves!AM177))/(external_curves!AH177))</f>
        <v>51.632527721904204</v>
      </c>
      <c r="H247" s="14">
        <f ca="1">external_curves!O177</f>
        <v>0.43454704724206267</v>
      </c>
      <c r="I247" s="15">
        <f t="shared" ca="1" si="29"/>
        <v>34.748826613447463</v>
      </c>
      <c r="J247" s="33">
        <f t="shared" ca="1" si="32"/>
        <v>16.533321810483866</v>
      </c>
      <c r="K247" s="33">
        <f t="shared" ca="1" si="33"/>
        <v>22.044429080645152</v>
      </c>
      <c r="L247" s="33">
        <f t="shared" ca="1" si="34"/>
        <v>25.668720919948665</v>
      </c>
      <c r="M247" s="33">
        <f t="shared" ca="1" si="35"/>
        <v>22.436762463197415</v>
      </c>
      <c r="N247" s="33">
        <f ca="1">H247*external_curves!K177</f>
        <v>1.6999152927118322</v>
      </c>
      <c r="O247" s="33">
        <f ca="1">H247*external_curves!Q177</f>
        <v>23.195374091264505</v>
      </c>
      <c r="P247" s="33">
        <f ca="1">H247*external_curves!S177</f>
        <v>21.181696609256957</v>
      </c>
      <c r="Q247" s="14">
        <f ca="1">H247*external_curves!M177</f>
        <v>0.56872316026148106</v>
      </c>
    </row>
    <row r="248" spans="1:17" x14ac:dyDescent="0.2">
      <c r="A248" s="26">
        <v>41579</v>
      </c>
      <c r="B248" s="33">
        <f t="shared" si="31"/>
        <v>41.851979220564012</v>
      </c>
      <c r="C248" s="33">
        <f t="shared" si="31"/>
        <v>50.729671782501818</v>
      </c>
      <c r="D248" s="33"/>
      <c r="E248" s="33"/>
      <c r="F248" s="33">
        <f ca="1">$C$16*external_curves!K178</f>
        <v>60.293547654970979</v>
      </c>
      <c r="G248" s="33">
        <f ca="1">IF(swap_model!$B$37="Y",swap_model!B201,((F248*external_curves!AI178)+(Fwd_curves!B248*external_curves!AL178)+(Fwd_curves!C248*external_curves!AM178))/(external_curves!AH178))</f>
        <v>53.235241805013054</v>
      </c>
      <c r="H248" s="14">
        <f ca="1">external_curves!O178</f>
        <v>0.43212896146726149</v>
      </c>
      <c r="I248" s="15">
        <f t="shared" ca="1" si="29"/>
        <v>34.943272371120607</v>
      </c>
      <c r="J248" s="33">
        <f t="shared" ca="1" si="32"/>
        <v>18.085452315931732</v>
      </c>
      <c r="K248" s="33">
        <f t="shared" ca="1" si="33"/>
        <v>21.92176038294755</v>
      </c>
      <c r="L248" s="33">
        <f t="shared" ca="1" si="34"/>
        <v>26.054588131319449</v>
      </c>
      <c r="M248" s="33">
        <f t="shared" ca="1" si="35"/>
        <v>23.004489754658834</v>
      </c>
      <c r="N248" s="33">
        <f ca="1">H248*external_curves!K178</f>
        <v>1.7254694126701622</v>
      </c>
      <c r="O248" s="33">
        <f ca="1">H248*external_curves!Q178</f>
        <v>22.487173441738896</v>
      </c>
      <c r="P248" s="33">
        <f ca="1">H248*external_curves!S178</f>
        <v>19.795985092345923</v>
      </c>
      <c r="Q248" s="14">
        <f ca="1">H248*external_curves!M178</f>
        <v>0.56521737945805961</v>
      </c>
    </row>
    <row r="249" spans="1:17" x14ac:dyDescent="0.2">
      <c r="A249" s="26">
        <v>41609</v>
      </c>
      <c r="B249" s="33">
        <f t="shared" si="31"/>
        <v>41.851979220564012</v>
      </c>
      <c r="C249" s="33">
        <f t="shared" si="31"/>
        <v>50.729671782501818</v>
      </c>
      <c r="D249" s="33"/>
      <c r="E249" s="33"/>
      <c r="F249" s="33">
        <f ca="1">$C$16*external_curves!K179</f>
        <v>61.799134525657024</v>
      </c>
      <c r="G249" s="33">
        <f ca="1">IF(swap_model!$B$37="Y",swap_model!B202,((F249*external_curves!AI179)+(Fwd_curves!B249*external_curves!AL179)+(Fwd_curves!C249*external_curves!AM179))/(external_curves!AH179))</f>
        <v>53.866737635579213</v>
      </c>
      <c r="H249" s="14">
        <f ca="1">external_curves!O179</f>
        <v>0.42980036717195585</v>
      </c>
      <c r="I249" s="15">
        <f t="shared" ca="1" si="29"/>
        <v>35.1325898099076</v>
      </c>
      <c r="J249" s="33">
        <f t="shared" ca="1" si="32"/>
        <v>17.987996035871479</v>
      </c>
      <c r="K249" s="33">
        <f t="shared" ca="1" si="33"/>
        <v>21.803631558632091</v>
      </c>
      <c r="L249" s="33">
        <f t="shared" ca="1" si="34"/>
        <v>26.561290710036484</v>
      </c>
      <c r="M249" s="33">
        <f t="shared" ca="1" si="35"/>
        <v>23.151943614127358</v>
      </c>
      <c r="N249" s="33">
        <f ca="1">H249*external_curves!K179</f>
        <v>1.759025874836853</v>
      </c>
      <c r="O249" s="33">
        <f ca="1">H249*external_curves!Q179</f>
        <v>22.493466583878138</v>
      </c>
      <c r="P249" s="33">
        <f ca="1">H249*external_curves!S179</f>
        <v>19.674318424440404</v>
      </c>
      <c r="Q249" s="14">
        <f ca="1">H249*external_curves!M179</f>
        <v>0.56184505017804776</v>
      </c>
    </row>
    <row r="250" spans="1:17" x14ac:dyDescent="0.2">
      <c r="A250" s="26">
        <v>41640</v>
      </c>
      <c r="B250" s="33">
        <f t="shared" si="31"/>
        <v>42.689018804975291</v>
      </c>
      <c r="C250" s="33">
        <f t="shared" si="31"/>
        <v>49.803855272471168</v>
      </c>
      <c r="D250" s="33"/>
      <c r="E250" s="33"/>
      <c r="F250" s="33">
        <f ca="1">$C$16*external_curves!K180</f>
        <v>65.746477146383668</v>
      </c>
      <c r="G250" s="33">
        <f ca="1">IF(swap_model!$B$37="Y",swap_model!B203,((F250*external_curves!AI180)+(Fwd_curves!B250*external_curves!AL180)+(Fwd_curves!C250*external_curves!AM180))/(external_curves!AH180))</f>
        <v>55.39717304544871</v>
      </c>
      <c r="H250" s="14">
        <f ca="1">external_curves!O180</f>
        <v>0.42740597449361223</v>
      </c>
      <c r="I250" s="15">
        <f t="shared" ca="1" si="29"/>
        <v>35.329407872434118</v>
      </c>
      <c r="J250" s="33">
        <f t="shared" ca="1" si="32"/>
        <v>18.245541682516603</v>
      </c>
      <c r="K250" s="33">
        <f t="shared" ca="1" si="33"/>
        <v>21.286465296269366</v>
      </c>
      <c r="L250" s="33">
        <f t="shared" ca="1" si="34"/>
        <v>28.100437134272116</v>
      </c>
      <c r="M250" s="33">
        <f t="shared" ca="1" si="35"/>
        <v>23.677082729681274</v>
      </c>
      <c r="N250" s="33">
        <f ca="1">H250*external_curves!K180</f>
        <v>1.8609561016074252</v>
      </c>
      <c r="O250" s="33">
        <f ca="1">H250*external_curves!Q180</f>
        <v>20.129643157796568</v>
      </c>
      <c r="P250" s="33">
        <f ca="1">H250*external_curves!S180</f>
        <v>17.942950231881394</v>
      </c>
      <c r="Q250" s="14">
        <f ca="1">H250*external_curves!M180</f>
        <v>0.55838122490420439</v>
      </c>
    </row>
    <row r="251" spans="1:17" x14ac:dyDescent="0.2">
      <c r="A251" s="26">
        <v>41671</v>
      </c>
      <c r="B251" s="33">
        <f t="shared" si="31"/>
        <v>38.8081989136139</v>
      </c>
      <c r="C251" s="33">
        <f t="shared" si="31"/>
        <v>48.51024864201738</v>
      </c>
      <c r="D251" s="33"/>
      <c r="E251" s="33"/>
      <c r="F251" s="33">
        <f ca="1">$C$16*external_curves!K181</f>
        <v>64.144626706867271</v>
      </c>
      <c r="G251" s="33">
        <f ca="1">IF(swap_model!$B$37="Y",swap_model!B204,((F251*external_curves!AI181)+(Fwd_curves!B251*external_curves!AL181)+(Fwd_curves!C251*external_curves!AM181))/(external_curves!AH181))</f>
        <v>53.645178737564123</v>
      </c>
      <c r="H251" s="14">
        <f ca="1">external_curves!O181</f>
        <v>0.42502354613682231</v>
      </c>
      <c r="I251" s="15">
        <f t="shared" ca="1" si="29"/>
        <v>35.527443449307285</v>
      </c>
      <c r="J251" s="33">
        <f t="shared" ca="1" si="32"/>
        <v>16.494398321447356</v>
      </c>
      <c r="K251" s="33">
        <f t="shared" ca="1" si="33"/>
        <v>20.617997901809197</v>
      </c>
      <c r="L251" s="33">
        <f t="shared" ca="1" si="34"/>
        <v>27.262976708575447</v>
      </c>
      <c r="M251" s="33">
        <f t="shared" ca="1" si="35"/>
        <v>22.800464100183163</v>
      </c>
      <c r="N251" s="33">
        <f ca="1">H251*external_curves!K181</f>
        <v>1.8054951462632747</v>
      </c>
      <c r="O251" s="33">
        <f ca="1">H251*external_curves!Q181</f>
        <v>19.728064763189849</v>
      </c>
      <c r="P251" s="33">
        <f ca="1">H251*external_curves!S181</f>
        <v>17.670828353285181</v>
      </c>
      <c r="Q251" s="14">
        <f ca="1">H251*external_curves!M181</f>
        <v>0.55493853061012244</v>
      </c>
    </row>
    <row r="252" spans="1:17" x14ac:dyDescent="0.2">
      <c r="A252" s="26">
        <v>41699</v>
      </c>
      <c r="B252" s="33">
        <f t="shared" si="31"/>
        <v>40.101805544067695</v>
      </c>
      <c r="C252" s="33">
        <f t="shared" si="31"/>
        <v>48.51024864201738</v>
      </c>
      <c r="D252" s="33"/>
      <c r="E252" s="33"/>
      <c r="F252" s="33">
        <f ca="1">$C$16*external_curves!K182</f>
        <v>61.910155680666591</v>
      </c>
      <c r="G252" s="33">
        <f ca="1">IF(swap_model!$B$37="Y",swap_model!B205,((F252*external_curves!AI182)+(Fwd_curves!B252*external_curves!AL182)+(Fwd_curves!C252*external_curves!AM182))/(external_curves!AH182))</f>
        <v>53.058652217555242</v>
      </c>
      <c r="H252" s="14">
        <f ca="1">external_curves!O182</f>
        <v>0.42288191629180938</v>
      </c>
      <c r="I252" s="15">
        <f t="shared" ca="1" si="29"/>
        <v>35.707367513867055</v>
      </c>
      <c r="J252" s="33">
        <f t="shared" ca="1" si="32"/>
        <v>16.958328375236853</v>
      </c>
      <c r="K252" s="33">
        <f t="shared" ca="1" si="33"/>
        <v>20.514106905528454</v>
      </c>
      <c r="L252" s="33">
        <f t="shared" ca="1" si="34"/>
        <v>26.180685272164535</v>
      </c>
      <c r="M252" s="33">
        <f t="shared" ca="1" si="35"/>
        <v>22.437544525620421</v>
      </c>
      <c r="N252" s="33">
        <f ca="1">H252*external_curves!K182</f>
        <v>1.7338202166996382</v>
      </c>
      <c r="O252" s="33">
        <f ca="1">H252*external_curves!Q182</f>
        <v>18.223369431482396</v>
      </c>
      <c r="P252" s="33">
        <f ca="1">H252*external_curves!S182</f>
        <v>16.449870952856411</v>
      </c>
      <c r="Q252" s="14">
        <f ca="1">H252*external_curves!M182</f>
        <v>0.55184705674865309</v>
      </c>
    </row>
    <row r="253" spans="1:17" x14ac:dyDescent="0.2">
      <c r="A253" s="26">
        <v>41730</v>
      </c>
      <c r="B253" s="33">
        <f t="shared" si="31"/>
        <v>38.161395598386989</v>
      </c>
      <c r="C253" s="33">
        <f t="shared" si="31"/>
        <v>48.51024864201738</v>
      </c>
      <c r="D253" s="33"/>
      <c r="E253" s="33"/>
      <c r="F253" s="33">
        <f ca="1">$C$16*external_curves!K183</f>
        <v>59.674703168238764</v>
      </c>
      <c r="G253" s="33">
        <f ca="1">IF(swap_model!$B$37="Y",swap_model!B206,((F253*external_curves!AI183)+(Fwd_curves!B253*external_curves!AL183)+(Fwd_curves!C253*external_curves!AM183))/(external_curves!AH183))</f>
        <v>51.305595044073598</v>
      </c>
      <c r="H253" s="14">
        <f ca="1">external_curves!O183</f>
        <v>0.42052211719876537</v>
      </c>
      <c r="I253" s="15">
        <f t="shared" ca="1" si="29"/>
        <v>35.907742737970629</v>
      </c>
      <c r="J253" s="33">
        <f t="shared" ca="1" si="32"/>
        <v>16.047710872293344</v>
      </c>
      <c r="K253" s="33">
        <f t="shared" ca="1" si="33"/>
        <v>20.399632464779682</v>
      </c>
      <c r="L253" s="33">
        <f t="shared" ca="1" si="34"/>
        <v>25.094532519515635</v>
      </c>
      <c r="M253" s="33">
        <f t="shared" ca="1" si="35"/>
        <v>21.575137452076312</v>
      </c>
      <c r="N253" s="33">
        <f ca="1">H253*external_curves!K183</f>
        <v>1.6618895708288501</v>
      </c>
      <c r="O253" s="33">
        <f ca="1">H253*external_curves!Q183</f>
        <v>16.798846700346147</v>
      </c>
      <c r="P253" s="33">
        <f ca="1">H253*external_curves!S183</f>
        <v>15.052265118375054</v>
      </c>
      <c r="Q253" s="14">
        <f ca="1">H253*external_curves!M183</f>
        <v>0.54844422789246317</v>
      </c>
    </row>
    <row r="254" spans="1:17" x14ac:dyDescent="0.2">
      <c r="A254" s="26">
        <v>41760</v>
      </c>
      <c r="B254" s="33">
        <f t="shared" ref="B254:C261" si="36">B242*(1+$B$22)</f>
        <v>41.395412174521482</v>
      </c>
      <c r="C254" s="33">
        <f t="shared" si="36"/>
        <v>48.51024864201738</v>
      </c>
      <c r="D254" s="33"/>
      <c r="E254" s="33"/>
      <c r="F254" s="33">
        <f ca="1">$C$16*external_curves!K184</f>
        <v>59.37565701579355</v>
      </c>
      <c r="G254" s="33">
        <f ca="1">IF(swap_model!$B$37="Y",swap_model!B207,((F254*external_curves!AI184)+(Fwd_curves!B254*external_curves!AL184)+(Fwd_curves!C254*external_curves!AM184))/(external_curves!AH184))</f>
        <v>51.967792364181271</v>
      </c>
      <c r="H254" s="14">
        <f ca="1">external_curves!O184</f>
        <v>0.41824969149157326</v>
      </c>
      <c r="I254" s="15">
        <f t="shared" ca="1" si="29"/>
        <v>36.102835954642245</v>
      </c>
      <c r="J254" s="33">
        <f t="shared" ca="1" si="32"/>
        <v>17.313618371160125</v>
      </c>
      <c r="K254" s="33">
        <f t="shared" ca="1" si="33"/>
        <v>20.289396528703278</v>
      </c>
      <c r="L254" s="33">
        <f t="shared" ca="1" si="34"/>
        <v>24.833850228965119</v>
      </c>
      <c r="M254" s="33">
        <f t="shared" ca="1" si="35"/>
        <v>21.735513123816954</v>
      </c>
      <c r="N254" s="33">
        <f ca="1">H254*external_curves!K184</f>
        <v>1.6446258429778227</v>
      </c>
      <c r="O254" s="33">
        <f ca="1">H254*external_curves!Q184</f>
        <v>16.017122160893127</v>
      </c>
      <c r="P254" s="33">
        <f ca="1">H254*external_curves!S184</f>
        <v>12.238853077850587</v>
      </c>
      <c r="Q254" s="14">
        <f ca="1">H254*external_curves!M184</f>
        <v>0.54517093808349648</v>
      </c>
    </row>
    <row r="255" spans="1:17" x14ac:dyDescent="0.2">
      <c r="A255" s="26">
        <v>41791</v>
      </c>
      <c r="B255" s="33">
        <f t="shared" si="36"/>
        <v>41.395412174521482</v>
      </c>
      <c r="C255" s="33">
        <f t="shared" si="36"/>
        <v>48.51024864201738</v>
      </c>
      <c r="D255" s="33"/>
      <c r="E255" s="33"/>
      <c r="F255" s="33">
        <f ca="1">$C$16*external_curves!K185</f>
        <v>61.006975750142615</v>
      </c>
      <c r="G255" s="33">
        <f ca="1">IF(swap_model!$B$37="Y",swap_model!B208,((F255*external_curves!AI185)+(Fwd_curves!B255*external_curves!AL185)+(Fwd_curves!C255*external_curves!AM185))/(external_curves!AH185))</f>
        <v>52.880577425046269</v>
      </c>
      <c r="H255" s="14">
        <f ca="1">external_curves!O185</f>
        <v>0.41591309468632393</v>
      </c>
      <c r="I255" s="15">
        <f t="shared" ca="1" si="29"/>
        <v>36.305661430035563</v>
      </c>
      <c r="J255" s="33">
        <f t="shared" ca="1" si="32"/>
        <v>17.21689398332116</v>
      </c>
      <c r="K255" s="33">
        <f t="shared" ca="1" si="33"/>
        <v>20.176047636704492</v>
      </c>
      <c r="L255" s="33">
        <f t="shared" ca="1" si="34"/>
        <v>25.373600081695333</v>
      </c>
      <c r="M255" s="33">
        <f t="shared" ca="1" si="35"/>
        <v>21.993724605650751</v>
      </c>
      <c r="N255" s="33">
        <f ca="1">H255*external_curves!K185</f>
        <v>1.6803708663374393</v>
      </c>
      <c r="O255" s="33">
        <f ca="1">H255*external_curves!Q185</f>
        <v>16.05379610817246</v>
      </c>
      <c r="P255" s="33">
        <f ca="1">H255*external_curves!S185</f>
        <v>12.520299417246662</v>
      </c>
      <c r="Q255" s="14">
        <f ca="1">H255*external_curves!M185</f>
        <v>0.54180884604024504</v>
      </c>
    </row>
    <row r="256" spans="1:17" x14ac:dyDescent="0.2">
      <c r="A256" s="26">
        <v>41821</v>
      </c>
      <c r="B256" s="33">
        <f t="shared" si="36"/>
        <v>38.8081989136139</v>
      </c>
      <c r="C256" s="33">
        <f t="shared" si="36"/>
        <v>49.415773283335042</v>
      </c>
      <c r="D256" s="33"/>
      <c r="E256" s="33"/>
      <c r="F256" s="33">
        <f ca="1">$C$16*external_curves!K186</f>
        <v>60.782685613546612</v>
      </c>
      <c r="G256" s="33">
        <f ca="1">IF(swap_model!$B$37="Y",swap_model!B209,((F256*external_curves!AI186)+(Fwd_curves!B256*external_curves!AL186)+(Fwd_curves!C256*external_curves!AM186))/(external_curves!AH186))</f>
        <v>52.153958832848396</v>
      </c>
      <c r="H256" s="14">
        <f ca="1">external_curves!O186</f>
        <v>0.4136630277970853</v>
      </c>
      <c r="I256" s="15">
        <f t="shared" ca="1" si="29"/>
        <v>36.503141410566244</v>
      </c>
      <c r="J256" s="33">
        <f t="shared" ca="1" si="32"/>
        <v>16.053517065957081</v>
      </c>
      <c r="K256" s="33">
        <f t="shared" ca="1" si="33"/>
        <v>20.44147839731869</v>
      </c>
      <c r="L256" s="33">
        <f t="shared" ca="1" si="34"/>
        <v>25.14354976853803</v>
      </c>
      <c r="M256" s="33">
        <f t="shared" ca="1" si="35"/>
        <v>21.574164522400608</v>
      </c>
      <c r="N256" s="33">
        <f ca="1">H256*external_curves!K186</f>
        <v>1.6651357462607965</v>
      </c>
      <c r="O256" s="33">
        <f ca="1">H256*external_curves!Q186</f>
        <v>26.594820901632655</v>
      </c>
      <c r="P256" s="33">
        <f ca="1">H256*external_curves!S186</f>
        <v>21.290844156141834</v>
      </c>
      <c r="Q256" s="14">
        <f ca="1">H256*external_curves!M186</f>
        <v>0.53857474486902901</v>
      </c>
    </row>
    <row r="257" spans="1:17" x14ac:dyDescent="0.2">
      <c r="A257" s="26">
        <v>41852</v>
      </c>
      <c r="B257" s="33">
        <f t="shared" si="36"/>
        <v>38.8081989136139</v>
      </c>
      <c r="C257" s="33">
        <f t="shared" si="36"/>
        <v>52.054730809460764</v>
      </c>
      <c r="D257" s="33"/>
      <c r="E257" s="33"/>
      <c r="F257" s="33">
        <f ca="1">$C$16*external_curves!K187</f>
        <v>60.74482798261328</v>
      </c>
      <c r="G257" s="33">
        <f ca="1">IF(swap_model!$B$37="Y",swap_model!B210,((F257*external_curves!AI187)+(Fwd_curves!B257*external_curves!AL187)+(Fwd_curves!C257*external_curves!AM187))/(external_curves!AH187))</f>
        <v>53.077034426240743</v>
      </c>
      <c r="H257" s="14">
        <f ca="1">external_curves!O187</f>
        <v>0.41134943725159023</v>
      </c>
      <c r="I257" s="15">
        <f t="shared" ca="1" si="29"/>
        <v>36.708449392540466</v>
      </c>
      <c r="J257" s="33">
        <f t="shared" ca="1" si="32"/>
        <v>15.963730783862854</v>
      </c>
      <c r="K257" s="33">
        <f t="shared" ca="1" si="33"/>
        <v>21.412684224754702</v>
      </c>
      <c r="L257" s="33">
        <f t="shared" ca="1" si="34"/>
        <v>24.987350806592623</v>
      </c>
      <c r="M257" s="33">
        <f t="shared" ca="1" si="35"/>
        <v>21.83320824221741</v>
      </c>
      <c r="N257" s="33">
        <f ca="1">H257*external_curves!K187</f>
        <v>1.654791444145207</v>
      </c>
      <c r="O257" s="33">
        <f ca="1">H257*external_curves!Q187</f>
        <v>35.797714439649177</v>
      </c>
      <c r="P257" s="33">
        <f ca="1">H257*external_curves!S187</f>
        <v>27.975655071459897</v>
      </c>
      <c r="Q257" s="14">
        <f ca="1">H257*external_curves!M187</f>
        <v>0.53525290729140518</v>
      </c>
    </row>
    <row r="258" spans="1:17" x14ac:dyDescent="0.2">
      <c r="A258" s="26">
        <v>41883</v>
      </c>
      <c r="B258" s="33">
        <f t="shared" si="36"/>
        <v>38.8081989136139</v>
      </c>
      <c r="C258" s="33">
        <f t="shared" si="36"/>
        <v>52.054730809460764</v>
      </c>
      <c r="D258" s="33"/>
      <c r="E258" s="33"/>
      <c r="F258" s="33">
        <f ca="1">$C$16*external_curves!K188</f>
        <v>60.407730586546222</v>
      </c>
      <c r="G258" s="33">
        <f ca="1">IF(swap_model!$B$37="Y",swap_model!B211,((F258*external_curves!AI188)+(Fwd_curves!B258*external_curves!AL188)+(Fwd_curves!C258*external_curves!AM188))/(external_curves!AH188))</f>
        <v>52.900378459273313</v>
      </c>
      <c r="H258" s="14">
        <f ca="1">external_curves!O188</f>
        <v>0.40904746370017447</v>
      </c>
      <c r="I258" s="15">
        <f t="shared" ca="1" si="29"/>
        <v>36.915031481696388</v>
      </c>
      <c r="J258" s="33">
        <f t="shared" ca="1" si="32"/>
        <v>15.874395336385632</v>
      </c>
      <c r="K258" s="33">
        <f t="shared" ca="1" si="33"/>
        <v>21.292855611205255</v>
      </c>
      <c r="L258" s="33">
        <f t="shared" ca="1" si="34"/>
        <v>24.709628984310186</v>
      </c>
      <c r="M258" s="33">
        <f t="shared" ca="1" si="35"/>
        <v>21.638765637545092</v>
      </c>
      <c r="N258" s="33">
        <f ca="1">H258*external_curves!K188</f>
        <v>1.6363992704841182</v>
      </c>
      <c r="O258" s="33">
        <f ca="1">H258*external_curves!Q188</f>
        <v>34.247027517903533</v>
      </c>
      <c r="P258" s="33">
        <f ca="1">H258*external_curves!S188</f>
        <v>25.939720697908808</v>
      </c>
      <c r="Q258" s="14">
        <f ca="1">H258*external_curves!M188</f>
        <v>0.53195134386305576</v>
      </c>
    </row>
    <row r="259" spans="1:17" x14ac:dyDescent="0.2">
      <c r="A259" s="26">
        <v>41913</v>
      </c>
      <c r="B259" s="33">
        <f t="shared" si="36"/>
        <v>38.8081989136139</v>
      </c>
      <c r="C259" s="33">
        <f t="shared" si="36"/>
        <v>51.744265218151853</v>
      </c>
      <c r="D259" s="33"/>
      <c r="E259" s="33"/>
      <c r="F259" s="33">
        <f ca="1">$C$16*external_curves!K189</f>
        <v>60.539938843903002</v>
      </c>
      <c r="G259" s="33">
        <f ca="1">IF(swap_model!$B$37="Y",swap_model!B212,((F259*external_curves!AI189)+(Fwd_curves!B259*external_curves!AL189)+(Fwd_curves!C259*external_curves!AM189))/(external_curves!AH189))</f>
        <v>52.79545769004703</v>
      </c>
      <c r="H259" s="14">
        <f ca="1">external_curves!O189</f>
        <v>0.40683076107065885</v>
      </c>
      <c r="I259" s="15">
        <f t="shared" ca="1" si="29"/>
        <v>37.11617076413112</v>
      </c>
      <c r="J259" s="33">
        <f t="shared" ca="1" si="32"/>
        <v>15.78836909980706</v>
      </c>
      <c r="K259" s="33">
        <f t="shared" ca="1" si="33"/>
        <v>21.051158799742741</v>
      </c>
      <c r="L259" s="33">
        <f t="shared" ca="1" si="34"/>
        <v>24.629509395036202</v>
      </c>
      <c r="M259" s="33">
        <f t="shared" ca="1" si="35"/>
        <v>21.478816233115602</v>
      </c>
      <c r="N259" s="33">
        <f ca="1">H259*external_curves!K189</f>
        <v>1.6310933374196159</v>
      </c>
      <c r="O259" s="33">
        <f ca="1">H259*external_curves!Q189</f>
        <v>21.616341250247675</v>
      </c>
      <c r="P259" s="33">
        <f ca="1">H259*external_curves!S189</f>
        <v>19.735094582984068</v>
      </c>
      <c r="Q259" s="14">
        <f ca="1">H259*external_curves!M189</f>
        <v>0.52877547089646959</v>
      </c>
    </row>
    <row r="260" spans="1:17" x14ac:dyDescent="0.2">
      <c r="A260" s="26">
        <v>41944</v>
      </c>
      <c r="B260" s="33">
        <f t="shared" si="36"/>
        <v>42.689018804975291</v>
      </c>
      <c r="C260" s="33">
        <f t="shared" si="36"/>
        <v>51.744265218151853</v>
      </c>
      <c r="D260" s="33"/>
      <c r="E260" s="33"/>
      <c r="F260" s="33">
        <f ca="1">$C$16*external_curves!K190</f>
        <v>61.661532579697933</v>
      </c>
      <c r="G260" s="33">
        <f ca="1">IF(swap_model!$B$37="Y",swap_model!B213,((F260*external_curves!AI190)+(Fwd_curves!B260*external_curves!AL190)+(Fwd_curves!C260*external_curves!AM190))/(external_curves!AH190))</f>
        <v>54.379202360575668</v>
      </c>
      <c r="H260" s="14">
        <f ca="1">external_curves!O190</f>
        <v>0.40455150056102945</v>
      </c>
      <c r="I260" s="15">
        <f t="shared" ca="1" si="29"/>
        <v>37.325284862519148</v>
      </c>
      <c r="J260" s="33">
        <f t="shared" ca="1" si="32"/>
        <v>17.269906615030759</v>
      </c>
      <c r="K260" s="33">
        <f t="shared" ca="1" si="33"/>
        <v>20.933220139431217</v>
      </c>
      <c r="L260" s="33">
        <f t="shared" ca="1" si="34"/>
        <v>24.945265532009604</v>
      </c>
      <c r="M260" s="33">
        <f t="shared" ca="1" si="35"/>
        <v>21.999187914282761</v>
      </c>
      <c r="N260" s="33">
        <f ca="1">H260*external_curves!K190</f>
        <v>1.6520043398681858</v>
      </c>
      <c r="O260" s="33">
        <f ca="1">H260*external_curves!Q190</f>
        <v>20.957476191249249</v>
      </c>
      <c r="P260" s="33">
        <f ca="1">H260*external_curves!S190</f>
        <v>18.331602286767271</v>
      </c>
      <c r="Q260" s="14">
        <f ca="1">H260*external_curves!M190</f>
        <v>0.52551344511658094</v>
      </c>
    </row>
    <row r="261" spans="1:17" x14ac:dyDescent="0.2">
      <c r="A261" s="26">
        <v>41974</v>
      </c>
      <c r="B261" s="33">
        <f t="shared" si="36"/>
        <v>42.689018804975291</v>
      </c>
      <c r="C261" s="33">
        <f t="shared" si="36"/>
        <v>51.744265218151853</v>
      </c>
      <c r="D261" s="33"/>
      <c r="E261" s="33"/>
      <c r="F261" s="33">
        <f ca="1">$C$16*external_curves!K191</f>
        <v>63.100680893604775</v>
      </c>
      <c r="G261" s="33">
        <f ca="1">IF(swap_model!$B$37="Y",swap_model!B214,((F261*external_curves!AI191)+(Fwd_curves!B261*external_curves!AL191)+(Fwd_curves!C261*external_curves!AM191))/(external_curves!AH191))</f>
        <v>54.975091762560936</v>
      </c>
      <c r="H261" s="14">
        <f ca="1">external_curves!O191</f>
        <v>0.40235668484361981</v>
      </c>
      <c r="I261" s="15">
        <f t="shared" ca="1" si="29"/>
        <v>37.528890580925172</v>
      </c>
      <c r="J261" s="33">
        <f t="shared" ca="1" si="32"/>
        <v>17.176212085596802</v>
      </c>
      <c r="K261" s="33">
        <f t="shared" ca="1" si="33"/>
        <v>20.819651012844602</v>
      </c>
      <c r="L261" s="33">
        <f t="shared" ca="1" si="34"/>
        <v>25.388980775725958</v>
      </c>
      <c r="M261" s="33">
        <f t="shared" ca="1" si="35"/>
        <v>22.119595670557811</v>
      </c>
      <c r="N261" s="33">
        <f ca="1">H261*external_curves!K191</f>
        <v>1.68138945534609</v>
      </c>
      <c r="O261" s="33">
        <f ca="1">H261*external_curves!Q191</f>
        <v>20.962933113667177</v>
      </c>
      <c r="P261" s="33">
        <f ca="1">H261*external_curves!S191</f>
        <v>18.441600183308342</v>
      </c>
      <c r="Q261" s="14">
        <f ca="1">H261*external_curves!M191</f>
        <v>0.52237560711854414</v>
      </c>
    </row>
    <row r="262" spans="1:17" x14ac:dyDescent="0.2">
      <c r="F262" s="14"/>
    </row>
    <row r="263" spans="1:17" x14ac:dyDescent="0.2">
      <c r="A263" s="26"/>
      <c r="B263" s="33"/>
      <c r="C263" s="33"/>
      <c r="D263" s="33"/>
      <c r="E263" s="33"/>
      <c r="F263" s="14"/>
      <c r="G263" s="26"/>
      <c r="H263" s="33"/>
      <c r="I263" s="33"/>
      <c r="J263" s="33"/>
      <c r="K263" s="33"/>
      <c r="L263" s="33"/>
      <c r="M263" s="33"/>
      <c r="N263" s="33"/>
      <c r="O263" s="14"/>
    </row>
    <row r="264" spans="1:17" x14ac:dyDescent="0.2">
      <c r="A264" s="26"/>
      <c r="B264" s="33"/>
      <c r="C264" s="33"/>
      <c r="D264" s="33"/>
      <c r="E264" s="33"/>
      <c r="F264" s="14"/>
      <c r="G264" s="26"/>
      <c r="H264" s="33"/>
      <c r="I264" s="33"/>
      <c r="J264" s="33"/>
      <c r="K264" s="33"/>
      <c r="L264" s="33"/>
      <c r="M264" s="33"/>
      <c r="N264" s="33"/>
      <c r="O264" s="14"/>
    </row>
    <row r="265" spans="1:17" x14ac:dyDescent="0.2">
      <c r="A265" s="26"/>
      <c r="B265" s="33"/>
      <c r="C265" s="33"/>
      <c r="D265" s="33"/>
      <c r="E265" s="33"/>
      <c r="F265" s="14"/>
      <c r="G265" s="26"/>
      <c r="H265" s="33"/>
      <c r="I265" s="33"/>
      <c r="J265" s="33"/>
      <c r="K265" s="33"/>
      <c r="L265" s="33"/>
      <c r="M265" s="33"/>
      <c r="N265" s="33"/>
      <c r="O265" s="14"/>
    </row>
    <row r="266" spans="1:17" x14ac:dyDescent="0.2">
      <c r="A266" s="26"/>
      <c r="B266" s="33"/>
      <c r="C266" s="33"/>
      <c r="D266" s="33"/>
      <c r="E266" s="33"/>
      <c r="F266" s="14"/>
      <c r="G266" s="26"/>
      <c r="H266" s="33"/>
      <c r="I266" s="33"/>
      <c r="J266" s="33"/>
      <c r="K266" s="33"/>
      <c r="L266" s="33"/>
      <c r="M266" s="33"/>
      <c r="N266" s="33"/>
      <c r="O266" s="14"/>
    </row>
    <row r="267" spans="1:17" x14ac:dyDescent="0.2">
      <c r="A267" s="26"/>
      <c r="B267" s="33"/>
      <c r="C267" s="33"/>
      <c r="D267" s="33"/>
      <c r="E267" s="33"/>
      <c r="F267" s="14"/>
      <c r="G267" s="26"/>
      <c r="H267" s="33"/>
      <c r="I267" s="33"/>
      <c r="J267" s="33"/>
      <c r="K267" s="33"/>
      <c r="L267" s="33"/>
      <c r="M267" s="33"/>
      <c r="N267" s="33"/>
      <c r="O267" s="14"/>
    </row>
    <row r="268" spans="1:17" x14ac:dyDescent="0.2">
      <c r="A268" s="26"/>
      <c r="B268" s="33"/>
      <c r="C268" s="33"/>
      <c r="D268" s="33"/>
      <c r="E268" s="33"/>
      <c r="F268" s="14"/>
      <c r="G268" s="26"/>
      <c r="H268" s="33"/>
      <c r="I268" s="33"/>
      <c r="J268" s="33"/>
      <c r="K268" s="33"/>
      <c r="L268" s="33"/>
      <c r="M268" s="33"/>
      <c r="N268" s="33"/>
      <c r="O268" s="14"/>
    </row>
    <row r="269" spans="1:17" x14ac:dyDescent="0.2">
      <c r="A269" s="26"/>
      <c r="B269" s="33"/>
      <c r="C269" s="33"/>
      <c r="D269" s="33"/>
      <c r="E269" s="33"/>
      <c r="F269" s="14"/>
      <c r="G269" s="26"/>
      <c r="H269" s="33"/>
      <c r="I269" s="33"/>
      <c r="J269" s="33"/>
      <c r="K269" s="33"/>
      <c r="L269" s="33"/>
      <c r="M269" s="33"/>
      <c r="N269" s="33"/>
      <c r="O269" s="14"/>
    </row>
    <row r="270" spans="1:17" x14ac:dyDescent="0.2">
      <c r="A270" s="26"/>
      <c r="B270" s="33"/>
      <c r="C270" s="33"/>
      <c r="D270" s="33"/>
      <c r="E270" s="33"/>
      <c r="F270" s="14"/>
      <c r="G270" s="26"/>
      <c r="H270" s="33"/>
      <c r="I270" s="33"/>
      <c r="J270" s="33"/>
      <c r="K270" s="33"/>
      <c r="L270" s="33"/>
      <c r="M270" s="33"/>
      <c r="N270" s="33"/>
      <c r="O270" s="14"/>
    </row>
    <row r="271" spans="1:17" x14ac:dyDescent="0.2">
      <c r="A271" s="26"/>
      <c r="B271" s="33"/>
      <c r="C271" s="33"/>
      <c r="D271" s="33"/>
      <c r="E271" s="33"/>
      <c r="F271" s="14"/>
      <c r="G271" s="26"/>
      <c r="H271" s="33"/>
      <c r="I271" s="33"/>
      <c r="J271" s="33"/>
      <c r="K271" s="33"/>
      <c r="L271" s="33"/>
      <c r="M271" s="33"/>
      <c r="N271" s="33"/>
      <c r="O271" s="14"/>
    </row>
    <row r="272" spans="1:17" x14ac:dyDescent="0.2">
      <c r="A272" s="26"/>
      <c r="B272" s="33"/>
      <c r="C272" s="33"/>
      <c r="D272" s="33"/>
      <c r="E272" s="33"/>
      <c r="F272" s="14"/>
      <c r="G272" s="26"/>
      <c r="H272" s="33"/>
      <c r="I272" s="33"/>
      <c r="J272" s="33"/>
      <c r="K272" s="33"/>
      <c r="L272" s="33"/>
      <c r="M272" s="33"/>
      <c r="N272" s="33"/>
      <c r="O272" s="14"/>
    </row>
    <row r="273" spans="1:15" x14ac:dyDescent="0.2">
      <c r="A273" s="26"/>
      <c r="B273" s="33"/>
      <c r="C273" s="33"/>
      <c r="D273" s="33"/>
      <c r="E273" s="33"/>
      <c r="F273" s="14"/>
      <c r="G273" s="26"/>
      <c r="H273" s="33"/>
      <c r="I273" s="33"/>
      <c r="J273" s="33"/>
      <c r="K273" s="33"/>
      <c r="L273" s="33"/>
      <c r="M273" s="33"/>
      <c r="N273" s="33"/>
      <c r="O273" s="14"/>
    </row>
    <row r="274" spans="1:15" x14ac:dyDescent="0.2">
      <c r="A274" s="26"/>
      <c r="B274" s="33"/>
      <c r="C274" s="33"/>
      <c r="D274" s="33"/>
      <c r="E274" s="33"/>
      <c r="F274" s="14"/>
      <c r="G274" s="26"/>
      <c r="H274" s="33"/>
      <c r="I274" s="33"/>
      <c r="J274" s="33"/>
      <c r="K274" s="33"/>
      <c r="L274" s="33"/>
      <c r="M274" s="33"/>
      <c r="N274" s="33"/>
      <c r="O274" s="14"/>
    </row>
    <row r="275" spans="1:15" x14ac:dyDescent="0.2">
      <c r="A275" s="26"/>
      <c r="B275" s="33"/>
      <c r="C275" s="33"/>
      <c r="D275" s="33"/>
      <c r="E275" s="33"/>
      <c r="F275" s="14"/>
      <c r="G275" s="26"/>
      <c r="H275" s="33"/>
      <c r="I275" s="33"/>
      <c r="J275" s="33"/>
      <c r="K275" s="33"/>
      <c r="L275" s="33"/>
      <c r="M275" s="33"/>
      <c r="N275" s="33"/>
      <c r="O275" s="14"/>
    </row>
  </sheetData>
  <mergeCells count="5">
    <mergeCell ref="A16:B16"/>
    <mergeCell ref="A12:B12"/>
    <mergeCell ref="A13:B13"/>
    <mergeCell ref="A14:B14"/>
    <mergeCell ref="A15:B15"/>
  </mergeCells>
  <pageMargins left="0.75" right="0.75" top="1" bottom="1" header="0.5" footer="0.5"/>
  <pageSetup scale="44" orientation="landscape" horizontalDpi="1200" r:id="rId1"/>
  <headerFooter alignWithMargins="0">
    <oddFooter>&amp;L&amp;D&amp;   [Time]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X231"/>
  <sheetViews>
    <sheetView topLeftCell="A7" workbookViewId="0">
      <selection activeCell="A22" sqref="A22"/>
    </sheetView>
  </sheetViews>
  <sheetFormatPr defaultRowHeight="12.75" x14ac:dyDescent="0.2"/>
  <cols>
    <col min="1" max="1" width="21.42578125" customWidth="1"/>
    <col min="2" max="2" width="17.7109375" customWidth="1"/>
    <col min="3" max="3" width="17.28515625" customWidth="1"/>
    <col min="4" max="4" width="17.42578125" customWidth="1"/>
    <col min="5" max="5" width="15" customWidth="1"/>
    <col min="6" max="6" width="18.85546875" customWidth="1"/>
    <col min="7" max="7" width="19.42578125" customWidth="1"/>
    <col min="8" max="8" width="16.7109375" customWidth="1"/>
    <col min="9" max="9" width="16.5703125" customWidth="1"/>
    <col min="10" max="10" width="15.85546875" customWidth="1"/>
    <col min="11" max="11" width="14" customWidth="1"/>
    <col min="12" max="12" width="10.5703125" customWidth="1"/>
    <col min="13" max="13" width="11.42578125" customWidth="1"/>
    <col min="14" max="16" width="10.140625" style="71" bestFit="1" customWidth="1"/>
    <col min="17" max="17" width="9.28515625" style="71" bestFit="1" customWidth="1"/>
  </cols>
  <sheetData>
    <row r="3" spans="1:3" ht="15.75" x14ac:dyDescent="0.25">
      <c r="A3" s="29" t="s">
        <v>84</v>
      </c>
    </row>
    <row r="4" spans="1:3" ht="15.75" x14ac:dyDescent="0.25">
      <c r="A4" s="29"/>
    </row>
    <row r="5" spans="1:3" ht="15" x14ac:dyDescent="0.2">
      <c r="A5" s="47" t="s">
        <v>78</v>
      </c>
      <c r="B5" s="26">
        <v>36892</v>
      </c>
    </row>
    <row r="6" spans="1:3" ht="15" x14ac:dyDescent="0.2">
      <c r="A6" s="47" t="s">
        <v>79</v>
      </c>
      <c r="B6" s="26">
        <v>38687</v>
      </c>
    </row>
    <row r="7" spans="1:3" ht="15" x14ac:dyDescent="0.2">
      <c r="A7" s="47" t="s">
        <v>80</v>
      </c>
      <c r="B7" s="15">
        <f ca="1">COUNTIF(B52:B231,"&gt;0")</f>
        <v>60</v>
      </c>
    </row>
    <row r="8" spans="1:3" ht="15" x14ac:dyDescent="0.2">
      <c r="A8" s="47" t="s">
        <v>90</v>
      </c>
      <c r="B8" s="50">
        <v>5</v>
      </c>
    </row>
    <row r="9" spans="1:3" ht="15" x14ac:dyDescent="0.2">
      <c r="A9" s="47" t="s">
        <v>128</v>
      </c>
      <c r="B9" s="150">
        <v>25</v>
      </c>
    </row>
    <row r="10" spans="1:3" ht="15" x14ac:dyDescent="0.2">
      <c r="A10" s="47"/>
      <c r="B10" s="150"/>
    </row>
    <row r="11" spans="1:3" ht="15" x14ac:dyDescent="0.2">
      <c r="A11" s="47" t="s">
        <v>285</v>
      </c>
      <c r="B11" s="150"/>
    </row>
    <row r="12" spans="1:3" ht="15" x14ac:dyDescent="0.2">
      <c r="A12" s="47" t="s">
        <v>286</v>
      </c>
      <c r="B12" s="150" t="s">
        <v>287</v>
      </c>
      <c r="C12" t="s">
        <v>61</v>
      </c>
    </row>
    <row r="13" spans="1:3" ht="15" x14ac:dyDescent="0.2">
      <c r="A13" s="47" t="s">
        <v>19</v>
      </c>
      <c r="B13" s="150">
        <f ca="1">SUM(Q52:Q207)</f>
        <v>917131.74872761499</v>
      </c>
      <c r="C13" s="150">
        <f ca="1">SUM(W56:W207)</f>
        <v>1095600</v>
      </c>
    </row>
    <row r="14" spans="1:3" ht="15" x14ac:dyDescent="0.2">
      <c r="A14" s="47" t="s">
        <v>42</v>
      </c>
      <c r="B14" s="150">
        <f ca="1">SUM(N52:N506)</f>
        <v>437007.65060255496</v>
      </c>
      <c r="C14" s="150">
        <f ca="1">SUM(T56:T207)</f>
        <v>522000</v>
      </c>
    </row>
    <row r="15" spans="1:3" ht="15" x14ac:dyDescent="0.2">
      <c r="A15" s="47" t="s">
        <v>127</v>
      </c>
      <c r="B15" s="150">
        <f ca="1">SUM(O56:O207)</f>
        <v>355068.7161145758</v>
      </c>
      <c r="C15" s="150">
        <f ca="1">SUM(U56:U207)</f>
        <v>424125</v>
      </c>
    </row>
    <row r="16" spans="1:3" ht="15" x14ac:dyDescent="0.2">
      <c r="A16" s="47" t="s">
        <v>40</v>
      </c>
      <c r="B16" s="150">
        <f ca="1">SUM(P56:P207)</f>
        <v>261620.2728237824</v>
      </c>
      <c r="C16" s="150">
        <f ca="1">SUM(V56:V207)</f>
        <v>312600</v>
      </c>
    </row>
    <row r="17" spans="1:11" ht="15" x14ac:dyDescent="0.2">
      <c r="A17" s="47" t="s">
        <v>282</v>
      </c>
      <c r="B17" s="150">
        <f ca="1">SUM(R56:R207)</f>
        <v>218503.82530127748</v>
      </c>
      <c r="C17" s="150">
        <f ca="1">SUM(X56:X207)</f>
        <v>261000</v>
      </c>
    </row>
    <row r="18" spans="1:11" ht="15" x14ac:dyDescent="0.2">
      <c r="A18" s="47"/>
      <c r="B18" s="150"/>
      <c r="K18" s="33"/>
    </row>
    <row r="19" spans="1:11" ht="15.75" x14ac:dyDescent="0.25">
      <c r="A19" s="29"/>
    </row>
    <row r="20" spans="1:11" ht="15.75" x14ac:dyDescent="0.25">
      <c r="A20" s="29"/>
      <c r="B20" s="5" t="s">
        <v>39</v>
      </c>
      <c r="C20" s="5" t="s">
        <v>40</v>
      </c>
      <c r="D20" s="5" t="s">
        <v>42</v>
      </c>
      <c r="E20" s="5" t="s">
        <v>19</v>
      </c>
      <c r="F20" t="s">
        <v>77</v>
      </c>
      <c r="G20" t="s">
        <v>63</v>
      </c>
      <c r="H20" t="s">
        <v>64</v>
      </c>
      <c r="I20" t="s">
        <v>3</v>
      </c>
      <c r="J20" t="s">
        <v>236</v>
      </c>
      <c r="K20" t="s">
        <v>259</v>
      </c>
    </row>
    <row r="21" spans="1:11" ht="15.75" x14ac:dyDescent="0.25">
      <c r="A21" s="29"/>
      <c r="B21" s="5" t="s">
        <v>34</v>
      </c>
      <c r="C21" s="5" t="s">
        <v>41</v>
      </c>
      <c r="D21" s="5" t="s">
        <v>43</v>
      </c>
      <c r="G21" t="s">
        <v>85</v>
      </c>
    </row>
    <row r="22" spans="1:11" ht="15" x14ac:dyDescent="0.2">
      <c r="A22" s="47" t="s">
        <v>89</v>
      </c>
      <c r="B22" s="40">
        <f t="shared" ref="B22:I22" ca="1" si="0">SUM(C52:C231)/SUM($B$52:$B$231)</f>
        <v>32.313806565550273</v>
      </c>
      <c r="C22" s="40">
        <f t="shared" ca="1" si="0"/>
        <v>40.188786577704754</v>
      </c>
      <c r="D22" s="40">
        <f t="shared" ca="1" si="0"/>
        <v>60.664876985643907</v>
      </c>
      <c r="E22" s="40">
        <f t="shared" ca="1" si="0"/>
        <v>48.077638134802797</v>
      </c>
      <c r="F22" s="40">
        <f t="shared" ca="1" si="0"/>
        <v>3.8224878322362033</v>
      </c>
      <c r="G22" s="40">
        <f t="shared" ca="1" si="0"/>
        <v>60.085385019135607</v>
      </c>
      <c r="H22" s="40">
        <f t="shared" ca="1" si="0"/>
        <v>49.073548038477455</v>
      </c>
      <c r="I22" s="60">
        <f t="shared" ca="1" si="0"/>
        <v>1.437214577172887</v>
      </c>
      <c r="J22" s="33">
        <f ca="1">G22/I22</f>
        <v>41.806829664452913</v>
      </c>
      <c r="K22" s="33">
        <f ca="1">H22/I22</f>
        <v>34.144900015562705</v>
      </c>
    </row>
    <row r="23" spans="1:11" ht="15" x14ac:dyDescent="0.2">
      <c r="A23" s="47"/>
      <c r="B23" s="40"/>
      <c r="C23" s="40"/>
      <c r="D23" s="40"/>
      <c r="E23" s="40"/>
      <c r="F23" s="40"/>
      <c r="G23" s="40"/>
      <c r="H23" s="40"/>
    </row>
    <row r="24" spans="1:11" ht="15" x14ac:dyDescent="0.2">
      <c r="A24" s="47" t="s">
        <v>91</v>
      </c>
      <c r="B24" s="40">
        <f ca="1">B22-$B$8/2</f>
        <v>29.813806565550273</v>
      </c>
      <c r="C24" s="40">
        <f ca="1">C22-$B$8/2</f>
        <v>37.688786577704754</v>
      </c>
      <c r="D24" s="40">
        <f ca="1">D22-$B$8/2</f>
        <v>58.164876985643907</v>
      </c>
      <c r="E24" s="40">
        <f ca="1">E22-$B$8/2</f>
        <v>45.577638134802797</v>
      </c>
      <c r="F24" s="40">
        <f ca="1">F22</f>
        <v>3.8224878322362033</v>
      </c>
      <c r="G24" s="40"/>
      <c r="H24" s="40"/>
    </row>
    <row r="25" spans="1:11" ht="15" x14ac:dyDescent="0.2">
      <c r="A25" s="47" t="s">
        <v>92</v>
      </c>
      <c r="B25" s="40">
        <f ca="1">B22+$B$8/2</f>
        <v>34.813806565550273</v>
      </c>
      <c r="C25" s="40">
        <f ca="1">C22+$B$8/2</f>
        <v>42.688786577704754</v>
      </c>
      <c r="D25" s="40">
        <f ca="1">D22+$B$8/2</f>
        <v>63.164876985643907</v>
      </c>
      <c r="E25" s="40">
        <f ca="1">E22+$B$8/2</f>
        <v>50.577638134802797</v>
      </c>
      <c r="F25" s="40"/>
      <c r="G25" s="40"/>
      <c r="H25" s="40"/>
    </row>
    <row r="27" spans="1:11" x14ac:dyDescent="0.2">
      <c r="A27" t="s">
        <v>82</v>
      </c>
    </row>
    <row r="28" spans="1:11" x14ac:dyDescent="0.2">
      <c r="B28" s="5" t="s">
        <v>18</v>
      </c>
      <c r="C28" s="5" t="s">
        <v>93</v>
      </c>
      <c r="D28" s="5" t="s">
        <v>17</v>
      </c>
    </row>
    <row r="29" spans="1:11" x14ac:dyDescent="0.2">
      <c r="A29" t="s">
        <v>13</v>
      </c>
      <c r="B29" s="48">
        <f ca="1">D24/F22</f>
        <v>15.21649761579927</v>
      </c>
      <c r="C29" s="48">
        <f ca="1">D22/F22</f>
        <v>15.870521934442417</v>
      </c>
      <c r="D29" s="48">
        <f ca="1">D25/F22</f>
        <v>16.524546253085564</v>
      </c>
    </row>
    <row r="30" spans="1:11" x14ac:dyDescent="0.2">
      <c r="A30" t="s">
        <v>81</v>
      </c>
      <c r="B30" s="48">
        <f ca="1">E24/F22</f>
        <v>11.923553490591312</v>
      </c>
      <c r="C30" s="48">
        <f ca="1">E22/F22</f>
        <v>12.577577809234457</v>
      </c>
      <c r="D30" s="48">
        <f ca="1">E25/F22</f>
        <v>13.231602127877604</v>
      </c>
    </row>
    <row r="32" spans="1:11" x14ac:dyDescent="0.2">
      <c r="A32" t="s">
        <v>83</v>
      </c>
    </row>
    <row r="33" spans="1:4" x14ac:dyDescent="0.2">
      <c r="B33" s="5" t="s">
        <v>18</v>
      </c>
      <c r="C33" s="5" t="s">
        <v>93</v>
      </c>
      <c r="D33" s="5" t="s">
        <v>17</v>
      </c>
    </row>
    <row r="34" spans="1:4" x14ac:dyDescent="0.2">
      <c r="A34" t="s">
        <v>13</v>
      </c>
      <c r="B34" s="40">
        <f ca="1">D24-G22</f>
        <v>-1.9205080334917</v>
      </c>
      <c r="C34" s="40">
        <f ca="1">D22-G22</f>
        <v>0.57949196650830004</v>
      </c>
      <c r="D34" s="40">
        <f ca="1">D25-G22</f>
        <v>3.0794919665083</v>
      </c>
    </row>
    <row r="35" spans="1:4" x14ac:dyDescent="0.2">
      <c r="A35" t="s">
        <v>14</v>
      </c>
      <c r="B35" s="40">
        <f ca="1">E24-H22</f>
        <v>-3.4959099036746579</v>
      </c>
      <c r="C35" s="40">
        <f ca="1">E22-H22</f>
        <v>-0.99590990367465793</v>
      </c>
      <c r="D35" s="40">
        <f ca="1">E25-H22</f>
        <v>1.5040900963253421</v>
      </c>
    </row>
    <row r="37" spans="1:4" x14ac:dyDescent="0.2">
      <c r="A37" t="s">
        <v>249</v>
      </c>
      <c r="B37" t="s">
        <v>106</v>
      </c>
    </row>
    <row r="39" spans="1:4" x14ac:dyDescent="0.2">
      <c r="A39" t="s">
        <v>250</v>
      </c>
      <c r="B39">
        <v>46.5</v>
      </c>
    </row>
    <row r="40" spans="1:4" x14ac:dyDescent="0.2">
      <c r="A40" t="s">
        <v>251</v>
      </c>
      <c r="B40">
        <v>46.5</v>
      </c>
    </row>
    <row r="41" spans="1:4" x14ac:dyDescent="0.2">
      <c r="A41" t="s">
        <v>252</v>
      </c>
      <c r="B41">
        <v>45.25</v>
      </c>
    </row>
    <row r="42" spans="1:4" x14ac:dyDescent="0.2">
      <c r="A42" t="s">
        <v>253</v>
      </c>
      <c r="B42">
        <v>50</v>
      </c>
    </row>
    <row r="43" spans="1:4" x14ac:dyDescent="0.2">
      <c r="A43" t="s">
        <v>254</v>
      </c>
      <c r="B43">
        <v>49.75</v>
      </c>
    </row>
    <row r="44" spans="1:4" x14ac:dyDescent="0.2">
      <c r="A44" t="s">
        <v>255</v>
      </c>
      <c r="B44">
        <v>56.88</v>
      </c>
    </row>
    <row r="45" spans="1:4" x14ac:dyDescent="0.2">
      <c r="A45" t="s">
        <v>256</v>
      </c>
      <c r="B45">
        <v>52.52</v>
      </c>
    </row>
    <row r="46" spans="1:4" x14ac:dyDescent="0.2">
      <c r="A46" t="s">
        <v>257</v>
      </c>
      <c r="B46">
        <v>51.64</v>
      </c>
    </row>
    <row r="49" spans="1:24" x14ac:dyDescent="0.2">
      <c r="L49" t="s">
        <v>9</v>
      </c>
      <c r="N49" s="151" t="s">
        <v>281</v>
      </c>
      <c r="O49" s="151"/>
      <c r="P49" s="151"/>
      <c r="Q49" s="151"/>
      <c r="R49" s="6"/>
      <c r="T49" t="s">
        <v>288</v>
      </c>
    </row>
    <row r="50" spans="1:24" x14ac:dyDescent="0.2">
      <c r="A50" t="s">
        <v>16</v>
      </c>
      <c r="B50" t="s">
        <v>12</v>
      </c>
      <c r="C50" s="5" t="s">
        <v>39</v>
      </c>
      <c r="D50" s="5" t="s">
        <v>40</v>
      </c>
      <c r="E50" s="5" t="s">
        <v>42</v>
      </c>
      <c r="F50" s="5" t="s">
        <v>19</v>
      </c>
      <c r="G50" t="s">
        <v>77</v>
      </c>
      <c r="H50" t="s">
        <v>63</v>
      </c>
      <c r="I50" t="s">
        <v>64</v>
      </c>
      <c r="J50" t="s">
        <v>3</v>
      </c>
      <c r="K50" t="s">
        <v>128</v>
      </c>
      <c r="L50" t="s">
        <v>279</v>
      </c>
      <c r="M50" t="s">
        <v>280</v>
      </c>
      <c r="N50" s="71" t="s">
        <v>42</v>
      </c>
      <c r="O50" s="71" t="s">
        <v>127</v>
      </c>
      <c r="P50" s="71" t="s">
        <v>40</v>
      </c>
      <c r="Q50" s="71" t="s">
        <v>19</v>
      </c>
      <c r="R50" t="s">
        <v>39</v>
      </c>
      <c r="T50" s="71" t="s">
        <v>42</v>
      </c>
      <c r="U50" s="71" t="s">
        <v>127</v>
      </c>
      <c r="V50" s="71" t="s">
        <v>40</v>
      </c>
      <c r="W50" s="71" t="s">
        <v>19</v>
      </c>
      <c r="X50" t="s">
        <v>39</v>
      </c>
    </row>
    <row r="51" spans="1:24" x14ac:dyDescent="0.2">
      <c r="C51" s="5" t="s">
        <v>34</v>
      </c>
      <c r="D51" s="5" t="s">
        <v>41</v>
      </c>
      <c r="E51" s="5" t="s">
        <v>43</v>
      </c>
    </row>
    <row r="52" spans="1:24" x14ac:dyDescent="0.2">
      <c r="A52" s="26">
        <f ca="1">Fwd_curves!A82</f>
        <v>36526</v>
      </c>
      <c r="B52">
        <f ca="1">IF($A52&lt;$B$5,0,IF($A52&gt;$B$6,0,Fwd_curves!H82))</f>
        <v>0</v>
      </c>
      <c r="C52">
        <f ca="1">IF($A52&lt;$B$5,0,IF($A52&gt;$B$6,0,Fwd_curves!J82))</f>
        <v>0</v>
      </c>
      <c r="D52">
        <f ca="1">IF($A52&lt;$B$5,0,IF($A52&gt;$B$6,0,Fwd_curves!K82))</f>
        <v>0</v>
      </c>
      <c r="E52">
        <f ca="1">IF($A52&lt;$B$5,0,IF($A52&gt;$B$6,0,Fwd_curves!L82))</f>
        <v>0</v>
      </c>
      <c r="F52">
        <f ca="1">IF($A52&lt;$B$5,0,IF($A52&gt;$B$6,0,Fwd_curves!M82))</f>
        <v>0</v>
      </c>
      <c r="G52">
        <f ca="1">IF($A52&lt;$B$5,0,IF($A52&gt;$B$6,0,Fwd_curves!N82))</f>
        <v>0</v>
      </c>
      <c r="H52" s="12">
        <f ca="1">IF($A52&lt;$B$5,0,IF($A52&gt;$B$6,0,Fwd_curves!O82))</f>
        <v>0</v>
      </c>
      <c r="I52" s="12">
        <f ca="1">IF($A52&lt;$B$5,0,IF($A52&gt;$B$6,0,Fwd_curves!P82))</f>
        <v>0</v>
      </c>
      <c r="J52">
        <f ca="1">IF($A52&lt;$B$5,0,IF($A52&gt;$B$6,0,Fwd_curves!Q82))</f>
        <v>0</v>
      </c>
      <c r="K52">
        <f ca="1">IF(B52=0,0,$B$9*B52)</f>
        <v>0</v>
      </c>
      <c r="L52" s="15"/>
    </row>
    <row r="53" spans="1:24" x14ac:dyDescent="0.2">
      <c r="A53" s="26">
        <f ca="1">Fwd_curves!A83</f>
        <v>36557</v>
      </c>
      <c r="B53">
        <f ca="1">IF($A53&lt;$B$5,0,IF($A53&gt;$B$6,0,Fwd_curves!H83))</f>
        <v>0</v>
      </c>
      <c r="C53">
        <f ca="1">IF($A53&lt;$B$5,0,IF($A53&gt;$B$6,0,Fwd_curves!J83))</f>
        <v>0</v>
      </c>
      <c r="D53">
        <f ca="1">IF($A53&lt;$B$5,0,IF($A53&gt;$B$6,0,Fwd_curves!K83))</f>
        <v>0</v>
      </c>
      <c r="E53">
        <f ca="1">IF($A53&lt;$B$5,0,IF($A53&gt;$B$6,0,Fwd_curves!L83))</f>
        <v>0</v>
      </c>
      <c r="F53">
        <f ca="1">IF($A53&lt;$B$5,0,IF($A53&gt;$B$6,0,Fwd_curves!M83))</f>
        <v>0</v>
      </c>
      <c r="G53">
        <f ca="1">IF($A53&lt;$B$5,0,IF($A53&gt;$B$6,0,Fwd_curves!N83))</f>
        <v>0</v>
      </c>
      <c r="H53" s="12">
        <f ca="1">IF($A53&lt;$B$5,0,IF($A53&gt;$B$6,0,Fwd_curves!O83))</f>
        <v>0</v>
      </c>
      <c r="I53" s="12">
        <f ca="1">IF($A53&lt;$B$5,0,IF($A53&gt;$B$6,0,Fwd_curves!P83))</f>
        <v>0</v>
      </c>
      <c r="J53">
        <f ca="1">IF($A53&lt;$B$5,0,IF($A53&gt;$B$6,0,Fwd_curves!Q83))</f>
        <v>0</v>
      </c>
      <c r="K53">
        <f t="shared" ref="K53:K116" ca="1" si="1">IF(B53=0,0,$B$9*B53)</f>
        <v>0</v>
      </c>
    </row>
    <row r="54" spans="1:24" x14ac:dyDescent="0.2">
      <c r="A54" s="26">
        <f ca="1">Fwd_curves!A84</f>
        <v>36586</v>
      </c>
      <c r="B54">
        <f ca="1">IF($A54&lt;$B$5,0,IF($A54&gt;$B$6,0,Fwd_curves!H84))</f>
        <v>0</v>
      </c>
      <c r="C54">
        <f ca="1">IF($A54&lt;$B$5,0,IF($A54&gt;$B$6,0,Fwd_curves!J84))</f>
        <v>0</v>
      </c>
      <c r="D54">
        <f ca="1">IF($A54&lt;$B$5,0,IF($A54&gt;$B$6,0,Fwd_curves!K84))</f>
        <v>0</v>
      </c>
      <c r="E54">
        <f ca="1">IF($A54&lt;$B$5,0,IF($A54&gt;$B$6,0,Fwd_curves!L84))</f>
        <v>0</v>
      </c>
      <c r="F54">
        <f ca="1">IF($A54&lt;$B$5,0,IF($A54&gt;$B$6,0,Fwd_curves!M84))</f>
        <v>0</v>
      </c>
      <c r="G54">
        <f ca="1">IF($A54&lt;$B$5,0,IF($A54&gt;$B$6,0,Fwd_curves!N84))</f>
        <v>0</v>
      </c>
      <c r="H54" s="12">
        <f ca="1">IF($A54&lt;$B$5,0,IF($A54&gt;$B$6,0,Fwd_curves!O84))</f>
        <v>0</v>
      </c>
      <c r="I54" s="12">
        <f ca="1">IF($A54&lt;$B$5,0,IF($A54&gt;$B$6,0,Fwd_curves!P84))</f>
        <v>0</v>
      </c>
      <c r="J54">
        <f ca="1">IF($A54&lt;$B$5,0,IF($A54&gt;$B$6,0,Fwd_curves!Q84))</f>
        <v>0</v>
      </c>
      <c r="K54">
        <f t="shared" ca="1" si="1"/>
        <v>0</v>
      </c>
    </row>
    <row r="55" spans="1:24" x14ac:dyDescent="0.2">
      <c r="A55" s="26">
        <f ca="1">Fwd_curves!A85</f>
        <v>36617</v>
      </c>
      <c r="B55">
        <f ca="1">IF($A55&lt;$B$5,0,IF($A55&gt;$B$6,0,Fwd_curves!H85))</f>
        <v>0</v>
      </c>
      <c r="C55">
        <f ca="1">IF($A55&lt;$B$5,0,IF($A55&gt;$B$6,0,Fwd_curves!J85))</f>
        <v>0</v>
      </c>
      <c r="D55">
        <f ca="1">IF($A55&lt;$B$5,0,IF($A55&gt;$B$6,0,Fwd_curves!K85))</f>
        <v>0</v>
      </c>
      <c r="E55">
        <f ca="1">IF($A55&lt;$B$5,0,IF($A55&gt;$B$6,0,Fwd_curves!L85))</f>
        <v>0</v>
      </c>
      <c r="F55">
        <f ca="1">IF($A55&lt;$B$5,0,IF($A55&gt;$B$6,0,Fwd_curves!M85))</f>
        <v>0</v>
      </c>
      <c r="G55">
        <f ca="1">IF($A55&lt;$B$5,0,IF($A55&gt;$B$6,0,Fwd_curves!N85))</f>
        <v>0</v>
      </c>
      <c r="H55" s="12">
        <f ca="1">IF($A55&lt;$B$5,0,IF($A55&gt;$B$6,0,Fwd_curves!O85))</f>
        <v>0</v>
      </c>
      <c r="I55" s="12">
        <f ca="1">IF($A55&lt;$B$5,0,IF($A55&gt;$B$6,0,Fwd_curves!P85))</f>
        <v>0</v>
      </c>
      <c r="J55">
        <f ca="1">IF($A55&lt;$B$5,0,IF($A55&gt;$B$6,0,Fwd_curves!Q85))</f>
        <v>0</v>
      </c>
      <c r="K55">
        <f t="shared" ca="1" si="1"/>
        <v>0</v>
      </c>
    </row>
    <row r="56" spans="1:24" x14ac:dyDescent="0.2">
      <c r="A56" s="26">
        <f ca="1">Fwd_curves!A86</f>
        <v>36647</v>
      </c>
      <c r="B56">
        <f ca="1">IF($A56&lt;$B$5,0,IF($A56&gt;$B$6,0,Fwd_curves!H86))</f>
        <v>0</v>
      </c>
      <c r="C56">
        <f ca="1">IF($A56&lt;$B$5,0,IF($A56&gt;$B$6,0,Fwd_curves!J86))</f>
        <v>0</v>
      </c>
      <c r="D56">
        <f ca="1">IF($A56&lt;$B$5,0,IF($A56&gt;$B$6,0,Fwd_curves!K86))</f>
        <v>0</v>
      </c>
      <c r="E56">
        <f ca="1">IF($A56&lt;$B$5,0,IF($A56&gt;$B$6,0,Fwd_curves!L86))</f>
        <v>0</v>
      </c>
      <c r="F56">
        <f ca="1">IF($A56&lt;$B$5,0,IF($A56&gt;$B$6,0,Fwd_curves!M86))</f>
        <v>0</v>
      </c>
      <c r="G56">
        <f ca="1">IF($A56&lt;$B$5,0,IF($A56&gt;$B$6,0,Fwd_curves!N86))</f>
        <v>0</v>
      </c>
      <c r="H56" s="12">
        <f ca="1">IF($A56&lt;$B$5,0,IF($A56&gt;$B$6,0,Fwd_curves!O86))</f>
        <v>0</v>
      </c>
      <c r="I56" s="12">
        <f ca="1">IF($A56&lt;$B$5,0,IF($A56&gt;$B$6,0,Fwd_curves!P86))</f>
        <v>0</v>
      </c>
      <c r="J56">
        <f ca="1">IF($A56&lt;$B$5,0,IF($A56&gt;$B$6,0,Fwd_curves!Q86))</f>
        <v>0</v>
      </c>
      <c r="K56">
        <f t="shared" ca="1" si="1"/>
        <v>0</v>
      </c>
      <c r="L56" s="15">
        <f ca="1">external_curves!AB16</f>
        <v>-26</v>
      </c>
      <c r="M56" s="15">
        <f ca="1">external_curves!AA16</f>
        <v>8</v>
      </c>
      <c r="N56" s="71">
        <f ca="1">(L56*16*$K56)</f>
        <v>0</v>
      </c>
      <c r="O56" s="71">
        <f ca="1">(L56*13*$K56)</f>
        <v>0</v>
      </c>
      <c r="P56" s="71">
        <f ca="1">(M56*24*$K56)</f>
        <v>0</v>
      </c>
      <c r="Q56" s="71">
        <f ca="1">((L56+M56)*K56)*24</f>
        <v>0</v>
      </c>
      <c r="R56">
        <f ca="1">L56*8*K56</f>
        <v>0</v>
      </c>
      <c r="T56">
        <f ca="1">IF(N56=0,0,$L56*16)*$B$9</f>
        <v>0</v>
      </c>
      <c r="U56">
        <f ca="1">IF(O56=0,0,$L56*13)*$B$9</f>
        <v>0</v>
      </c>
      <c r="V56">
        <f ca="1">IF(P56=0,0,$M56*24)*$B$9</f>
        <v>0</v>
      </c>
      <c r="W56">
        <f ca="1">IF(Q56=0,0,($L56+$M56)*24)*$B$9</f>
        <v>0</v>
      </c>
      <c r="X56">
        <f ca="1">IF(R56=0,0,$L56*8)*$B$9</f>
        <v>0</v>
      </c>
    </row>
    <row r="57" spans="1:24" x14ac:dyDescent="0.2">
      <c r="A57" s="26">
        <f ca="1">Fwd_curves!A87</f>
        <v>36678</v>
      </c>
      <c r="B57">
        <f ca="1">IF($A57&lt;$B$5,0,IF($A57&gt;$B$6,0,Fwd_curves!H87))</f>
        <v>0</v>
      </c>
      <c r="C57">
        <f ca="1">IF($A57&lt;$B$5,0,IF($A57&gt;$B$6,0,Fwd_curves!J87))</f>
        <v>0</v>
      </c>
      <c r="D57">
        <f ca="1">IF($A57&lt;$B$5,0,IF($A57&gt;$B$6,0,Fwd_curves!K87))</f>
        <v>0</v>
      </c>
      <c r="E57">
        <f ca="1">IF($A57&lt;$B$5,0,IF($A57&gt;$B$6,0,Fwd_curves!L87))</f>
        <v>0</v>
      </c>
      <c r="F57">
        <f ca="1">IF($A57&lt;$B$5,0,IF($A57&gt;$B$6,0,Fwd_curves!M87))</f>
        <v>0</v>
      </c>
      <c r="G57">
        <f ca="1">IF($A57&lt;$B$5,0,IF($A57&gt;$B$6,0,Fwd_curves!N87))</f>
        <v>0</v>
      </c>
      <c r="H57" s="12">
        <f ca="1">IF($A57&lt;$B$5,0,IF($A57&gt;$B$6,0,Fwd_curves!O87))</f>
        <v>0</v>
      </c>
      <c r="I57" s="12">
        <f ca="1">IF($A57&lt;$B$5,0,IF($A57&gt;$B$6,0,Fwd_curves!P87))</f>
        <v>0</v>
      </c>
      <c r="J57">
        <f ca="1">IF($A57&lt;$B$5,0,IF($A57&gt;$B$6,0,Fwd_curves!Q87))</f>
        <v>0</v>
      </c>
      <c r="K57">
        <f t="shared" ca="1" si="1"/>
        <v>0</v>
      </c>
      <c r="L57" s="15">
        <f ca="1">external_curves!AB17</f>
        <v>22</v>
      </c>
      <c r="M57" s="15">
        <f ca="1">external_curves!AA17</f>
        <v>8</v>
      </c>
      <c r="N57" s="71">
        <f t="shared" ref="N57:N120" ca="1" si="2">(L57*16*$K57)</f>
        <v>0</v>
      </c>
      <c r="O57" s="71">
        <f t="shared" ref="O57:O120" ca="1" si="3">(L57*13*$K57)</f>
        <v>0</v>
      </c>
      <c r="P57" s="71">
        <f t="shared" ref="P57:P120" ca="1" si="4">(M57*24*$K57)</f>
        <v>0</v>
      </c>
      <c r="Q57" s="71">
        <f t="shared" ref="Q57:Q120" ca="1" si="5">((L57+M57)*K57)*24</f>
        <v>0</v>
      </c>
      <c r="R57">
        <f t="shared" ref="R57:R120" ca="1" si="6">L57*8*K57</f>
        <v>0</v>
      </c>
      <c r="T57">
        <f t="shared" ref="T57:T120" ca="1" si="7">IF(N57=0,0,$L57*16)*$B$9</f>
        <v>0</v>
      </c>
      <c r="U57">
        <f t="shared" ref="U57:U120" ca="1" si="8">IF(O57=0,0,$L57*13)*$B$9</f>
        <v>0</v>
      </c>
      <c r="V57">
        <f t="shared" ref="V57:V120" ca="1" si="9">IF(P57=0,0,$M57*24)*$B$9</f>
        <v>0</v>
      </c>
      <c r="W57">
        <f t="shared" ref="W57:W120" ca="1" si="10">IF(Q57=0,0,($L57+$M57)*24)*$B$9</f>
        <v>0</v>
      </c>
      <c r="X57">
        <f t="shared" ref="X57:X120" ca="1" si="11">IF(R57=0,0,$L57*8)*$B$9</f>
        <v>0</v>
      </c>
    </row>
    <row r="58" spans="1:24" x14ac:dyDescent="0.2">
      <c r="A58" s="26">
        <f ca="1">Fwd_curves!A88</f>
        <v>36708</v>
      </c>
      <c r="B58">
        <f ca="1">IF($A58&lt;$B$5,0,IF($A58&gt;$B$6,0,Fwd_curves!H88))</f>
        <v>0</v>
      </c>
      <c r="C58">
        <f ca="1">IF($A58&lt;$B$5,0,IF($A58&gt;$B$6,0,Fwd_curves!J88))</f>
        <v>0</v>
      </c>
      <c r="D58">
        <f ca="1">IF($A58&lt;$B$5,0,IF($A58&gt;$B$6,0,Fwd_curves!K88))</f>
        <v>0</v>
      </c>
      <c r="E58">
        <f ca="1">IF($A58&lt;$B$5,0,IF($A58&gt;$B$6,0,Fwd_curves!L88))</f>
        <v>0</v>
      </c>
      <c r="F58">
        <f ca="1">IF($A58&lt;$B$5,0,IF($A58&gt;$B$6,0,Fwd_curves!M88))</f>
        <v>0</v>
      </c>
      <c r="G58">
        <f ca="1">IF($A58&lt;$B$5,0,IF($A58&gt;$B$6,0,Fwd_curves!N88))</f>
        <v>0</v>
      </c>
      <c r="H58" s="12">
        <f ca="1">IF($A58&lt;$B$5,0,IF($A58&gt;$B$6,0,Fwd_curves!O88))</f>
        <v>0</v>
      </c>
      <c r="I58" s="12">
        <f ca="1">IF($A58&lt;$B$5,0,IF($A58&gt;$B$6,0,Fwd_curves!P88))</f>
        <v>0</v>
      </c>
      <c r="J58">
        <f ca="1">IF($A58&lt;$B$5,0,IF($A58&gt;$B$6,0,Fwd_curves!Q88))</f>
        <v>0</v>
      </c>
      <c r="K58">
        <f t="shared" ca="1" si="1"/>
        <v>0</v>
      </c>
      <c r="L58" s="15">
        <f ca="1">external_curves!AB18</f>
        <v>21</v>
      </c>
      <c r="M58" s="15">
        <f ca="1">external_curves!AA18</f>
        <v>10</v>
      </c>
      <c r="N58" s="71">
        <f t="shared" ca="1" si="2"/>
        <v>0</v>
      </c>
      <c r="O58" s="71">
        <f t="shared" ca="1" si="3"/>
        <v>0</v>
      </c>
      <c r="P58" s="71">
        <f t="shared" ca="1" si="4"/>
        <v>0</v>
      </c>
      <c r="Q58" s="71">
        <f t="shared" ca="1" si="5"/>
        <v>0</v>
      </c>
      <c r="R58">
        <f t="shared" ca="1" si="6"/>
        <v>0</v>
      </c>
      <c r="T58">
        <f t="shared" ca="1" si="7"/>
        <v>0</v>
      </c>
      <c r="U58">
        <f t="shared" ca="1" si="8"/>
        <v>0</v>
      </c>
      <c r="V58">
        <f t="shared" ca="1" si="9"/>
        <v>0</v>
      </c>
      <c r="W58">
        <f t="shared" ca="1" si="10"/>
        <v>0</v>
      </c>
      <c r="X58">
        <f t="shared" ca="1" si="11"/>
        <v>0</v>
      </c>
    </row>
    <row r="59" spans="1:24" x14ac:dyDescent="0.2">
      <c r="A59" s="26">
        <f ca="1">Fwd_curves!A89</f>
        <v>36739</v>
      </c>
      <c r="B59">
        <f ca="1">IF($A59&lt;$B$5,0,IF($A59&gt;$B$6,0,Fwd_curves!H89))</f>
        <v>0</v>
      </c>
      <c r="C59">
        <f ca="1">IF($A59&lt;$B$5,0,IF($A59&gt;$B$6,0,Fwd_curves!J89))</f>
        <v>0</v>
      </c>
      <c r="D59">
        <f ca="1">IF($A59&lt;$B$5,0,IF($A59&gt;$B$6,0,Fwd_curves!K89))</f>
        <v>0</v>
      </c>
      <c r="E59">
        <f ca="1">IF($A59&lt;$B$5,0,IF($A59&gt;$B$6,0,Fwd_curves!L89))</f>
        <v>0</v>
      </c>
      <c r="F59">
        <f ca="1">IF($A59&lt;$B$5,0,IF($A59&gt;$B$6,0,Fwd_curves!M89))</f>
        <v>0</v>
      </c>
      <c r="G59">
        <f ca="1">IF($A59&lt;$B$5,0,IF($A59&gt;$B$6,0,Fwd_curves!N89))</f>
        <v>0</v>
      </c>
      <c r="H59" s="12">
        <f ca="1">IF($A59&lt;$B$5,0,IF($A59&gt;$B$6,0,Fwd_curves!O89))</f>
        <v>0</v>
      </c>
      <c r="I59" s="12">
        <f ca="1">IF($A59&lt;$B$5,0,IF($A59&gt;$B$6,0,Fwd_curves!P89))</f>
        <v>0</v>
      </c>
      <c r="J59">
        <f ca="1">IF($A59&lt;$B$5,0,IF($A59&gt;$B$6,0,Fwd_curves!Q89))</f>
        <v>0</v>
      </c>
      <c r="K59">
        <f t="shared" ca="1" si="1"/>
        <v>0</v>
      </c>
      <c r="L59" s="15">
        <f ca="1">external_curves!AB19</f>
        <v>23</v>
      </c>
      <c r="M59" s="15">
        <f ca="1">external_curves!AA19</f>
        <v>8</v>
      </c>
      <c r="N59" s="71">
        <f t="shared" ca="1" si="2"/>
        <v>0</v>
      </c>
      <c r="O59" s="71">
        <f t="shared" ca="1" si="3"/>
        <v>0</v>
      </c>
      <c r="P59" s="71">
        <f t="shared" ca="1" si="4"/>
        <v>0</v>
      </c>
      <c r="Q59" s="71">
        <f t="shared" ca="1" si="5"/>
        <v>0</v>
      </c>
      <c r="R59">
        <f t="shared" ca="1" si="6"/>
        <v>0</v>
      </c>
      <c r="T59">
        <f t="shared" ca="1" si="7"/>
        <v>0</v>
      </c>
      <c r="U59">
        <f t="shared" ca="1" si="8"/>
        <v>0</v>
      </c>
      <c r="V59">
        <f t="shared" ca="1" si="9"/>
        <v>0</v>
      </c>
      <c r="W59">
        <f t="shared" ca="1" si="10"/>
        <v>0</v>
      </c>
      <c r="X59">
        <f t="shared" ca="1" si="11"/>
        <v>0</v>
      </c>
    </row>
    <row r="60" spans="1:24" x14ac:dyDescent="0.2">
      <c r="A60" s="26">
        <f ca="1">Fwd_curves!A90</f>
        <v>36770</v>
      </c>
      <c r="B60">
        <f ca="1">IF($A60&lt;$B$5,0,IF($A60&gt;$B$6,0,Fwd_curves!H90))</f>
        <v>0</v>
      </c>
      <c r="C60">
        <f ca="1">IF($A60&lt;$B$5,0,IF($A60&gt;$B$6,0,Fwd_curves!J90))</f>
        <v>0</v>
      </c>
      <c r="D60">
        <f ca="1">IF($A60&lt;$B$5,0,IF($A60&gt;$B$6,0,Fwd_curves!K90))</f>
        <v>0</v>
      </c>
      <c r="E60">
        <f ca="1">IF($A60&lt;$B$5,0,IF($A60&gt;$B$6,0,Fwd_curves!L90))</f>
        <v>0</v>
      </c>
      <c r="F60">
        <f ca="1">IF($A60&lt;$B$5,0,IF($A60&gt;$B$6,0,Fwd_curves!M90))</f>
        <v>0</v>
      </c>
      <c r="G60">
        <f ca="1">IF($A60&lt;$B$5,0,IF($A60&gt;$B$6,0,Fwd_curves!N90))</f>
        <v>0</v>
      </c>
      <c r="H60" s="12">
        <f ca="1">IF($A60&lt;$B$5,0,IF($A60&gt;$B$6,0,Fwd_curves!O90))</f>
        <v>0</v>
      </c>
      <c r="I60" s="12">
        <f ca="1">IF($A60&lt;$B$5,0,IF($A60&gt;$B$6,0,Fwd_curves!P90))</f>
        <v>0</v>
      </c>
      <c r="J60">
        <f ca="1">IF($A60&lt;$B$5,0,IF($A60&gt;$B$6,0,Fwd_curves!Q90))</f>
        <v>0</v>
      </c>
      <c r="K60">
        <f t="shared" ca="1" si="1"/>
        <v>0</v>
      </c>
      <c r="L60" s="15">
        <f ca="1">external_curves!AB20</f>
        <v>21</v>
      </c>
      <c r="M60" s="15">
        <f ca="1">external_curves!AA20</f>
        <v>9</v>
      </c>
      <c r="N60" s="71">
        <f t="shared" ca="1" si="2"/>
        <v>0</v>
      </c>
      <c r="O60" s="71">
        <f t="shared" ca="1" si="3"/>
        <v>0</v>
      </c>
      <c r="P60" s="71">
        <f t="shared" ca="1" si="4"/>
        <v>0</v>
      </c>
      <c r="Q60" s="71">
        <f t="shared" ca="1" si="5"/>
        <v>0</v>
      </c>
      <c r="R60">
        <f t="shared" ca="1" si="6"/>
        <v>0</v>
      </c>
      <c r="T60">
        <f t="shared" ca="1" si="7"/>
        <v>0</v>
      </c>
      <c r="U60">
        <f t="shared" ca="1" si="8"/>
        <v>0</v>
      </c>
      <c r="V60">
        <f t="shared" ca="1" si="9"/>
        <v>0</v>
      </c>
      <c r="W60">
        <f t="shared" ca="1" si="10"/>
        <v>0</v>
      </c>
      <c r="X60">
        <f t="shared" ca="1" si="11"/>
        <v>0</v>
      </c>
    </row>
    <row r="61" spans="1:24" x14ac:dyDescent="0.2">
      <c r="A61" s="26">
        <f ca="1">Fwd_curves!A91</f>
        <v>36800</v>
      </c>
      <c r="B61">
        <f ca="1">IF($A61&lt;$B$5,0,IF($A61&gt;$B$6,0,Fwd_curves!H91))</f>
        <v>0</v>
      </c>
      <c r="C61">
        <f ca="1">IF($A61&lt;$B$5,0,IF($A61&gt;$B$6,0,Fwd_curves!J91))</f>
        <v>0</v>
      </c>
      <c r="D61">
        <f ca="1">IF($A61&lt;$B$5,0,IF($A61&gt;$B$6,0,Fwd_curves!K91))</f>
        <v>0</v>
      </c>
      <c r="E61">
        <f ca="1">IF($A61&lt;$B$5,0,IF($A61&gt;$B$6,0,Fwd_curves!L91))</f>
        <v>0</v>
      </c>
      <c r="F61">
        <f ca="1">IF($A61&lt;$B$5,0,IF($A61&gt;$B$6,0,Fwd_curves!M91))</f>
        <v>0</v>
      </c>
      <c r="G61">
        <f ca="1">IF($A61&lt;$B$5,0,IF($A61&gt;$B$6,0,Fwd_curves!N91))</f>
        <v>0</v>
      </c>
      <c r="H61" s="12">
        <f ca="1">IF($A61&lt;$B$5,0,IF($A61&gt;$B$6,0,Fwd_curves!O91))</f>
        <v>0</v>
      </c>
      <c r="I61" s="12">
        <f ca="1">IF($A61&lt;$B$5,0,IF($A61&gt;$B$6,0,Fwd_curves!P91))</f>
        <v>0</v>
      </c>
      <c r="J61">
        <f ca="1">IF($A61&lt;$B$5,0,IF($A61&gt;$B$6,0,Fwd_curves!Q91))</f>
        <v>0</v>
      </c>
      <c r="K61">
        <f t="shared" ca="1" si="1"/>
        <v>0</v>
      </c>
      <c r="L61" s="15">
        <f ca="1">external_curves!AB21</f>
        <v>22</v>
      </c>
      <c r="M61" s="15">
        <f ca="1">external_curves!AA21</f>
        <v>9</v>
      </c>
      <c r="N61" s="71">
        <f t="shared" ca="1" si="2"/>
        <v>0</v>
      </c>
      <c r="O61" s="71">
        <f t="shared" ca="1" si="3"/>
        <v>0</v>
      </c>
      <c r="P61" s="71">
        <f t="shared" ca="1" si="4"/>
        <v>0</v>
      </c>
      <c r="Q61" s="71">
        <f t="shared" ca="1" si="5"/>
        <v>0</v>
      </c>
      <c r="R61">
        <f t="shared" ca="1" si="6"/>
        <v>0</v>
      </c>
      <c r="T61">
        <f t="shared" ca="1" si="7"/>
        <v>0</v>
      </c>
      <c r="U61">
        <f t="shared" ca="1" si="8"/>
        <v>0</v>
      </c>
      <c r="V61">
        <f t="shared" ca="1" si="9"/>
        <v>0</v>
      </c>
      <c r="W61">
        <f t="shared" ca="1" si="10"/>
        <v>0</v>
      </c>
      <c r="X61">
        <f t="shared" ca="1" si="11"/>
        <v>0</v>
      </c>
    </row>
    <row r="62" spans="1:24" x14ac:dyDescent="0.2">
      <c r="A62" s="26">
        <f ca="1">Fwd_curves!A92</f>
        <v>36831</v>
      </c>
      <c r="B62">
        <f ca="1">IF($A62&lt;$B$5,0,IF($A62&gt;$B$6,0,Fwd_curves!H92))</f>
        <v>0</v>
      </c>
      <c r="C62">
        <f ca="1">IF($A62&lt;$B$5,0,IF($A62&gt;$B$6,0,Fwd_curves!J92))</f>
        <v>0</v>
      </c>
      <c r="D62">
        <f ca="1">IF($A62&lt;$B$5,0,IF($A62&gt;$B$6,0,Fwd_curves!K92))</f>
        <v>0</v>
      </c>
      <c r="E62">
        <f ca="1">IF($A62&lt;$B$5,0,IF($A62&gt;$B$6,0,Fwd_curves!L92))</f>
        <v>0</v>
      </c>
      <c r="F62">
        <f ca="1">IF($A62&lt;$B$5,0,IF($A62&gt;$B$6,0,Fwd_curves!M92))</f>
        <v>0</v>
      </c>
      <c r="G62">
        <f ca="1">IF($A62&lt;$B$5,0,IF($A62&gt;$B$6,0,Fwd_curves!N92))</f>
        <v>0</v>
      </c>
      <c r="H62" s="12">
        <f ca="1">IF($A62&lt;$B$5,0,IF($A62&gt;$B$6,0,Fwd_curves!O92))</f>
        <v>0</v>
      </c>
      <c r="I62" s="12">
        <f ca="1">IF($A62&lt;$B$5,0,IF($A62&gt;$B$6,0,Fwd_curves!P92))</f>
        <v>0</v>
      </c>
      <c r="J62">
        <f ca="1">IF($A62&lt;$B$5,0,IF($A62&gt;$B$6,0,Fwd_curves!Q92))</f>
        <v>0</v>
      </c>
      <c r="K62">
        <f t="shared" ca="1" si="1"/>
        <v>0</v>
      </c>
      <c r="L62" s="15">
        <f ca="1">external_curves!AB22</f>
        <v>22</v>
      </c>
      <c r="M62" s="15">
        <f ca="1">external_curves!AA22</f>
        <v>8</v>
      </c>
      <c r="N62" s="71">
        <f t="shared" ca="1" si="2"/>
        <v>0</v>
      </c>
      <c r="O62" s="71">
        <f t="shared" ca="1" si="3"/>
        <v>0</v>
      </c>
      <c r="P62" s="71">
        <f t="shared" ca="1" si="4"/>
        <v>0</v>
      </c>
      <c r="Q62" s="71">
        <f t="shared" ca="1" si="5"/>
        <v>0</v>
      </c>
      <c r="R62">
        <f t="shared" ca="1" si="6"/>
        <v>0</v>
      </c>
      <c r="T62">
        <f t="shared" ca="1" si="7"/>
        <v>0</v>
      </c>
      <c r="U62">
        <f t="shared" ca="1" si="8"/>
        <v>0</v>
      </c>
      <c r="V62">
        <f t="shared" ca="1" si="9"/>
        <v>0</v>
      </c>
      <c r="W62">
        <f t="shared" ca="1" si="10"/>
        <v>0</v>
      </c>
      <c r="X62">
        <f t="shared" ca="1" si="11"/>
        <v>0</v>
      </c>
    </row>
    <row r="63" spans="1:24" x14ac:dyDescent="0.2">
      <c r="A63" s="26">
        <f ca="1">Fwd_curves!A93</f>
        <v>36861</v>
      </c>
      <c r="B63">
        <f ca="1">IF($A63&lt;$B$5,0,IF($A63&gt;$B$6,0,Fwd_curves!H93))</f>
        <v>0</v>
      </c>
      <c r="C63">
        <f ca="1">IF($A63&lt;$B$5,0,IF($A63&gt;$B$6,0,Fwd_curves!J93))</f>
        <v>0</v>
      </c>
      <c r="D63">
        <f ca="1">IF($A63&lt;$B$5,0,IF($A63&gt;$B$6,0,Fwd_curves!K93))</f>
        <v>0</v>
      </c>
      <c r="E63">
        <f ca="1">IF($A63&lt;$B$5,0,IF($A63&gt;$B$6,0,Fwd_curves!L93))</f>
        <v>0</v>
      </c>
      <c r="F63">
        <f ca="1">IF($A63&lt;$B$5,0,IF($A63&gt;$B$6,0,Fwd_curves!M93))</f>
        <v>0</v>
      </c>
      <c r="G63">
        <f ca="1">IF($A63&lt;$B$5,0,IF($A63&gt;$B$6,0,Fwd_curves!N93))</f>
        <v>0</v>
      </c>
      <c r="H63" s="12">
        <f ca="1">IF($A63&lt;$B$5,0,IF($A63&gt;$B$6,0,Fwd_curves!O93))</f>
        <v>0</v>
      </c>
      <c r="I63" s="12">
        <f ca="1">IF($A63&lt;$B$5,0,IF($A63&gt;$B$6,0,Fwd_curves!P93))</f>
        <v>0</v>
      </c>
      <c r="J63">
        <f ca="1">IF($A63&lt;$B$5,0,IF($A63&gt;$B$6,0,Fwd_curves!Q93))</f>
        <v>0</v>
      </c>
      <c r="K63">
        <f t="shared" ca="1" si="1"/>
        <v>0</v>
      </c>
      <c r="L63" s="15">
        <f ca="1">external_curves!AB23</f>
        <v>21</v>
      </c>
      <c r="M63" s="15">
        <f ca="1">external_curves!AA23</f>
        <v>10</v>
      </c>
      <c r="N63" s="71">
        <f t="shared" ca="1" si="2"/>
        <v>0</v>
      </c>
      <c r="O63" s="71">
        <f t="shared" ca="1" si="3"/>
        <v>0</v>
      </c>
      <c r="P63" s="71">
        <f t="shared" ca="1" si="4"/>
        <v>0</v>
      </c>
      <c r="Q63" s="71">
        <f t="shared" ca="1" si="5"/>
        <v>0</v>
      </c>
      <c r="R63">
        <f t="shared" ca="1" si="6"/>
        <v>0</v>
      </c>
      <c r="T63">
        <f t="shared" ca="1" si="7"/>
        <v>0</v>
      </c>
      <c r="U63">
        <f t="shared" ca="1" si="8"/>
        <v>0</v>
      </c>
      <c r="V63">
        <f t="shared" ca="1" si="9"/>
        <v>0</v>
      </c>
      <c r="W63">
        <f t="shared" ca="1" si="10"/>
        <v>0</v>
      </c>
      <c r="X63">
        <f t="shared" ca="1" si="11"/>
        <v>0</v>
      </c>
    </row>
    <row r="64" spans="1:24" x14ac:dyDescent="0.2">
      <c r="A64" s="26">
        <f ca="1">Fwd_curves!A94</f>
        <v>36892</v>
      </c>
      <c r="B64">
        <f ca="1">IF($A64&lt;$B$5,0,IF($A64&gt;$B$6,0,Fwd_curves!H94))</f>
        <v>0.96892463111314631</v>
      </c>
      <c r="C64">
        <f ca="1">IF($A64&lt;$B$5,0,IF($A64&gt;$B$6,0,Fwd_curves!J94))</f>
        <v>31.974512826733829</v>
      </c>
      <c r="D64">
        <f ca="1">IF($A64&lt;$B$5,0,IF($A64&gt;$B$6,0,Fwd_curves!K94))</f>
        <v>37.303598297856134</v>
      </c>
      <c r="E64">
        <f ca="1">IF($A64&lt;$B$5,0,IF($A64&gt;$B$6,0,Fwd_curves!L94))</f>
        <v>93.08943393419554</v>
      </c>
      <c r="F64">
        <f ca="1">IF($A64&lt;$B$5,0,IF($A64&gt;$B$6,0,Fwd_curves!M94))</f>
        <v>63.578646399316334</v>
      </c>
      <c r="G64">
        <f ca="1">IF($A64&lt;$B$5,0,IF($A64&gt;$B$6,0,Fwd_curves!N94))</f>
        <v>5.3193962248111735</v>
      </c>
      <c r="H64" s="12">
        <f ca="1">IF($A64&lt;$B$5,0,IF($A64&gt;$B$6,0,Fwd_curves!O94))</f>
        <v>75.407157560777321</v>
      </c>
      <c r="I64" s="12">
        <f ca="1">IF($A64&lt;$B$5,0,IF($A64&gt;$B$6,0,Fwd_curves!P94))</f>
        <v>64.468606606028743</v>
      </c>
      <c r="J64">
        <f ca="1">IF($A64&lt;$B$5,0,IF($A64&gt;$B$6,0,Fwd_curves!Q94))</f>
        <v>1.4227765577505158</v>
      </c>
      <c r="K64">
        <f t="shared" ca="1" si="1"/>
        <v>24.223115777828657</v>
      </c>
      <c r="L64" s="15">
        <f ca="1">external_curves!AB24</f>
        <v>23</v>
      </c>
      <c r="M64" s="15">
        <f ca="1">external_curves!AA24</f>
        <v>8</v>
      </c>
      <c r="N64" s="71">
        <f t="shared" ca="1" si="2"/>
        <v>8914.1066062409463</v>
      </c>
      <c r="O64" s="71">
        <f t="shared" ca="1" si="3"/>
        <v>7242.7116175707679</v>
      </c>
      <c r="P64" s="71">
        <f t="shared" ca="1" si="4"/>
        <v>4650.8382293431023</v>
      </c>
      <c r="Q64" s="71">
        <f t="shared" ca="1" si="5"/>
        <v>18021.998138704519</v>
      </c>
      <c r="R64">
        <f t="shared" ca="1" si="6"/>
        <v>4457.0533031204732</v>
      </c>
      <c r="T64">
        <f t="shared" ca="1" si="7"/>
        <v>9200</v>
      </c>
      <c r="U64">
        <f t="shared" ca="1" si="8"/>
        <v>7475</v>
      </c>
      <c r="V64">
        <f t="shared" ca="1" si="9"/>
        <v>4800</v>
      </c>
      <c r="W64">
        <f t="shared" ca="1" si="10"/>
        <v>18600</v>
      </c>
      <c r="X64">
        <f t="shared" ca="1" si="11"/>
        <v>4600</v>
      </c>
    </row>
    <row r="65" spans="1:24" x14ac:dyDescent="0.2">
      <c r="A65" s="26">
        <f ca="1">Fwd_curves!A95</f>
        <v>36923</v>
      </c>
      <c r="B65">
        <f ca="1">IF($A65&lt;$B$5,0,IF($A65&gt;$B$6,0,Fwd_curves!H95))</f>
        <v>0.96397412025610285</v>
      </c>
      <c r="C65">
        <f ca="1">IF($A65&lt;$B$5,0,IF($A65&gt;$B$6,0,Fwd_curves!J95))</f>
        <v>28.919223607683087</v>
      </c>
      <c r="D65">
        <f ca="1">IF($A65&lt;$B$5,0,IF($A65&gt;$B$6,0,Fwd_curves!K95))</f>
        <v>36.149029509603857</v>
      </c>
      <c r="E65">
        <f ca="1">IF($A65&lt;$B$5,0,IF($A65&gt;$B$6,0,Fwd_curves!L95))</f>
        <v>88.565122298529445</v>
      </c>
      <c r="F65">
        <f ca="1">IF($A65&lt;$B$5,0,IF($A65&gt;$B$6,0,Fwd_curves!M95))</f>
        <v>59.387691337206334</v>
      </c>
      <c r="G65">
        <f ca="1">IF($A65&lt;$B$5,0,IF($A65&gt;$B$6,0,Fwd_curves!N95))</f>
        <v>5.0608641313445402</v>
      </c>
      <c r="H65" s="12">
        <f ca="1">IF($A65&lt;$B$5,0,IF($A65&gt;$B$6,0,Fwd_curves!O95))</f>
        <v>70.007725428525035</v>
      </c>
      <c r="I65" s="12">
        <f ca="1">IF($A65&lt;$B$5,0,IF($A65&gt;$B$6,0,Fwd_curves!P95))</f>
        <v>60.461217415544354</v>
      </c>
      <c r="J65">
        <f ca="1">IF($A65&lt;$B$5,0,IF($A65&gt;$B$6,0,Fwd_curves!Q95))</f>
        <v>1.4142974834045463</v>
      </c>
      <c r="K65">
        <f t="shared" ca="1" si="1"/>
        <v>24.09935300640257</v>
      </c>
      <c r="L65" s="15">
        <f ca="1">external_curves!AB25</f>
        <v>20</v>
      </c>
      <c r="M65" s="15">
        <f ca="1">external_curves!AA25</f>
        <v>8</v>
      </c>
      <c r="N65" s="71">
        <f t="shared" ca="1" si="2"/>
        <v>7711.7929620488221</v>
      </c>
      <c r="O65" s="71">
        <f t="shared" ca="1" si="3"/>
        <v>6265.8317816646686</v>
      </c>
      <c r="P65" s="71">
        <f t="shared" ca="1" si="4"/>
        <v>4627.0757772292936</v>
      </c>
      <c r="Q65" s="71">
        <f t="shared" ca="1" si="5"/>
        <v>16194.765220302528</v>
      </c>
      <c r="R65">
        <f t="shared" ca="1" si="6"/>
        <v>3855.8964810244111</v>
      </c>
      <c r="T65">
        <f t="shared" ca="1" si="7"/>
        <v>8000</v>
      </c>
      <c r="U65">
        <f t="shared" ca="1" si="8"/>
        <v>6500</v>
      </c>
      <c r="V65">
        <f t="shared" ca="1" si="9"/>
        <v>4800</v>
      </c>
      <c r="W65">
        <f t="shared" ca="1" si="10"/>
        <v>16800</v>
      </c>
      <c r="X65">
        <f t="shared" ca="1" si="11"/>
        <v>4000</v>
      </c>
    </row>
    <row r="66" spans="1:24" x14ac:dyDescent="0.2">
      <c r="A66" s="26">
        <f ca="1">Fwd_curves!A96</f>
        <v>36951</v>
      </c>
      <c r="B66">
        <f ca="1">IF($A66&lt;$B$5,0,IF($A66&gt;$B$6,0,Fwd_curves!H96))</f>
        <v>0.95949530953534556</v>
      </c>
      <c r="C66">
        <f ca="1">IF($A66&lt;$B$5,0,IF($A66&gt;$B$6,0,Fwd_curves!J96))</f>
        <v>29.744354595595713</v>
      </c>
      <c r="D66">
        <f ca="1">IF($A66&lt;$B$5,0,IF($A66&gt;$B$6,0,Fwd_curves!K96))</f>
        <v>35.981074107575459</v>
      </c>
      <c r="E66">
        <f ca="1">IF($A66&lt;$B$5,0,IF($A66&gt;$B$6,0,Fwd_curves!L96))</f>
        <v>84.627486301017484</v>
      </c>
      <c r="F66">
        <f ca="1">IF($A66&lt;$B$5,0,IF($A66&gt;$B$6,0,Fwd_curves!M96))</f>
        <v>57.521227948950674</v>
      </c>
      <c r="G66">
        <f ca="1">IF($A66&lt;$B$5,0,IF($A66&gt;$B$6,0,Fwd_curves!N96))</f>
        <v>4.8358563600581412</v>
      </c>
      <c r="H66" s="12">
        <f ca="1">IF($A66&lt;$B$5,0,IF($A66&gt;$B$6,0,Fwd_curves!O96))</f>
        <v>59.078110184922707</v>
      </c>
      <c r="I66" s="12">
        <f ca="1">IF($A66&lt;$B$5,0,IF($A66&gt;$B$6,0,Fwd_curves!P96))</f>
        <v>50.524942926967313</v>
      </c>
      <c r="J66">
        <f ca="1">IF($A66&lt;$B$5,0,IF($A66&gt;$B$6,0,Fwd_curves!Q96))</f>
        <v>1.4066216710695882</v>
      </c>
      <c r="K66">
        <f t="shared" ca="1" si="1"/>
        <v>23.987382738383641</v>
      </c>
      <c r="L66" s="15">
        <f ca="1">external_curves!AB26</f>
        <v>22</v>
      </c>
      <c r="M66" s="15">
        <f ca="1">external_curves!AA26</f>
        <v>9</v>
      </c>
      <c r="N66" s="71">
        <f t="shared" ca="1" si="2"/>
        <v>8443.5587239110409</v>
      </c>
      <c r="O66" s="71">
        <f t="shared" ca="1" si="3"/>
        <v>6860.3914631777216</v>
      </c>
      <c r="P66" s="71">
        <f t="shared" ca="1" si="4"/>
        <v>5181.2746714908662</v>
      </c>
      <c r="Q66" s="71">
        <f t="shared" ca="1" si="5"/>
        <v>17846.612757357427</v>
      </c>
      <c r="R66">
        <f t="shared" ca="1" si="6"/>
        <v>4221.7793619555205</v>
      </c>
      <c r="T66">
        <f t="shared" ca="1" si="7"/>
        <v>8800</v>
      </c>
      <c r="U66">
        <f t="shared" ca="1" si="8"/>
        <v>7150</v>
      </c>
      <c r="V66">
        <f t="shared" ca="1" si="9"/>
        <v>5400</v>
      </c>
      <c r="W66">
        <f t="shared" ca="1" si="10"/>
        <v>18600</v>
      </c>
      <c r="X66">
        <f t="shared" ca="1" si="11"/>
        <v>4400</v>
      </c>
    </row>
    <row r="67" spans="1:24" x14ac:dyDescent="0.2">
      <c r="A67" s="26">
        <f ca="1">Fwd_curves!A97</f>
        <v>36982</v>
      </c>
      <c r="B67">
        <f ca="1">IF($A67&lt;$B$5,0,IF($A67&gt;$B$6,0,Fwd_curves!H97))</f>
        <v>0.95454869333052705</v>
      </c>
      <c r="C67">
        <f ca="1">IF($A67&lt;$B$5,0,IF($A67&gt;$B$6,0,Fwd_curves!J97))</f>
        <v>28.159186453250548</v>
      </c>
      <c r="D67">
        <f ca="1">IF($A67&lt;$B$5,0,IF($A67&gt;$B$6,0,Fwd_curves!K97))</f>
        <v>35.795575999894766</v>
      </c>
      <c r="E67">
        <f ca="1">IF($A67&lt;$B$5,0,IF($A67&gt;$B$6,0,Fwd_curves!L97))</f>
        <v>75.715167704842443</v>
      </c>
      <c r="F67">
        <f ca="1">IF($A67&lt;$B$5,0,IF($A67&gt;$B$6,0,Fwd_curves!M97))</f>
        <v>52.642894567986701</v>
      </c>
      <c r="G67">
        <f ca="1">IF($A67&lt;$B$5,0,IF($A67&gt;$B$6,0,Fwd_curves!N97))</f>
        <v>4.3265810117052821</v>
      </c>
      <c r="H67" s="12">
        <f ca="1">IF($A67&lt;$B$5,0,IF($A67&gt;$B$6,0,Fwd_curves!O97))</f>
        <v>59.072753133110815</v>
      </c>
      <c r="I67" s="12">
        <f ca="1">IF($A67&lt;$B$5,0,IF($A67&gt;$B$6,0,Fwd_curves!P97))</f>
        <v>48.664141798677086</v>
      </c>
      <c r="J67">
        <f ca="1">IF($A67&lt;$B$5,0,IF($A67&gt;$B$6,0,Fwd_curves!Q97))</f>
        <v>1.3981716717896051</v>
      </c>
      <c r="K67">
        <f t="shared" ca="1" si="1"/>
        <v>23.863717333263175</v>
      </c>
      <c r="L67" s="15">
        <f ca="1">external_curves!AB27</f>
        <v>21</v>
      </c>
      <c r="M67" s="15">
        <f ca="1">external_curves!AA27</f>
        <v>9</v>
      </c>
      <c r="N67" s="71">
        <f t="shared" ca="1" si="2"/>
        <v>8018.2090239764266</v>
      </c>
      <c r="O67" s="71">
        <f t="shared" ca="1" si="3"/>
        <v>6514.7948319808465</v>
      </c>
      <c r="P67" s="71">
        <f t="shared" ca="1" si="4"/>
        <v>5154.5629439848453</v>
      </c>
      <c r="Q67" s="71">
        <f t="shared" ca="1" si="5"/>
        <v>17181.876479949486</v>
      </c>
      <c r="R67">
        <f t="shared" ca="1" si="6"/>
        <v>4009.1045119882133</v>
      </c>
      <c r="T67">
        <f t="shared" ca="1" si="7"/>
        <v>8400</v>
      </c>
      <c r="U67">
        <f t="shared" ca="1" si="8"/>
        <v>6825</v>
      </c>
      <c r="V67">
        <f t="shared" ca="1" si="9"/>
        <v>5400</v>
      </c>
      <c r="W67">
        <f t="shared" ca="1" si="10"/>
        <v>18000</v>
      </c>
      <c r="X67">
        <f t="shared" ca="1" si="11"/>
        <v>4200</v>
      </c>
    </row>
    <row r="68" spans="1:24" x14ac:dyDescent="0.2">
      <c r="A68" s="26">
        <f ca="1">Fwd_curves!A98</f>
        <v>37012</v>
      </c>
      <c r="B68">
        <f ca="1">IF($A68&lt;$B$5,0,IF($A68&gt;$B$6,0,Fwd_curves!H98))</f>
        <v>0.94978734582703972</v>
      </c>
      <c r="C68">
        <f ca="1">IF($A68&lt;$B$5,0,IF($A68&gt;$B$6,0,Fwd_curves!J98))</f>
        <v>30.393195066465271</v>
      </c>
      <c r="D68">
        <f ca="1">IF($A68&lt;$B$5,0,IF($A68&gt;$B$6,0,Fwd_curves!K98))</f>
        <v>35.617025468513987</v>
      </c>
      <c r="E68">
        <f ca="1">IF($A68&lt;$B$5,0,IF($A68&gt;$B$6,0,Fwd_curves!L98))</f>
        <v>72.184512090541446</v>
      </c>
      <c r="F68">
        <f ca="1">IF($A68&lt;$B$5,0,IF($A68&gt;$B$6,0,Fwd_curves!M98))</f>
        <v>52.412254343418752</v>
      </c>
      <c r="G68">
        <f ca="1">IF($A68&lt;$B$5,0,IF($A68&gt;$B$6,0,Fwd_curves!N98))</f>
        <v>4.1248292623166538</v>
      </c>
      <c r="H68" s="12">
        <f ca="1">IF($A68&lt;$B$5,0,IF($A68&gt;$B$6,0,Fwd_curves!O98))</f>
        <v>55.256990878109583</v>
      </c>
      <c r="I68" s="12">
        <f ca="1">IF($A68&lt;$B$5,0,IF($A68&gt;$B$6,0,Fwd_curves!P98))</f>
        <v>43.181318596875322</v>
      </c>
      <c r="J68">
        <f ca="1">IF($A68&lt;$B$5,0,IF($A68&gt;$B$6,0,Fwd_curves!Q98))</f>
        <v>1.39011297806565</v>
      </c>
      <c r="K68">
        <f t="shared" ca="1" si="1"/>
        <v>23.744683645675995</v>
      </c>
      <c r="L68" s="15">
        <f ca="1">external_curves!AB28</f>
        <v>23</v>
      </c>
      <c r="M68" s="15">
        <f ca="1">external_curves!AA28</f>
        <v>8</v>
      </c>
      <c r="N68" s="71">
        <f t="shared" ca="1" si="2"/>
        <v>8738.0435816087665</v>
      </c>
      <c r="O68" s="71">
        <f t="shared" ca="1" si="3"/>
        <v>7099.6604100571221</v>
      </c>
      <c r="P68" s="71">
        <f t="shared" ca="1" si="4"/>
        <v>4558.9792599697912</v>
      </c>
      <c r="Q68" s="71">
        <f t="shared" ca="1" si="5"/>
        <v>17666.044632382938</v>
      </c>
      <c r="R68">
        <f t="shared" ca="1" si="6"/>
        <v>4369.0217908043833</v>
      </c>
      <c r="T68">
        <f t="shared" ca="1" si="7"/>
        <v>9200</v>
      </c>
      <c r="U68">
        <f t="shared" ca="1" si="8"/>
        <v>7475</v>
      </c>
      <c r="V68">
        <f t="shared" ca="1" si="9"/>
        <v>4800</v>
      </c>
      <c r="W68">
        <f t="shared" ca="1" si="10"/>
        <v>18600</v>
      </c>
      <c r="X68">
        <f t="shared" ca="1" si="11"/>
        <v>4600</v>
      </c>
    </row>
    <row r="69" spans="1:24" x14ac:dyDescent="0.2">
      <c r="A69" s="26">
        <f ca="1">Fwd_curves!A99</f>
        <v>37043</v>
      </c>
      <c r="B69">
        <f ca="1">IF($A69&lt;$B$5,0,IF($A69&gt;$B$6,0,Fwd_curves!H99))</f>
        <v>0.9448694151840078</v>
      </c>
      <c r="C69">
        <f ca="1">IF($A69&lt;$B$5,0,IF($A69&gt;$B$6,0,Fwd_curves!J99))</f>
        <v>30.23582128588825</v>
      </c>
      <c r="D69">
        <f ca="1">IF($A69&lt;$B$5,0,IF($A69&gt;$B$6,0,Fwd_curves!K99))</f>
        <v>35.432603069400294</v>
      </c>
      <c r="E69">
        <f ca="1">IF($A69&lt;$B$5,0,IF($A69&gt;$B$6,0,Fwd_curves!L99))</f>
        <v>71.069195098161998</v>
      </c>
      <c r="F69">
        <f ca="1">IF($A69&lt;$B$5,0,IF($A69&gt;$B$6,0,Fwd_curves!M99))</f>
        <v>50.850430266669612</v>
      </c>
      <c r="G69">
        <f ca="1">IF($A69&lt;$B$5,0,IF($A69&gt;$B$6,0,Fwd_curves!N99))</f>
        <v>4.0610968627521142</v>
      </c>
      <c r="H69" s="12">
        <f ca="1">IF($A69&lt;$B$5,0,IF($A69&gt;$B$6,0,Fwd_curves!O99))</f>
        <v>56.308525826438817</v>
      </c>
      <c r="I69" s="12">
        <f ca="1">IF($A69&lt;$B$5,0,IF($A69&gt;$B$6,0,Fwd_curves!P99))</f>
        <v>44.785813179474317</v>
      </c>
      <c r="J69">
        <f ca="1">IF($A69&lt;$B$5,0,IF($A69&gt;$B$6,0,Fwd_curves!Q99))</f>
        <v>1.3818043147592349</v>
      </c>
      <c r="K69">
        <f t="shared" ca="1" si="1"/>
        <v>23.621735379600196</v>
      </c>
      <c r="L69" s="15">
        <f ca="1">external_curves!AB29</f>
        <v>21</v>
      </c>
      <c r="M69" s="15">
        <f ca="1">external_curves!AA29</f>
        <v>9</v>
      </c>
      <c r="N69" s="71">
        <f t="shared" ca="1" si="2"/>
        <v>7936.9030875456656</v>
      </c>
      <c r="O69" s="71">
        <f t="shared" ca="1" si="3"/>
        <v>6448.7337586308531</v>
      </c>
      <c r="P69" s="71">
        <f t="shared" ca="1" si="4"/>
        <v>5102.294841993642</v>
      </c>
      <c r="Q69" s="71">
        <f t="shared" ca="1" si="5"/>
        <v>17007.649473312144</v>
      </c>
      <c r="R69">
        <f t="shared" ca="1" si="6"/>
        <v>3968.4515437728328</v>
      </c>
      <c r="T69">
        <f t="shared" ca="1" si="7"/>
        <v>8400</v>
      </c>
      <c r="U69">
        <f t="shared" ca="1" si="8"/>
        <v>6825</v>
      </c>
      <c r="V69">
        <f t="shared" ca="1" si="9"/>
        <v>5400</v>
      </c>
      <c r="W69">
        <f t="shared" ca="1" si="10"/>
        <v>18000</v>
      </c>
      <c r="X69">
        <f t="shared" ca="1" si="11"/>
        <v>4200</v>
      </c>
    </row>
    <row r="70" spans="1:24" x14ac:dyDescent="0.2">
      <c r="A70" s="26">
        <f ca="1">Fwd_curves!A100</f>
        <v>37073</v>
      </c>
      <c r="B70">
        <f ca="1">IF($A70&lt;$B$5,0,IF($A70&gt;$B$6,0,Fwd_curves!H100))</f>
        <v>0.94014184328448935</v>
      </c>
      <c r="C70">
        <f ca="1">IF($A70&lt;$B$5,0,IF($A70&gt;$B$6,0,Fwd_curves!J100))</f>
        <v>28.204255298534679</v>
      </c>
      <c r="D70">
        <f ca="1">IF($A70&lt;$B$5,0,IF($A70&gt;$B$6,0,Fwd_curves!K100))</f>
        <v>35.913418413467497</v>
      </c>
      <c r="E70">
        <f ca="1">IF($A70&lt;$B$5,0,IF($A70&gt;$B$6,0,Fwd_curves!L100))</f>
        <v>70.476800532274694</v>
      </c>
      <c r="F70">
        <f ca="1">IF($A70&lt;$B$5,0,IF($A70&gt;$B$6,0,Fwd_curves!M100))</f>
        <v>50.442313302703994</v>
      </c>
      <c r="G70">
        <f ca="1">IF($A70&lt;$B$5,0,IF($A70&gt;$B$6,0,Fwd_curves!N100))</f>
        <v>4.0272457447014114</v>
      </c>
      <c r="H70" s="12">
        <f ca="1">IF($A70&lt;$B$5,0,IF($A70&gt;$B$6,0,Fwd_curves!O100))</f>
        <v>92.044611874626341</v>
      </c>
      <c r="I70" s="12">
        <f ca="1">IF($A70&lt;$B$5,0,IF($A70&gt;$B$6,0,Fwd_curves!P100))</f>
        <v>69.598489624025362</v>
      </c>
      <c r="J70">
        <f ca="1">IF($A70&lt;$B$5,0,IF($A70&gt;$B$6,0,Fwd_curves!Q100))</f>
        <v>1.3738001772332289</v>
      </c>
      <c r="K70">
        <f t="shared" ca="1" si="1"/>
        <v>23.503546082112234</v>
      </c>
      <c r="L70" s="15">
        <f ca="1">external_curves!AB30</f>
        <v>22</v>
      </c>
      <c r="M70" s="15">
        <f ca="1">external_curves!AA30</f>
        <v>9</v>
      </c>
      <c r="N70" s="71">
        <f t="shared" ca="1" si="2"/>
        <v>8273.2482209035061</v>
      </c>
      <c r="O70" s="71">
        <f t="shared" ca="1" si="3"/>
        <v>6722.0141794840983</v>
      </c>
      <c r="P70" s="71">
        <f t="shared" ca="1" si="4"/>
        <v>5076.7659537362424</v>
      </c>
      <c r="Q70" s="71">
        <f t="shared" ca="1" si="5"/>
        <v>17486.6382850915</v>
      </c>
      <c r="R70">
        <f t="shared" ca="1" si="6"/>
        <v>4136.624110451753</v>
      </c>
      <c r="T70">
        <f t="shared" ca="1" si="7"/>
        <v>8800</v>
      </c>
      <c r="U70">
        <f t="shared" ca="1" si="8"/>
        <v>7150</v>
      </c>
      <c r="V70">
        <f t="shared" ca="1" si="9"/>
        <v>5400</v>
      </c>
      <c r="W70">
        <f t="shared" ca="1" si="10"/>
        <v>18600</v>
      </c>
      <c r="X70">
        <f t="shared" ca="1" si="11"/>
        <v>4400</v>
      </c>
    </row>
    <row r="71" spans="1:24" x14ac:dyDescent="0.2">
      <c r="A71" s="26">
        <f ca="1">Fwd_curves!A101</f>
        <v>37104</v>
      </c>
      <c r="B71">
        <f ca="1">IF($A71&lt;$B$5,0,IF($A71&gt;$B$6,0,Fwd_curves!H101))</f>
        <v>0.93531296529371999</v>
      </c>
      <c r="C71">
        <f ca="1">IF($A71&lt;$B$5,0,IF($A71&gt;$B$6,0,Fwd_curves!J101))</f>
        <v>28.059388958811599</v>
      </c>
      <c r="D71">
        <f ca="1">IF($A71&lt;$B$5,0,IF($A71&gt;$B$6,0,Fwd_curves!K101))</f>
        <v>37.636993723419295</v>
      </c>
      <c r="E71">
        <f ca="1">IF($A71&lt;$B$5,0,IF($A71&gt;$B$6,0,Fwd_curves!L101))</f>
        <v>69.922705570080026</v>
      </c>
      <c r="F71">
        <f ca="1">IF($A71&lt;$B$5,0,IF($A71&gt;$B$6,0,Fwd_curves!M101))</f>
        <v>51.237615609015172</v>
      </c>
      <c r="G71">
        <f ca="1">IF($A71&lt;$B$5,0,IF($A71&gt;$B$6,0,Fwd_curves!N101))</f>
        <v>3.9955831754331443</v>
      </c>
      <c r="H71" s="12">
        <f ca="1">IF($A71&lt;$B$5,0,IF($A71&gt;$B$6,0,Fwd_curves!O101))</f>
        <v>109.92989619597907</v>
      </c>
      <c r="I71" s="12">
        <f ca="1">IF($A71&lt;$B$5,0,IF($A71&gt;$B$6,0,Fwd_curves!P101))</f>
        <v>87.309578946275508</v>
      </c>
      <c r="J71">
        <f ca="1">IF($A71&lt;$B$5,0,IF($A71&gt;$B$6,0,Fwd_curves!Q101))</f>
        <v>1.365588772620858</v>
      </c>
      <c r="K71">
        <f t="shared" ca="1" si="1"/>
        <v>23.382824132343</v>
      </c>
      <c r="L71" s="15">
        <f ca="1">external_curves!AB31</f>
        <v>23</v>
      </c>
      <c r="M71" s="15">
        <f ca="1">external_curves!AA31</f>
        <v>8</v>
      </c>
      <c r="N71" s="71">
        <f t="shared" ca="1" si="2"/>
        <v>8604.8792807022237</v>
      </c>
      <c r="O71" s="71">
        <f t="shared" ca="1" si="3"/>
        <v>6991.4644155705573</v>
      </c>
      <c r="P71" s="71">
        <f t="shared" ca="1" si="4"/>
        <v>4489.5022334098558</v>
      </c>
      <c r="Q71" s="71">
        <f t="shared" ca="1" si="5"/>
        <v>17396.821154463192</v>
      </c>
      <c r="R71">
        <f t="shared" ca="1" si="6"/>
        <v>4302.4396403511118</v>
      </c>
      <c r="T71">
        <f t="shared" ca="1" si="7"/>
        <v>9200</v>
      </c>
      <c r="U71">
        <f t="shared" ca="1" si="8"/>
        <v>7475</v>
      </c>
      <c r="V71">
        <f t="shared" ca="1" si="9"/>
        <v>4800</v>
      </c>
      <c r="W71">
        <f t="shared" ca="1" si="10"/>
        <v>18600</v>
      </c>
      <c r="X71">
        <f t="shared" ca="1" si="11"/>
        <v>4600</v>
      </c>
    </row>
    <row r="72" spans="1:24" x14ac:dyDescent="0.2">
      <c r="A72" s="26">
        <f ca="1">Fwd_curves!A102</f>
        <v>37135</v>
      </c>
      <c r="B72">
        <f ca="1">IF($A72&lt;$B$5,0,IF($A72&gt;$B$6,0,Fwd_curves!H102))</f>
        <v>0.93049842076908973</v>
      </c>
      <c r="C72">
        <f ca="1">IF($A72&lt;$B$5,0,IF($A72&gt;$B$6,0,Fwd_curves!J102))</f>
        <v>27.914952623072693</v>
      </c>
      <c r="D72">
        <f ca="1">IF($A72&lt;$B$5,0,IF($A72&gt;$B$6,0,Fwd_curves!K102))</f>
        <v>37.443256451748169</v>
      </c>
      <c r="E72">
        <f ca="1">IF($A72&lt;$B$5,0,IF($A72&gt;$B$6,0,Fwd_curves!L102))</f>
        <v>69.058797316758586</v>
      </c>
      <c r="F72">
        <f ca="1">IF($A72&lt;$B$5,0,IF($A72&gt;$B$6,0,Fwd_curves!M102))</f>
        <v>49.377207096491581</v>
      </c>
      <c r="G72">
        <f ca="1">IF($A72&lt;$B$5,0,IF($A72&gt;$B$6,0,Fwd_curves!N102))</f>
        <v>3.9462169895290624</v>
      </c>
      <c r="H72" s="12">
        <f ca="1">IF($A72&lt;$B$5,0,IF($A72&gt;$B$6,0,Fwd_curves!O102))</f>
        <v>95.018362349304269</v>
      </c>
      <c r="I72" s="12">
        <f ca="1">IF($A72&lt;$B$5,0,IF($A72&gt;$B$6,0,Fwd_curves!P102))</f>
        <v>75.222870193199213</v>
      </c>
      <c r="J72">
        <f ca="1">IF($A72&lt;$B$5,0,IF($A72&gt;$B$6,0,Fwd_curves!Q102))</f>
        <v>1.3574051764186323</v>
      </c>
      <c r="K72">
        <f t="shared" ca="1" si="1"/>
        <v>23.262460519227243</v>
      </c>
      <c r="L72" s="15">
        <f ca="1">external_curves!AB32</f>
        <v>20</v>
      </c>
      <c r="M72" s="15">
        <f ca="1">external_curves!AA32</f>
        <v>10</v>
      </c>
      <c r="N72" s="71">
        <f t="shared" ca="1" si="2"/>
        <v>7443.9873661527181</v>
      </c>
      <c r="O72" s="71">
        <f t="shared" ca="1" si="3"/>
        <v>6048.2397349990833</v>
      </c>
      <c r="P72" s="71">
        <f t="shared" ca="1" si="4"/>
        <v>5582.9905246145381</v>
      </c>
      <c r="Q72" s="71">
        <f t="shared" ca="1" si="5"/>
        <v>16748.971573843613</v>
      </c>
      <c r="R72">
        <f t="shared" ca="1" si="6"/>
        <v>3721.993683076359</v>
      </c>
      <c r="T72">
        <f t="shared" ca="1" si="7"/>
        <v>8000</v>
      </c>
      <c r="U72">
        <f t="shared" ca="1" si="8"/>
        <v>6500</v>
      </c>
      <c r="V72">
        <f t="shared" ca="1" si="9"/>
        <v>6000</v>
      </c>
      <c r="W72">
        <f t="shared" ca="1" si="10"/>
        <v>18000</v>
      </c>
      <c r="X72">
        <f t="shared" ca="1" si="11"/>
        <v>4000</v>
      </c>
    </row>
    <row r="73" spans="1:24" x14ac:dyDescent="0.2">
      <c r="A73" s="26">
        <f ca="1">Fwd_curves!A103</f>
        <v>37165</v>
      </c>
      <c r="B73">
        <f ca="1">IF($A73&lt;$B$5,0,IF($A73&gt;$B$6,0,Fwd_curves!H103))</f>
        <v>0.92585286476638851</v>
      </c>
      <c r="C73">
        <f ca="1">IF($A73&lt;$B$5,0,IF($A73&gt;$B$6,0,Fwd_curves!J103))</f>
        <v>27.775585942991654</v>
      </c>
      <c r="D73">
        <f ca="1">IF($A73&lt;$B$5,0,IF($A73&gt;$B$6,0,Fwd_curves!K103))</f>
        <v>37.034114590655541</v>
      </c>
      <c r="E73">
        <f ca="1">IF($A73&lt;$B$5,0,IF($A73&gt;$B$6,0,Fwd_curves!L103))</f>
        <v>68.881441862712776</v>
      </c>
      <c r="F73">
        <f ca="1">IF($A73&lt;$B$5,0,IF($A73&gt;$B$6,0,Fwd_curves!M103))</f>
        <v>50.49681239300353</v>
      </c>
      <c r="G73">
        <f ca="1">IF($A73&lt;$B$5,0,IF($A73&gt;$B$6,0,Fwd_curves!N103))</f>
        <v>3.9360823921550154</v>
      </c>
      <c r="H73" s="12">
        <f ca="1">IF($A73&lt;$B$5,0,IF($A73&gt;$B$6,0,Fwd_curves!O103))</f>
        <v>74.561797600101173</v>
      </c>
      <c r="I73" s="12">
        <f ca="1">IF($A73&lt;$B$5,0,IF($A73&gt;$B$6,0,Fwd_curves!P103))</f>
        <v>64.799437003503499</v>
      </c>
      <c r="J73">
        <f ca="1">IF($A73&lt;$B$5,0,IF($A73&gt;$B$6,0,Fwd_curves!Q103))</f>
        <v>1.3495347981918764</v>
      </c>
      <c r="K73">
        <f t="shared" ca="1" si="1"/>
        <v>23.146321619159714</v>
      </c>
      <c r="L73" s="15">
        <f ca="1">external_curves!AB33</f>
        <v>23</v>
      </c>
      <c r="M73" s="15">
        <f ca="1">external_curves!AA33</f>
        <v>8</v>
      </c>
      <c r="N73" s="71">
        <f t="shared" ca="1" si="2"/>
        <v>8517.8463558507756</v>
      </c>
      <c r="O73" s="71">
        <f t="shared" ca="1" si="3"/>
        <v>6920.7501641287545</v>
      </c>
      <c r="P73" s="71">
        <f t="shared" ca="1" si="4"/>
        <v>4444.0937508786647</v>
      </c>
      <c r="Q73" s="71">
        <f t="shared" ca="1" si="5"/>
        <v>17220.863284654828</v>
      </c>
      <c r="R73">
        <f t="shared" ca="1" si="6"/>
        <v>4258.9231779253878</v>
      </c>
      <c r="T73">
        <f t="shared" ca="1" si="7"/>
        <v>9200</v>
      </c>
      <c r="U73">
        <f t="shared" ca="1" si="8"/>
        <v>7475</v>
      </c>
      <c r="V73">
        <f t="shared" ca="1" si="9"/>
        <v>4800</v>
      </c>
      <c r="W73">
        <f t="shared" ca="1" si="10"/>
        <v>18600</v>
      </c>
      <c r="X73">
        <f t="shared" ca="1" si="11"/>
        <v>4600</v>
      </c>
    </row>
    <row r="74" spans="1:24" x14ac:dyDescent="0.2">
      <c r="A74" s="26">
        <f ca="1">Fwd_curves!A104</f>
        <v>37196</v>
      </c>
      <c r="B74">
        <f ca="1">IF($A74&lt;$B$5,0,IF($A74&gt;$B$6,0,Fwd_curves!H104))</f>
        <v>0.92106662726769717</v>
      </c>
      <c r="C74">
        <f ca="1">IF($A74&lt;$B$5,0,IF($A74&gt;$B$6,0,Fwd_curves!J104))</f>
        <v>30.395198699834008</v>
      </c>
      <c r="D74">
        <f ca="1">IF($A74&lt;$B$5,0,IF($A74&gt;$B$6,0,Fwd_curves!K104))</f>
        <v>36.842665090707889</v>
      </c>
      <c r="E74">
        <f ca="1">IF($A74&lt;$B$5,0,IF($A74&gt;$B$6,0,Fwd_curves!L104))</f>
        <v>70.789156955210515</v>
      </c>
      <c r="F74">
        <f ca="1">IF($A74&lt;$B$5,0,IF($A74&gt;$B$6,0,Fwd_curves!M104))</f>
        <v>51.862680440028889</v>
      </c>
      <c r="G74">
        <f ca="1">IF($A74&lt;$B$5,0,IF($A74&gt;$B$6,0,Fwd_curves!N104))</f>
        <v>4.0450946831548871</v>
      </c>
      <c r="H74" s="12">
        <f ca="1">IF($A74&lt;$B$5,0,IF($A74&gt;$B$6,0,Fwd_curves!O104))</f>
        <v>68.750424381270847</v>
      </c>
      <c r="I74" s="12">
        <f ca="1">IF($A74&lt;$B$5,0,IF($A74&gt;$B$6,0,Fwd_curves!P104))</f>
        <v>59.406701392867774</v>
      </c>
      <c r="J74">
        <f ca="1">IF($A74&lt;$B$5,0,IF($A74&gt;$B$6,0,Fwd_curves!Q104))</f>
        <v>1.3414716952443093</v>
      </c>
      <c r="K74">
        <f t="shared" ca="1" si="1"/>
        <v>23.026665681692428</v>
      </c>
      <c r="L74" s="15">
        <f ca="1">external_curves!AB34</f>
        <v>22</v>
      </c>
      <c r="M74" s="15">
        <f ca="1">external_curves!AA34</f>
        <v>8</v>
      </c>
      <c r="N74" s="71">
        <f t="shared" ca="1" si="2"/>
        <v>8105.3863199557345</v>
      </c>
      <c r="O74" s="71">
        <f t="shared" ca="1" si="3"/>
        <v>6585.6263849640345</v>
      </c>
      <c r="P74" s="71">
        <f t="shared" ca="1" si="4"/>
        <v>4421.1198108849458</v>
      </c>
      <c r="Q74" s="71">
        <f t="shared" ca="1" si="5"/>
        <v>16579.199290818549</v>
      </c>
      <c r="R74">
        <f t="shared" ca="1" si="6"/>
        <v>4052.6931599778673</v>
      </c>
      <c r="T74">
        <f t="shared" ca="1" si="7"/>
        <v>8800</v>
      </c>
      <c r="U74">
        <f t="shared" ca="1" si="8"/>
        <v>7150</v>
      </c>
      <c r="V74">
        <f t="shared" ca="1" si="9"/>
        <v>4800</v>
      </c>
      <c r="W74">
        <f t="shared" ca="1" si="10"/>
        <v>18000</v>
      </c>
      <c r="X74">
        <f t="shared" ca="1" si="11"/>
        <v>4400</v>
      </c>
    </row>
    <row r="75" spans="1:24" x14ac:dyDescent="0.2">
      <c r="A75" s="26">
        <f ca="1">Fwd_curves!A105</f>
        <v>37226</v>
      </c>
      <c r="B75">
        <f ca="1">IF($A75&lt;$B$5,0,IF($A75&gt;$B$6,0,Fwd_curves!H105))</f>
        <v>0.91644852943917732</v>
      </c>
      <c r="C75">
        <f ca="1">IF($A75&lt;$B$5,0,IF($A75&gt;$B$6,0,Fwd_curves!J105))</f>
        <v>30.24280147149285</v>
      </c>
      <c r="D75">
        <f ca="1">IF($A75&lt;$B$5,0,IF($A75&gt;$B$6,0,Fwd_curves!K105))</f>
        <v>36.657941177567096</v>
      </c>
      <c r="E75">
        <f ca="1">IF($A75&lt;$B$5,0,IF($A75&gt;$B$6,0,Fwd_curves!L105))</f>
        <v>72.354810611152288</v>
      </c>
      <c r="F75">
        <f ca="1">IF($A75&lt;$B$5,0,IF($A75&gt;$B$6,0,Fwd_curves!M105))</f>
        <v>51.330528084911393</v>
      </c>
      <c r="G75">
        <f ca="1">IF($A75&lt;$B$5,0,IF($A75&gt;$B$6,0,Fwd_curves!N105))</f>
        <v>4.1345606063515596</v>
      </c>
      <c r="H75" s="12">
        <f ca="1">IF($A75&lt;$B$5,0,IF($A75&gt;$B$6,0,Fwd_curves!O105))</f>
        <v>68.352234556320354</v>
      </c>
      <c r="I75" s="12">
        <f ca="1">IF($A75&lt;$B$5,0,IF($A75&gt;$B$6,0,Fwd_curves!P105))</f>
        <v>57.537416012436786</v>
      </c>
      <c r="J75">
        <f ca="1">IF($A75&lt;$B$5,0,IF($A75&gt;$B$6,0,Fwd_curves!Q105))</f>
        <v>1.3337021376842999</v>
      </c>
      <c r="K75">
        <f t="shared" ca="1" si="1"/>
        <v>22.911213235979432</v>
      </c>
      <c r="L75" s="15">
        <f ca="1">external_curves!AB35</f>
        <v>21</v>
      </c>
      <c r="M75" s="15">
        <f ca="1">external_curves!AA35</f>
        <v>10</v>
      </c>
      <c r="N75" s="71">
        <f t="shared" ca="1" si="2"/>
        <v>7698.1676472890886</v>
      </c>
      <c r="O75" s="71">
        <f t="shared" ca="1" si="3"/>
        <v>6254.7612134223846</v>
      </c>
      <c r="P75" s="71">
        <f t="shared" ca="1" si="4"/>
        <v>5498.691176635064</v>
      </c>
      <c r="Q75" s="71">
        <f t="shared" ca="1" si="5"/>
        <v>17045.9426475687</v>
      </c>
      <c r="R75">
        <f t="shared" ca="1" si="6"/>
        <v>3849.0838236445443</v>
      </c>
      <c r="T75">
        <f t="shared" ca="1" si="7"/>
        <v>8400</v>
      </c>
      <c r="U75">
        <f t="shared" ca="1" si="8"/>
        <v>6825</v>
      </c>
      <c r="V75">
        <f t="shared" ca="1" si="9"/>
        <v>6000</v>
      </c>
      <c r="W75">
        <f t="shared" ca="1" si="10"/>
        <v>18600</v>
      </c>
      <c r="X75">
        <f t="shared" ca="1" si="11"/>
        <v>4200</v>
      </c>
    </row>
    <row r="76" spans="1:24" x14ac:dyDescent="0.2">
      <c r="A76" s="26">
        <f ca="1">Fwd_curves!A106</f>
        <v>37257</v>
      </c>
      <c r="B76">
        <f ca="1">IF($A76&lt;$B$5,0,IF($A76&gt;$B$6,0,Fwd_curves!H106))</f>
        <v>0.91169073050767813</v>
      </c>
      <c r="C76">
        <f ca="1">IF($A76&lt;$B$5,0,IF($A76&gt;$B$6,0,Fwd_curves!J106))</f>
        <v>30.687509988888451</v>
      </c>
      <c r="D76">
        <f ca="1">IF($A76&lt;$B$5,0,IF($A76&gt;$B$6,0,Fwd_curves!K106))</f>
        <v>35.802094987036526</v>
      </c>
      <c r="E76">
        <f ca="1">IF($A76&lt;$B$5,0,IF($A76&gt;$B$6,0,Fwd_curves!L106))</f>
        <v>63.981722640335043</v>
      </c>
      <c r="F76">
        <f ca="1">IF($A76&lt;$B$5,0,IF($A76&gt;$B$6,0,Fwd_curves!M106))</f>
        <v>48.475508074072287</v>
      </c>
      <c r="G76">
        <f ca="1">IF($A76&lt;$B$5,0,IF($A76&gt;$B$6,0,Fwd_curves!N106))</f>
        <v>4.1145802341051478</v>
      </c>
      <c r="H76" s="12">
        <f ca="1">IF($A76&lt;$B$5,0,IF($A76&gt;$B$6,0,Fwd_curves!O106))</f>
        <v>50.377096470791507</v>
      </c>
      <c r="I76" s="12">
        <f ca="1">IF($A76&lt;$B$5,0,IF($A76&gt;$B$6,0,Fwd_curves!P106))</f>
        <v>45.619497164869983</v>
      </c>
      <c r="J76">
        <f ca="1">IF($A76&lt;$B$5,0,IF($A76&gt;$B$6,0,Fwd_curves!Q106))</f>
        <v>1.3257130650208291</v>
      </c>
      <c r="K76">
        <f t="shared" ca="1" si="1"/>
        <v>22.792268262691952</v>
      </c>
      <c r="L76" s="15">
        <f ca="1">external_curves!AB36</f>
        <v>23</v>
      </c>
      <c r="M76" s="15">
        <f ca="1">external_curves!AA36</f>
        <v>8</v>
      </c>
      <c r="N76" s="71">
        <f t="shared" ca="1" si="2"/>
        <v>8387.5547206706378</v>
      </c>
      <c r="O76" s="71">
        <f t="shared" ca="1" si="3"/>
        <v>6814.8882105448938</v>
      </c>
      <c r="P76" s="71">
        <f t="shared" ca="1" si="4"/>
        <v>4376.115506436855</v>
      </c>
      <c r="Q76" s="71">
        <f t="shared" ca="1" si="5"/>
        <v>16957.44758744281</v>
      </c>
      <c r="R76">
        <f t="shared" ca="1" si="6"/>
        <v>4193.7773603353189</v>
      </c>
      <c r="T76">
        <f t="shared" ca="1" si="7"/>
        <v>9200</v>
      </c>
      <c r="U76">
        <f t="shared" ca="1" si="8"/>
        <v>7475</v>
      </c>
      <c r="V76">
        <f t="shared" ca="1" si="9"/>
        <v>4800</v>
      </c>
      <c r="W76">
        <f t="shared" ca="1" si="10"/>
        <v>18600</v>
      </c>
      <c r="X76">
        <f t="shared" ca="1" si="11"/>
        <v>4600</v>
      </c>
    </row>
    <row r="77" spans="1:24" x14ac:dyDescent="0.2">
      <c r="A77" s="26">
        <f ca="1">Fwd_curves!A107</f>
        <v>37288</v>
      </c>
      <c r="B77">
        <f ca="1">IF($A77&lt;$B$5,0,IF($A77&gt;$B$6,0,Fwd_curves!H107))</f>
        <v>0.90694743271991263</v>
      </c>
      <c r="C77">
        <f ca="1">IF($A77&lt;$B$5,0,IF($A77&gt;$B$6,0,Fwd_curves!J107))</f>
        <v>27.752591441229328</v>
      </c>
      <c r="D77">
        <f ca="1">IF($A77&lt;$B$5,0,IF($A77&gt;$B$6,0,Fwd_curves!K107))</f>
        <v>34.690739301536659</v>
      </c>
      <c r="E77">
        <f ca="1">IF($A77&lt;$B$5,0,IF($A77&gt;$B$6,0,Fwd_curves!L107))</f>
        <v>60.892504572685823</v>
      </c>
      <c r="F77">
        <f ca="1">IF($A77&lt;$B$5,0,IF($A77&gt;$B$6,0,Fwd_curves!M107))</f>
        <v>45.515830416296417</v>
      </c>
      <c r="G77">
        <f ca="1">IF($A77&lt;$B$5,0,IF($A77&gt;$B$6,0,Fwd_curves!N107))</f>
        <v>3.9159166927772229</v>
      </c>
      <c r="H77" s="12">
        <f ca="1">IF($A77&lt;$B$5,0,IF($A77&gt;$B$6,0,Fwd_curves!O107))</f>
        <v>47.439601140648591</v>
      </c>
      <c r="I77" s="12">
        <f ca="1">IF($A77&lt;$B$5,0,IF($A77&gt;$B$6,0,Fwd_curves!P107))</f>
        <v>43.768679623812687</v>
      </c>
      <c r="J77">
        <f ca="1">IF($A77&lt;$B$5,0,IF($A77&gt;$B$6,0,Fwd_curves!Q107))</f>
        <v>1.3177666983513499</v>
      </c>
      <c r="K77">
        <f t="shared" ca="1" si="1"/>
        <v>22.673685817997814</v>
      </c>
      <c r="L77" s="15">
        <f ca="1">external_curves!AB37</f>
        <v>20</v>
      </c>
      <c r="M77" s="15">
        <f ca="1">external_curves!AA37</f>
        <v>8</v>
      </c>
      <c r="N77" s="71">
        <f t="shared" ca="1" si="2"/>
        <v>7255.5794617593001</v>
      </c>
      <c r="O77" s="71">
        <f t="shared" ca="1" si="3"/>
        <v>5895.1583126794321</v>
      </c>
      <c r="P77" s="71">
        <f t="shared" ca="1" si="4"/>
        <v>4353.3476770555808</v>
      </c>
      <c r="Q77" s="71">
        <f t="shared" ca="1" si="5"/>
        <v>15236.716869694532</v>
      </c>
      <c r="R77">
        <f t="shared" ca="1" si="6"/>
        <v>3627.7897308796501</v>
      </c>
      <c r="T77">
        <f t="shared" ca="1" si="7"/>
        <v>8000</v>
      </c>
      <c r="U77">
        <f t="shared" ca="1" si="8"/>
        <v>6500</v>
      </c>
      <c r="V77">
        <f t="shared" ca="1" si="9"/>
        <v>4800</v>
      </c>
      <c r="W77">
        <f t="shared" ca="1" si="10"/>
        <v>16800</v>
      </c>
      <c r="X77">
        <f t="shared" ca="1" si="11"/>
        <v>4000</v>
      </c>
    </row>
    <row r="78" spans="1:24" x14ac:dyDescent="0.2">
      <c r="A78" s="26">
        <f ca="1">Fwd_curves!A108</f>
        <v>37316</v>
      </c>
      <c r="B78">
        <f ca="1">IF($A78&lt;$B$5,0,IF($A78&gt;$B$6,0,Fwd_curves!H108))</f>
        <v>0.90267565439573416</v>
      </c>
      <c r="C78">
        <f ca="1">IF($A78&lt;$B$5,0,IF($A78&gt;$B$6,0,Fwd_curves!J108))</f>
        <v>28.542604191993114</v>
      </c>
      <c r="D78">
        <f ca="1">IF($A78&lt;$B$5,0,IF($A78&gt;$B$6,0,Fwd_curves!K108))</f>
        <v>34.527343780636834</v>
      </c>
      <c r="E78">
        <f ca="1">IF($A78&lt;$B$5,0,IF($A78&gt;$B$6,0,Fwd_curves!L108))</f>
        <v>57.545331949429112</v>
      </c>
      <c r="F78">
        <f ca="1">IF($A78&lt;$B$5,0,IF($A78&gt;$B$6,0,Fwd_curves!M108))</f>
        <v>43.571171433623476</v>
      </c>
      <c r="G78">
        <f ca="1">IF($A78&lt;$B$5,0,IF($A78&gt;$B$6,0,Fwd_curves!N108))</f>
        <v>3.7006644340468879</v>
      </c>
      <c r="H78" s="12">
        <f ca="1">IF($A78&lt;$B$5,0,IF($A78&gt;$B$6,0,Fwd_curves!O108))</f>
        <v>44.561092392180718</v>
      </c>
      <c r="I78" s="12">
        <f ca="1">IF($A78&lt;$B$5,0,IF($A78&gt;$B$6,0,Fwd_curves!P108))</f>
        <v>40.805389949892238</v>
      </c>
      <c r="J78">
        <f ca="1">IF($A78&lt;$B$5,0,IF($A78&gt;$B$6,0,Fwd_curves!Q108))</f>
        <v>1.3106203644759034</v>
      </c>
      <c r="K78">
        <f t="shared" ca="1" si="1"/>
        <v>22.566891359893354</v>
      </c>
      <c r="L78" s="15">
        <f ca="1">external_curves!AB38</f>
        <v>21</v>
      </c>
      <c r="M78" s="15">
        <f ca="1">external_curves!AA38</f>
        <v>10</v>
      </c>
      <c r="N78" s="71">
        <f t="shared" ca="1" si="2"/>
        <v>7582.4754969241667</v>
      </c>
      <c r="O78" s="71">
        <f t="shared" ca="1" si="3"/>
        <v>6160.7613412508854</v>
      </c>
      <c r="P78" s="71">
        <f t="shared" ca="1" si="4"/>
        <v>5416.0539263744049</v>
      </c>
      <c r="Q78" s="71">
        <f t="shared" ca="1" si="5"/>
        <v>16789.767171760657</v>
      </c>
      <c r="R78">
        <f t="shared" ca="1" si="6"/>
        <v>3791.2377484620833</v>
      </c>
      <c r="T78">
        <f t="shared" ca="1" si="7"/>
        <v>8400</v>
      </c>
      <c r="U78">
        <f t="shared" ca="1" si="8"/>
        <v>6825</v>
      </c>
      <c r="V78">
        <f t="shared" ca="1" si="9"/>
        <v>6000</v>
      </c>
      <c r="W78">
        <f t="shared" ca="1" si="10"/>
        <v>18600</v>
      </c>
      <c r="X78">
        <f t="shared" ca="1" si="11"/>
        <v>4200</v>
      </c>
    </row>
    <row r="79" spans="1:24" x14ac:dyDescent="0.2">
      <c r="A79" s="26">
        <f ca="1">Fwd_curves!A109</f>
        <v>37347</v>
      </c>
      <c r="B79">
        <f ca="1">IF($A79&lt;$B$5,0,IF($A79&gt;$B$6,0,Fwd_curves!H109))</f>
        <v>0.89796004331556822</v>
      </c>
      <c r="C79">
        <f ca="1">IF($A79&lt;$B$5,0,IF($A79&gt;$B$6,0,Fwd_curves!J109))</f>
        <v>27.019617703365448</v>
      </c>
      <c r="D79">
        <f ca="1">IF($A79&lt;$B$5,0,IF($A79&gt;$B$6,0,Fwd_curves!K109))</f>
        <v>34.346971656820486</v>
      </c>
      <c r="E79">
        <f ca="1">IF($A79&lt;$B$5,0,IF($A79&gt;$B$6,0,Fwd_curves!L109))</f>
        <v>53.267055386515644</v>
      </c>
      <c r="F79">
        <f ca="1">IF($A79&lt;$B$5,0,IF($A79&gt;$B$6,0,Fwd_curves!M109))</f>
        <v>41.805659402715769</v>
      </c>
      <c r="G79">
        <f ca="1">IF($A79&lt;$B$5,0,IF($A79&gt;$B$6,0,Fwd_curves!N109))</f>
        <v>3.4255341084575974</v>
      </c>
      <c r="H79" s="12">
        <f ca="1">IF($A79&lt;$B$5,0,IF($A79&gt;$B$6,0,Fwd_curves!O109))</f>
        <v>43.968905876152299</v>
      </c>
      <c r="I79" s="12">
        <f ca="1">IF($A79&lt;$B$5,0,IF($A79&gt;$B$6,0,Fwd_curves!P109))</f>
        <v>37.630522109365693</v>
      </c>
      <c r="J79">
        <f ca="1">IF($A79&lt;$B$5,0,IF($A79&gt;$B$6,0,Fwd_curves!Q109))</f>
        <v>1.3027823963304384</v>
      </c>
      <c r="K79">
        <f t="shared" ca="1" si="1"/>
        <v>22.449001082889204</v>
      </c>
      <c r="L79" s="15">
        <f ca="1">external_curves!AB39</f>
        <v>22</v>
      </c>
      <c r="M79" s="15">
        <f ca="1">external_curves!AA39</f>
        <v>8</v>
      </c>
      <c r="N79" s="71">
        <f t="shared" ca="1" si="2"/>
        <v>7902.048381177</v>
      </c>
      <c r="O79" s="71">
        <f t="shared" ca="1" si="3"/>
        <v>6420.4143097063125</v>
      </c>
      <c r="P79" s="71">
        <f t="shared" ca="1" si="4"/>
        <v>4310.2082079147276</v>
      </c>
      <c r="Q79" s="71">
        <f t="shared" ca="1" si="5"/>
        <v>16163.280779680226</v>
      </c>
      <c r="R79">
        <f t="shared" ca="1" si="6"/>
        <v>3951.0241905885</v>
      </c>
      <c r="T79">
        <f t="shared" ca="1" si="7"/>
        <v>8800</v>
      </c>
      <c r="U79">
        <f t="shared" ca="1" si="8"/>
        <v>7150</v>
      </c>
      <c r="V79">
        <f t="shared" ca="1" si="9"/>
        <v>4800</v>
      </c>
      <c r="W79">
        <f t="shared" ca="1" si="10"/>
        <v>18000</v>
      </c>
      <c r="X79">
        <f t="shared" ca="1" si="11"/>
        <v>4400</v>
      </c>
    </row>
    <row r="80" spans="1:24" x14ac:dyDescent="0.2">
      <c r="A80" s="26">
        <f ca="1">Fwd_curves!A110</f>
        <v>37377</v>
      </c>
      <c r="B80">
        <f ca="1">IF($A80&lt;$B$5,0,IF($A80&gt;$B$6,0,Fwd_curves!H110))</f>
        <v>0.89341044203194964</v>
      </c>
      <c r="C80">
        <f ca="1">IF($A80&lt;$B$5,0,IF($A80&gt;$B$6,0,Fwd_curves!J110))</f>
        <v>29.160916827922836</v>
      </c>
      <c r="D80">
        <f ca="1">IF($A80&lt;$B$5,0,IF($A80&gt;$B$6,0,Fwd_curves!K110))</f>
        <v>34.172949407722072</v>
      </c>
      <c r="E80">
        <f ca="1">IF($A80&lt;$B$5,0,IF($A80&gt;$B$6,0,Fwd_curves!L110))</f>
        <v>51.534372689854074</v>
      </c>
      <c r="F80">
        <f ca="1">IF($A80&lt;$B$5,0,IF($A80&gt;$B$6,0,Fwd_curves!M110))</f>
        <v>41.520785124310137</v>
      </c>
      <c r="G80">
        <f ca="1">IF($A80&lt;$B$5,0,IF($A80&gt;$B$6,0,Fwd_curves!N110))</f>
        <v>3.3141075684793613</v>
      </c>
      <c r="H80" s="12">
        <f ca="1">IF($A80&lt;$B$5,0,IF($A80&gt;$B$6,0,Fwd_curves!O110))</f>
        <v>43.068583720653166</v>
      </c>
      <c r="I80" s="12">
        <f ca="1">IF($A80&lt;$B$5,0,IF($A80&gt;$B$6,0,Fwd_curves!P110))</f>
        <v>32.829827925473225</v>
      </c>
      <c r="J80">
        <f ca="1">IF($A80&lt;$B$5,0,IF($A80&gt;$B$6,0,Fwd_curves!Q110))</f>
        <v>1.2952957509970877</v>
      </c>
      <c r="K80">
        <f t="shared" ca="1" si="1"/>
        <v>22.335261050798742</v>
      </c>
      <c r="L80" s="15">
        <f ca="1">external_curves!AB40</f>
        <v>23</v>
      </c>
      <c r="M80" s="15">
        <f ca="1">external_curves!AA40</f>
        <v>8</v>
      </c>
      <c r="N80" s="71">
        <f t="shared" ca="1" si="2"/>
        <v>8219.3760666939379</v>
      </c>
      <c r="O80" s="71">
        <f t="shared" ca="1" si="3"/>
        <v>6678.2430541888243</v>
      </c>
      <c r="P80" s="71">
        <f t="shared" ca="1" si="4"/>
        <v>4288.370121753358</v>
      </c>
      <c r="Q80" s="71">
        <f t="shared" ca="1" si="5"/>
        <v>16617.434221794265</v>
      </c>
      <c r="R80">
        <f t="shared" ca="1" si="6"/>
        <v>4109.688033346969</v>
      </c>
      <c r="T80">
        <f t="shared" ca="1" si="7"/>
        <v>9200</v>
      </c>
      <c r="U80">
        <f t="shared" ca="1" si="8"/>
        <v>7475</v>
      </c>
      <c r="V80">
        <f t="shared" ca="1" si="9"/>
        <v>4800</v>
      </c>
      <c r="W80">
        <f t="shared" ca="1" si="10"/>
        <v>18600</v>
      </c>
      <c r="X80">
        <f t="shared" ca="1" si="11"/>
        <v>4600</v>
      </c>
    </row>
    <row r="81" spans="1:24" x14ac:dyDescent="0.2">
      <c r="A81" s="26">
        <f ca="1">Fwd_curves!A111</f>
        <v>37408</v>
      </c>
      <c r="B81">
        <f ca="1">IF($A81&lt;$B$5,0,IF($A81&gt;$B$6,0,Fwd_curves!H111))</f>
        <v>0.88872357302434013</v>
      </c>
      <c r="C81">
        <f ca="1">IF($A81&lt;$B$5,0,IF($A81&gt;$B$6,0,Fwd_curves!J111))</f>
        <v>29.007937423514463</v>
      </c>
      <c r="D81">
        <f ca="1">IF($A81&lt;$B$5,0,IF($A81&gt;$B$6,0,Fwd_curves!K111))</f>
        <v>33.99367666818101</v>
      </c>
      <c r="E81">
        <f ca="1">IF($A81&lt;$B$5,0,IF($A81&gt;$B$6,0,Fwd_curves!L111))</f>
        <v>50.639566899397735</v>
      </c>
      <c r="F81">
        <f ca="1">IF($A81&lt;$B$5,0,IF($A81&gt;$B$6,0,Fwd_curves!M111))</f>
        <v>40.283908049906984</v>
      </c>
      <c r="G81">
        <f ca="1">IF($A81&lt;$B$5,0,IF($A81&gt;$B$6,0,Fwd_curves!N111))</f>
        <v>3.2565637877426195</v>
      </c>
      <c r="H81" s="12">
        <f ca="1">IF($A81&lt;$B$5,0,IF($A81&gt;$B$6,0,Fwd_curves!O111))</f>
        <v>44.100397462354067</v>
      </c>
      <c r="I81" s="12">
        <f ca="1">IF($A81&lt;$B$5,0,IF($A81&gt;$B$6,0,Fwd_curves!P111))</f>
        <v>33.921181632843961</v>
      </c>
      <c r="J81">
        <f ca="1">IF($A81&lt;$B$5,0,IF($A81&gt;$B$6,0,Fwd_curves!Q111))</f>
        <v>1.2876028456161772</v>
      </c>
      <c r="K81">
        <f t="shared" ca="1" si="1"/>
        <v>22.218089325608503</v>
      </c>
      <c r="L81" s="15">
        <f ca="1">external_curves!AB41</f>
        <v>20</v>
      </c>
      <c r="M81" s="15">
        <f ca="1">external_curves!AA41</f>
        <v>10</v>
      </c>
      <c r="N81" s="71">
        <f t="shared" ca="1" si="2"/>
        <v>7109.7885841947209</v>
      </c>
      <c r="O81" s="71">
        <f t="shared" ca="1" si="3"/>
        <v>5776.7032246582112</v>
      </c>
      <c r="P81" s="71">
        <f t="shared" ca="1" si="4"/>
        <v>5332.3414381460407</v>
      </c>
      <c r="Q81" s="71">
        <f t="shared" ca="1" si="5"/>
        <v>15997.024314438122</v>
      </c>
      <c r="R81">
        <f t="shared" ca="1" si="6"/>
        <v>3554.8942920973604</v>
      </c>
      <c r="T81">
        <f t="shared" ca="1" si="7"/>
        <v>8000</v>
      </c>
      <c r="U81">
        <f t="shared" ca="1" si="8"/>
        <v>6500</v>
      </c>
      <c r="V81">
        <f t="shared" ca="1" si="9"/>
        <v>6000</v>
      </c>
      <c r="W81">
        <f t="shared" ca="1" si="10"/>
        <v>18000</v>
      </c>
      <c r="X81">
        <f t="shared" ca="1" si="11"/>
        <v>4000</v>
      </c>
    </row>
    <row r="82" spans="1:24" x14ac:dyDescent="0.2">
      <c r="A82" s="26">
        <f ca="1">Fwd_curves!A112</f>
        <v>37438</v>
      </c>
      <c r="B82">
        <f ca="1">IF($A82&lt;$B$5,0,IF($A82&gt;$B$6,0,Fwd_curves!H112))</f>
        <v>0.88424585983989634</v>
      </c>
      <c r="C82">
        <f ca="1">IF($A82&lt;$B$5,0,IF($A82&gt;$B$6,0,Fwd_curves!J112))</f>
        <v>27.057923311100829</v>
      </c>
      <c r="D82">
        <f ca="1">IF($A82&lt;$B$5,0,IF($A82&gt;$B$6,0,Fwd_curves!K112))</f>
        <v>34.453755682801727</v>
      </c>
      <c r="E82">
        <f ca="1">IF($A82&lt;$B$5,0,IF($A82&gt;$B$6,0,Fwd_curves!L112))</f>
        <v>50.177486216474158</v>
      </c>
      <c r="F82">
        <f ca="1">IF($A82&lt;$B$5,0,IF($A82&gt;$B$6,0,Fwd_curves!M112))</f>
        <v>40.402007940864209</v>
      </c>
      <c r="G82">
        <f ca="1">IF($A82&lt;$B$5,0,IF($A82&gt;$B$6,0,Fwd_curves!N112))</f>
        <v>3.226847988197695</v>
      </c>
      <c r="H82" s="12">
        <f ca="1">IF($A82&lt;$B$5,0,IF($A82&gt;$B$6,0,Fwd_curves!O112))</f>
        <v>78.73238089363501</v>
      </c>
      <c r="I82" s="12">
        <f ca="1">IF($A82&lt;$B$5,0,IF($A82&gt;$B$6,0,Fwd_curves!P112))</f>
        <v>58.809764133807128</v>
      </c>
      <c r="J82">
        <f ca="1">IF($A82&lt;$B$5,0,IF($A82&gt;$B$6,0,Fwd_curves!Q112))</f>
        <v>1.2802013153436587</v>
      </c>
      <c r="K82">
        <f t="shared" ca="1" si="1"/>
        <v>22.106146495997407</v>
      </c>
      <c r="L82" s="15">
        <f ca="1">external_curves!AB42</f>
        <v>23</v>
      </c>
      <c r="M82" s="15">
        <f ca="1">external_curves!AA42</f>
        <v>8</v>
      </c>
      <c r="N82" s="71">
        <f t="shared" ca="1" si="2"/>
        <v>8135.0619105270462</v>
      </c>
      <c r="O82" s="71">
        <f t="shared" ca="1" si="3"/>
        <v>6609.7378023032252</v>
      </c>
      <c r="P82" s="71">
        <f t="shared" ca="1" si="4"/>
        <v>4244.3801272315022</v>
      </c>
      <c r="Q82" s="71">
        <f t="shared" ca="1" si="5"/>
        <v>16446.972993022071</v>
      </c>
      <c r="R82">
        <f t="shared" ca="1" si="6"/>
        <v>4067.5309552635231</v>
      </c>
      <c r="T82">
        <f t="shared" ca="1" si="7"/>
        <v>9200</v>
      </c>
      <c r="U82">
        <f t="shared" ca="1" si="8"/>
        <v>7475</v>
      </c>
      <c r="V82">
        <f t="shared" ca="1" si="9"/>
        <v>4800</v>
      </c>
      <c r="W82">
        <f t="shared" ca="1" si="10"/>
        <v>18600</v>
      </c>
      <c r="X82">
        <f t="shared" ca="1" si="11"/>
        <v>4600</v>
      </c>
    </row>
    <row r="83" spans="1:24" x14ac:dyDescent="0.2">
      <c r="A83" s="26">
        <f ca="1">Fwd_curves!A113</f>
        <v>37469</v>
      </c>
      <c r="B83">
        <f ca="1">IF($A83&lt;$B$5,0,IF($A83&gt;$B$6,0,Fwd_curves!H113))</f>
        <v>0.87969045149766145</v>
      </c>
      <c r="C83">
        <f ca="1">IF($A83&lt;$B$5,0,IF($A83&gt;$B$6,0,Fwd_curves!J113))</f>
        <v>26.91852781582844</v>
      </c>
      <c r="D83">
        <f ca="1">IF($A83&lt;$B$5,0,IF($A83&gt;$B$6,0,Fwd_curves!K113))</f>
        <v>36.106718643631218</v>
      </c>
      <c r="E83">
        <f ca="1">IF($A83&lt;$B$5,0,IF($A83&gt;$B$6,0,Fwd_curves!L113))</f>
        <v>49.823497052671186</v>
      </c>
      <c r="F83">
        <f ca="1">IF($A83&lt;$B$5,0,IF($A83&gt;$B$6,0,Fwd_curves!M113))</f>
        <v>40.4228267273527</v>
      </c>
      <c r="G83">
        <f ca="1">IF($A83&lt;$B$5,0,IF($A83&gt;$B$6,0,Fwd_curves!N113))</f>
        <v>3.2040834117473431</v>
      </c>
      <c r="H83" s="12">
        <f ca="1">IF($A83&lt;$B$5,0,IF($A83&gt;$B$6,0,Fwd_curves!O113))</f>
        <v>95.444981851705137</v>
      </c>
      <c r="I83" s="12">
        <f ca="1">IF($A83&lt;$B$5,0,IF($A83&gt;$B$6,0,Fwd_curves!P113))</f>
        <v>74.744367884577784</v>
      </c>
      <c r="J83">
        <f ca="1">IF($A83&lt;$B$5,0,IF($A83&gt;$B$6,0,Fwd_curves!Q113))</f>
        <v>1.2725997580227351</v>
      </c>
      <c r="K83">
        <f t="shared" ca="1" si="1"/>
        <v>21.992261287441536</v>
      </c>
      <c r="L83" s="15">
        <f ca="1">external_curves!AB43</f>
        <v>22</v>
      </c>
      <c r="M83" s="15">
        <f ca="1">external_curves!AA43</f>
        <v>9</v>
      </c>
      <c r="N83" s="71">
        <f t="shared" ca="1" si="2"/>
        <v>7741.2759731794213</v>
      </c>
      <c r="O83" s="71">
        <f t="shared" ca="1" si="3"/>
        <v>6289.7867282082798</v>
      </c>
      <c r="P83" s="71">
        <f t="shared" ca="1" si="4"/>
        <v>4750.328438087372</v>
      </c>
      <c r="Q83" s="71">
        <f t="shared" ca="1" si="5"/>
        <v>16362.242397856502</v>
      </c>
      <c r="R83">
        <f t="shared" ca="1" si="6"/>
        <v>3870.6379865897106</v>
      </c>
      <c r="T83">
        <f t="shared" ca="1" si="7"/>
        <v>8800</v>
      </c>
      <c r="U83">
        <f t="shared" ca="1" si="8"/>
        <v>7150</v>
      </c>
      <c r="V83">
        <f t="shared" ca="1" si="9"/>
        <v>5400</v>
      </c>
      <c r="W83">
        <f t="shared" ca="1" si="10"/>
        <v>18600</v>
      </c>
      <c r="X83">
        <f t="shared" ca="1" si="11"/>
        <v>4400</v>
      </c>
    </row>
    <row r="84" spans="1:24" x14ac:dyDescent="0.2">
      <c r="A84" s="26">
        <f ca="1">Fwd_curves!A114</f>
        <v>37500</v>
      </c>
      <c r="B84">
        <f ca="1">IF($A84&lt;$B$5,0,IF($A84&gt;$B$6,0,Fwd_curves!H114))</f>
        <v>0.87515672846675319</v>
      </c>
      <c r="C84">
        <f ca="1">IF($A84&lt;$B$5,0,IF($A84&gt;$B$6,0,Fwd_curves!J114))</f>
        <v>26.779795891082649</v>
      </c>
      <c r="D84">
        <f ca="1">IF($A84&lt;$B$5,0,IF($A84&gt;$B$6,0,Fwd_curves!K114))</f>
        <v>35.920632888572193</v>
      </c>
      <c r="E84">
        <f ca="1">IF($A84&lt;$B$5,0,IF($A84&gt;$B$6,0,Fwd_curves!L114))</f>
        <v>49.249713039687563</v>
      </c>
      <c r="F84">
        <f ca="1">IF($A84&lt;$B$5,0,IF($A84&gt;$B$6,0,Fwd_curves!M114))</f>
        <v>40.008008326345141</v>
      </c>
      <c r="G84">
        <f ca="1">IF($A84&lt;$B$5,0,IF($A84&gt;$B$6,0,Fwd_curves!N114))</f>
        <v>3.1671841183078819</v>
      </c>
      <c r="H84" s="12">
        <f ca="1">IF($A84&lt;$B$5,0,IF($A84&gt;$B$6,0,Fwd_curves!O114))</f>
        <v>81.595203978892741</v>
      </c>
      <c r="I84" s="12">
        <f ca="1">IF($A84&lt;$B$5,0,IF($A84&gt;$B$6,0,Fwd_curves!P114))</f>
        <v>63.573627596216113</v>
      </c>
      <c r="J84">
        <f ca="1">IF($A84&lt;$B$5,0,IF($A84&gt;$B$6,0,Fwd_curves!Q114))</f>
        <v>1.265041922153376</v>
      </c>
      <c r="K84">
        <f t="shared" ca="1" si="1"/>
        <v>21.878918211668829</v>
      </c>
      <c r="L84" s="15">
        <f ca="1">external_curves!AB44</f>
        <v>21</v>
      </c>
      <c r="M84" s="15">
        <f ca="1">external_curves!AA44</f>
        <v>9</v>
      </c>
      <c r="N84" s="71">
        <f t="shared" ca="1" si="2"/>
        <v>7351.3165191207263</v>
      </c>
      <c r="O84" s="71">
        <f t="shared" ca="1" si="3"/>
        <v>5972.9446717855899</v>
      </c>
      <c r="P84" s="71">
        <f t="shared" ca="1" si="4"/>
        <v>4725.8463337204666</v>
      </c>
      <c r="Q84" s="71">
        <f t="shared" ca="1" si="5"/>
        <v>15752.821112401558</v>
      </c>
      <c r="R84">
        <f t="shared" ca="1" si="6"/>
        <v>3675.6582595603631</v>
      </c>
      <c r="T84">
        <f t="shared" ca="1" si="7"/>
        <v>8400</v>
      </c>
      <c r="U84">
        <f t="shared" ca="1" si="8"/>
        <v>6825</v>
      </c>
      <c r="V84">
        <f t="shared" ca="1" si="9"/>
        <v>5400</v>
      </c>
      <c r="W84">
        <f t="shared" ca="1" si="10"/>
        <v>18000</v>
      </c>
      <c r="X84">
        <f t="shared" ca="1" si="11"/>
        <v>4200</v>
      </c>
    </row>
    <row r="85" spans="1:24" x14ac:dyDescent="0.2">
      <c r="A85" s="26">
        <f ca="1">Fwd_curves!A115</f>
        <v>37530</v>
      </c>
      <c r="B85">
        <f ca="1">IF($A85&lt;$B$5,0,IF($A85&gt;$B$6,0,Fwd_curves!H115))</f>
        <v>0.87078981398590283</v>
      </c>
      <c r="C85">
        <f ca="1">IF($A85&lt;$B$5,0,IF($A85&gt;$B$6,0,Fwd_curves!J115))</f>
        <v>26.646168307968626</v>
      </c>
      <c r="D85">
        <f ca="1">IF($A85&lt;$B$5,0,IF($A85&gt;$B$6,0,Fwd_curves!K115))</f>
        <v>35.52822441062483</v>
      </c>
      <c r="E85">
        <f ca="1">IF($A85&lt;$B$5,0,IF($A85&gt;$B$6,0,Fwd_curves!L115))</f>
        <v>49.279899521003017</v>
      </c>
      <c r="F85">
        <f ca="1">IF($A85&lt;$B$5,0,IF($A85&gt;$B$6,0,Fwd_curves!M115))</f>
        <v>40.133490697896917</v>
      </c>
      <c r="G85">
        <f ca="1">IF($A85&lt;$B$5,0,IF($A85&gt;$B$6,0,Fwd_curves!N115))</f>
        <v>3.1691253711255962</v>
      </c>
      <c r="H85" s="12">
        <f ca="1">IF($A85&lt;$B$5,0,IF($A85&gt;$B$6,0,Fwd_curves!O115))</f>
        <v>61.316705950844913</v>
      </c>
      <c r="I85" s="12">
        <f ca="1">IF($A85&lt;$B$5,0,IF($A85&gt;$B$6,0,Fwd_curves!P115))</f>
        <v>53.026186899757413</v>
      </c>
      <c r="J85">
        <f ca="1">IF($A85&lt;$B$5,0,IF($A85&gt;$B$6,0,Fwd_curves!Q115))</f>
        <v>1.2577785836070752</v>
      </c>
      <c r="K85">
        <f t="shared" ca="1" si="1"/>
        <v>21.769745349647572</v>
      </c>
      <c r="L85" s="15">
        <f ca="1">external_curves!AB45</f>
        <v>23</v>
      </c>
      <c r="M85" s="15">
        <f ca="1">external_curves!AA45</f>
        <v>8</v>
      </c>
      <c r="N85" s="71">
        <f t="shared" ca="1" si="2"/>
        <v>8011.2662886703065</v>
      </c>
      <c r="O85" s="71">
        <f t="shared" ca="1" si="3"/>
        <v>6509.1538595446236</v>
      </c>
      <c r="P85" s="71">
        <f t="shared" ca="1" si="4"/>
        <v>4179.7911071323342</v>
      </c>
      <c r="Q85" s="71">
        <f t="shared" ca="1" si="5"/>
        <v>16196.690540137794</v>
      </c>
      <c r="R85">
        <f t="shared" ca="1" si="6"/>
        <v>4005.6331443351532</v>
      </c>
      <c r="T85">
        <f t="shared" ca="1" si="7"/>
        <v>9200</v>
      </c>
      <c r="U85">
        <f t="shared" ca="1" si="8"/>
        <v>7475</v>
      </c>
      <c r="V85">
        <f t="shared" ca="1" si="9"/>
        <v>4800</v>
      </c>
      <c r="W85">
        <f t="shared" ca="1" si="10"/>
        <v>18600</v>
      </c>
      <c r="X85">
        <f t="shared" ca="1" si="11"/>
        <v>4600</v>
      </c>
    </row>
    <row r="86" spans="1:24" x14ac:dyDescent="0.2">
      <c r="A86" s="26">
        <f ca="1">Fwd_curves!A116</f>
        <v>37561</v>
      </c>
      <c r="B86">
        <f ca="1">IF($A86&lt;$B$5,0,IF($A86&gt;$B$6,0,Fwd_curves!H116))</f>
        <v>0.86629848994563052</v>
      </c>
      <c r="C86">
        <f ca="1">IF($A86&lt;$B$5,0,IF($A86&gt;$B$6,0,Fwd_curves!J116))</f>
        <v>29.159607171569927</v>
      </c>
      <c r="D86">
        <f ca="1">IF($A86&lt;$B$5,0,IF($A86&gt;$B$6,0,Fwd_curves!K116))</f>
        <v>35.344978389781723</v>
      </c>
      <c r="E86">
        <f ca="1">IF($A86&lt;$B$5,0,IF($A86&gt;$B$6,0,Fwd_curves!L116))</f>
        <v>50.617099555176296</v>
      </c>
      <c r="F86">
        <f ca="1">IF($A86&lt;$B$5,0,IF($A86&gt;$B$6,0,Fwd_curves!M116))</f>
        <v>41.028714982716437</v>
      </c>
      <c r="G86">
        <f ca="1">IF($A86&lt;$B$5,0,IF($A86&gt;$B$6,0,Fwd_curves!N116))</f>
        <v>3.2551189424550673</v>
      </c>
      <c r="H86" s="12">
        <f ca="1">IF($A86&lt;$B$5,0,IF($A86&gt;$B$6,0,Fwd_curves!O116))</f>
        <v>55.952268446332141</v>
      </c>
      <c r="I86" s="12">
        <f ca="1">IF($A86&lt;$B$5,0,IF($A86&gt;$B$6,0,Fwd_curves!P116))</f>
        <v>48.229743996275062</v>
      </c>
      <c r="J86">
        <f ca="1">IF($A86&lt;$B$5,0,IF($A86&gt;$B$6,0,Fwd_curves!Q116))</f>
        <v>1.2503300211470869</v>
      </c>
      <c r="K86">
        <f t="shared" ca="1" si="1"/>
        <v>21.657462248640762</v>
      </c>
      <c r="L86" s="15">
        <f ca="1">external_curves!AB46</f>
        <v>21</v>
      </c>
      <c r="M86" s="15">
        <f ca="1">external_curves!AA46</f>
        <v>9</v>
      </c>
      <c r="N86" s="71">
        <f t="shared" ca="1" si="2"/>
        <v>7276.9073155432961</v>
      </c>
      <c r="O86" s="71">
        <f t="shared" ca="1" si="3"/>
        <v>5912.4871938789283</v>
      </c>
      <c r="P86" s="71">
        <f t="shared" ca="1" si="4"/>
        <v>4678.0118457064045</v>
      </c>
      <c r="Q86" s="71">
        <f t="shared" ca="1" si="5"/>
        <v>15593.37281902135</v>
      </c>
      <c r="R86">
        <f t="shared" ca="1" si="6"/>
        <v>3638.4536577716481</v>
      </c>
      <c r="T86">
        <f t="shared" ca="1" si="7"/>
        <v>8400</v>
      </c>
      <c r="U86">
        <f t="shared" ca="1" si="8"/>
        <v>6825</v>
      </c>
      <c r="V86">
        <f t="shared" ca="1" si="9"/>
        <v>5400</v>
      </c>
      <c r="W86">
        <f t="shared" ca="1" si="10"/>
        <v>18000</v>
      </c>
      <c r="X86">
        <f t="shared" ca="1" si="11"/>
        <v>4200</v>
      </c>
    </row>
    <row r="87" spans="1:24" x14ac:dyDescent="0.2">
      <c r="A87" s="26">
        <f ca="1">Fwd_curves!A117</f>
        <v>37591</v>
      </c>
      <c r="B87">
        <f ca="1">IF($A87&lt;$B$5,0,IF($A87&gt;$B$6,0,Fwd_curves!H117))</f>
        <v>0.8619724328990046</v>
      </c>
      <c r="C87">
        <f ca="1">IF($A87&lt;$B$5,0,IF($A87&gt;$B$6,0,Fwd_curves!J117))</f>
        <v>29.013992091380498</v>
      </c>
      <c r="D87">
        <f ca="1">IF($A87&lt;$B$5,0,IF($A87&gt;$B$6,0,Fwd_curves!K117))</f>
        <v>35.168475262279387</v>
      </c>
      <c r="E87">
        <f ca="1">IF($A87&lt;$B$5,0,IF($A87&gt;$B$6,0,Fwd_curves!L117))</f>
        <v>52.165170185773796</v>
      </c>
      <c r="F87">
        <f ca="1">IF($A87&lt;$B$5,0,IF($A87&gt;$B$6,0,Fwd_curves!M117))</f>
        <v>41.754023078128611</v>
      </c>
      <c r="G87">
        <f ca="1">IF($A87&lt;$B$5,0,IF($A87&gt;$B$6,0,Fwd_curves!N117))</f>
        <v>3.3546733238439743</v>
      </c>
      <c r="H87" s="12">
        <f ca="1">IF($A87&lt;$B$5,0,IF($A87&gt;$B$6,0,Fwd_curves!O117))</f>
        <v>55.63158948352762</v>
      </c>
      <c r="I87" s="12">
        <f ca="1">IF($A87&lt;$B$5,0,IF($A87&gt;$B$6,0,Fwd_curves!P117))</f>
        <v>46.541788114200109</v>
      </c>
      <c r="J87">
        <f ca="1">IF($A87&lt;$B$5,0,IF($A87&gt;$B$6,0,Fwd_curves!Q117))</f>
        <v>1.2431640108050865</v>
      </c>
      <c r="K87">
        <f t="shared" ca="1" si="1"/>
        <v>21.549310822475114</v>
      </c>
      <c r="L87" s="15">
        <f ca="1">external_curves!AB47</f>
        <v>22</v>
      </c>
      <c r="M87" s="15">
        <f ca="1">external_curves!AA47</f>
        <v>9</v>
      </c>
      <c r="N87" s="71">
        <f t="shared" ca="1" si="2"/>
        <v>7585.3574095112399</v>
      </c>
      <c r="O87" s="71">
        <f t="shared" ca="1" si="3"/>
        <v>6163.102895227883</v>
      </c>
      <c r="P87" s="71">
        <f t="shared" ca="1" si="4"/>
        <v>4654.651137654625</v>
      </c>
      <c r="Q87" s="71">
        <f t="shared" ca="1" si="5"/>
        <v>16032.687251921485</v>
      </c>
      <c r="R87">
        <f t="shared" ca="1" si="6"/>
        <v>3792.6787047556199</v>
      </c>
      <c r="T87">
        <f t="shared" ca="1" si="7"/>
        <v>8800</v>
      </c>
      <c r="U87">
        <f t="shared" ca="1" si="8"/>
        <v>7150</v>
      </c>
      <c r="V87">
        <f t="shared" ca="1" si="9"/>
        <v>5400</v>
      </c>
      <c r="W87">
        <f t="shared" ca="1" si="10"/>
        <v>18600</v>
      </c>
      <c r="X87">
        <f t="shared" ca="1" si="11"/>
        <v>4400</v>
      </c>
    </row>
    <row r="88" spans="1:24" x14ac:dyDescent="0.2">
      <c r="A88" s="26">
        <f ca="1">Fwd_curves!A118</f>
        <v>37622</v>
      </c>
      <c r="B88">
        <f ca="1">IF($A88&lt;$B$5,0,IF($A88&gt;$B$6,0,Fwd_curves!H118))</f>
        <v>0.85752314923066164</v>
      </c>
      <c r="C88">
        <f ca="1">IF($A88&lt;$B$5,0,IF($A88&gt;$B$6,0,Fwd_curves!J118))</f>
        <v>29.441513787166155</v>
      </c>
      <c r="D88">
        <f ca="1">IF($A88&lt;$B$5,0,IF($A88&gt;$B$6,0,Fwd_curves!K118))</f>
        <v>34.348432751693849</v>
      </c>
      <c r="E88">
        <f ca="1">IF($A88&lt;$B$5,0,IF($A88&gt;$B$6,0,Fwd_curves!L118))</f>
        <v>50.971470791744323</v>
      </c>
      <c r="F88">
        <f ca="1">IF($A88&lt;$B$5,0,IF($A88&gt;$B$6,0,Fwd_curves!M118))</f>
        <v>41.357041500706586</v>
      </c>
      <c r="G88">
        <f ca="1">IF($A88&lt;$B$5,0,IF($A88&gt;$B$6,0,Fwd_curves!N118))</f>
        <v>3.3533862362989688</v>
      </c>
      <c r="H88" s="12">
        <f ca="1">IF($A88&lt;$B$5,0,IF($A88&gt;$B$6,0,Fwd_curves!O118))</f>
        <v>38.927362821374061</v>
      </c>
      <c r="I88" s="12">
        <f ca="1">IF($A88&lt;$B$5,0,IF($A88&gt;$B$6,0,Fwd_curves!P118))</f>
        <v>35.66182282705671</v>
      </c>
      <c r="J88">
        <f ca="1">IF($A88&lt;$B$5,0,IF($A88&gt;$B$6,0,Fwd_curves!Q118))</f>
        <v>1.2357892959166368</v>
      </c>
      <c r="K88">
        <f t="shared" ca="1" si="1"/>
        <v>21.438078730766541</v>
      </c>
      <c r="L88" s="15">
        <f ca="1">external_curves!AB48</f>
        <v>23</v>
      </c>
      <c r="M88" s="15">
        <f ca="1">external_curves!AA48</f>
        <v>8</v>
      </c>
      <c r="N88" s="71">
        <f t="shared" ca="1" si="2"/>
        <v>7889.2129729220869</v>
      </c>
      <c r="O88" s="71">
        <f t="shared" ca="1" si="3"/>
        <v>6409.9855404991958</v>
      </c>
      <c r="P88" s="71">
        <f t="shared" ca="1" si="4"/>
        <v>4116.1111163071764</v>
      </c>
      <c r="Q88" s="71">
        <f t="shared" ca="1" si="5"/>
        <v>15949.930575690309</v>
      </c>
      <c r="R88">
        <f t="shared" ca="1" si="6"/>
        <v>3944.6064864610435</v>
      </c>
      <c r="T88">
        <f t="shared" ca="1" si="7"/>
        <v>9200</v>
      </c>
      <c r="U88">
        <f t="shared" ca="1" si="8"/>
        <v>7475</v>
      </c>
      <c r="V88">
        <f t="shared" ca="1" si="9"/>
        <v>4800</v>
      </c>
      <c r="W88">
        <f t="shared" ca="1" si="10"/>
        <v>18600</v>
      </c>
      <c r="X88">
        <f t="shared" ca="1" si="11"/>
        <v>4600</v>
      </c>
    </row>
    <row r="89" spans="1:24" x14ac:dyDescent="0.2">
      <c r="A89" s="26">
        <f ca="1">Fwd_curves!A119</f>
        <v>37653</v>
      </c>
      <c r="B89">
        <f ca="1">IF($A89&lt;$B$5,0,IF($A89&gt;$B$6,0,Fwd_curves!H119))</f>
        <v>0.85309509375392001</v>
      </c>
      <c r="C89">
        <f ca="1">IF($A89&lt;$B$5,0,IF($A89&gt;$B$6,0,Fwd_curves!J119))</f>
        <v>26.626804066247352</v>
      </c>
      <c r="D89">
        <f ca="1">IF($A89&lt;$B$5,0,IF($A89&gt;$B$6,0,Fwd_curves!K119))</f>
        <v>33.283505082809192</v>
      </c>
      <c r="E89">
        <f ca="1">IF($A89&lt;$B$5,0,IF($A89&gt;$B$6,0,Fwd_curves!L119))</f>
        <v>48.382947870234368</v>
      </c>
      <c r="F89">
        <f ca="1">IF($A89&lt;$B$5,0,IF($A89&gt;$B$6,0,Fwd_curves!M119))</f>
        <v>38.888787120496929</v>
      </c>
      <c r="G89">
        <f ca="1">IF($A89&lt;$B$5,0,IF($A89&gt;$B$6,0,Fwd_curves!N119))</f>
        <v>3.1830886756733139</v>
      </c>
      <c r="H89" s="12">
        <f ca="1">IF($A89&lt;$B$5,0,IF($A89&gt;$B$6,0,Fwd_curves!O119))</f>
        <v>36.239015156068916</v>
      </c>
      <c r="I89" s="12">
        <f ca="1">IF($A89&lt;$B$5,0,IF($A89&gt;$B$6,0,Fwd_curves!P119))</f>
        <v>33.826005672311304</v>
      </c>
      <c r="J89">
        <f ca="1">IF($A89&lt;$B$5,0,IF($A89&gt;$B$6,0,Fwd_curves!Q119))</f>
        <v>1.2284411917311497</v>
      </c>
      <c r="K89">
        <f t="shared" ca="1" si="1"/>
        <v>21.327377343847999</v>
      </c>
      <c r="L89" s="15">
        <f ca="1">external_curves!AB49</f>
        <v>20</v>
      </c>
      <c r="M89" s="15">
        <f ca="1">external_curves!AA49</f>
        <v>8</v>
      </c>
      <c r="N89" s="71">
        <f t="shared" ca="1" si="2"/>
        <v>6824.7607500313597</v>
      </c>
      <c r="O89" s="71">
        <f t="shared" ca="1" si="3"/>
        <v>5545.1181094004796</v>
      </c>
      <c r="P89" s="71">
        <f t="shared" ca="1" si="4"/>
        <v>4094.8564500188158</v>
      </c>
      <c r="Q89" s="71">
        <f t="shared" ca="1" si="5"/>
        <v>14331.997575065854</v>
      </c>
      <c r="R89">
        <f t="shared" ca="1" si="6"/>
        <v>3412.3803750156799</v>
      </c>
      <c r="T89">
        <f t="shared" ca="1" si="7"/>
        <v>8000</v>
      </c>
      <c r="U89">
        <f t="shared" ca="1" si="8"/>
        <v>6500</v>
      </c>
      <c r="V89">
        <f t="shared" ca="1" si="9"/>
        <v>4800</v>
      </c>
      <c r="W89">
        <f t="shared" ca="1" si="10"/>
        <v>16800</v>
      </c>
      <c r="X89">
        <f t="shared" ca="1" si="11"/>
        <v>4000</v>
      </c>
    </row>
    <row r="90" spans="1:24" x14ac:dyDescent="0.2">
      <c r="A90" s="26">
        <f ca="1">Fwd_curves!A120</f>
        <v>37681</v>
      </c>
      <c r="B90">
        <f ca="1">IF($A90&lt;$B$5,0,IF($A90&gt;$B$6,0,Fwd_curves!H120))</f>
        <v>0.84911372966589993</v>
      </c>
      <c r="C90">
        <f ca="1">IF($A90&lt;$B$5,0,IF($A90&gt;$B$6,0,Fwd_curves!J120))</f>
        <v>27.385955654676472</v>
      </c>
      <c r="D90">
        <f ca="1">IF($A90&lt;$B$5,0,IF($A90&gt;$B$6,0,Fwd_curves!K120))</f>
        <v>33.128172162915085</v>
      </c>
      <c r="E90">
        <f ca="1">IF($A90&lt;$B$5,0,IF($A90&gt;$B$6,0,Fwd_curves!L120))</f>
        <v>45.727442330426939</v>
      </c>
      <c r="F90">
        <f ca="1">IF($A90&lt;$B$5,0,IF($A90&gt;$B$6,0,Fwd_curves!M120))</f>
        <v>37.521535607673009</v>
      </c>
      <c r="G90">
        <f ca="1">IF($A90&lt;$B$5,0,IF($A90&gt;$B$6,0,Fwd_curves!N120))</f>
        <v>3.0083843638438781</v>
      </c>
      <c r="H90" s="12">
        <f ca="1">IF($A90&lt;$B$5,0,IF($A90&gt;$B$6,0,Fwd_curves!O120))</f>
        <v>33.600609235071126</v>
      </c>
      <c r="I90" s="12">
        <f ca="1">IF($A90&lt;$B$5,0,IF($A90&gt;$B$6,0,Fwd_curves!P120))</f>
        <v>31.127367910143608</v>
      </c>
      <c r="J90">
        <f ca="1">IF($A90&lt;$B$5,0,IF($A90&gt;$B$6,0,Fwd_curves!Q120))</f>
        <v>1.2218403358207683</v>
      </c>
      <c r="K90">
        <f t="shared" ca="1" si="1"/>
        <v>21.227843241647498</v>
      </c>
      <c r="L90" s="15">
        <f ca="1">external_curves!AB50</f>
        <v>21</v>
      </c>
      <c r="M90" s="15">
        <f ca="1">external_curves!AA50</f>
        <v>10</v>
      </c>
      <c r="N90" s="71">
        <f t="shared" ca="1" si="2"/>
        <v>7132.5553291935594</v>
      </c>
      <c r="O90" s="71">
        <f t="shared" ca="1" si="3"/>
        <v>5795.2012049697669</v>
      </c>
      <c r="P90" s="71">
        <f t="shared" ca="1" si="4"/>
        <v>5094.6823779953993</v>
      </c>
      <c r="Q90" s="71">
        <f t="shared" ca="1" si="5"/>
        <v>15793.515371785739</v>
      </c>
      <c r="R90">
        <f t="shared" ca="1" si="6"/>
        <v>3566.2776645967797</v>
      </c>
      <c r="T90">
        <f t="shared" ca="1" si="7"/>
        <v>8400</v>
      </c>
      <c r="U90">
        <f t="shared" ca="1" si="8"/>
        <v>6825</v>
      </c>
      <c r="V90">
        <f t="shared" ca="1" si="9"/>
        <v>6000</v>
      </c>
      <c r="W90">
        <f t="shared" ca="1" si="10"/>
        <v>18600</v>
      </c>
      <c r="X90">
        <f t="shared" ca="1" si="11"/>
        <v>4200</v>
      </c>
    </row>
    <row r="91" spans="1:24" x14ac:dyDescent="0.2">
      <c r="A91" s="26">
        <f ca="1">Fwd_curves!A121</f>
        <v>37712</v>
      </c>
      <c r="B91">
        <f ca="1">IF($A91&lt;$B$5,0,IF($A91&gt;$B$6,0,Fwd_curves!H121))</f>
        <v>0.84472582347205627</v>
      </c>
      <c r="C91">
        <f ca="1">IF($A91&lt;$B$5,0,IF($A91&gt;$B$6,0,Fwd_curves!J121))</f>
        <v>25.926156028839657</v>
      </c>
      <c r="D91">
        <f ca="1">IF($A91&lt;$B$5,0,IF($A91&gt;$B$6,0,Fwd_curves!K121))</f>
        <v>32.956978002762277</v>
      </c>
      <c r="E91">
        <f ca="1">IF($A91&lt;$B$5,0,IF($A91&gt;$B$6,0,Fwd_curves!L121))</f>
        <v>41.75415706484339</v>
      </c>
      <c r="F91">
        <f ca="1">IF($A91&lt;$B$5,0,IF($A91&gt;$B$6,0,Fwd_curves!M121))</f>
        <v>35.539175728376406</v>
      </c>
      <c r="G91">
        <f ca="1">IF($A91&lt;$B$5,0,IF($A91&gt;$B$6,0,Fwd_curves!N121))</f>
        <v>2.7469840174239071</v>
      </c>
      <c r="H91" s="12">
        <f ca="1">IF($A91&lt;$B$5,0,IF($A91&gt;$B$6,0,Fwd_curves!O121))</f>
        <v>33.097931678414653</v>
      </c>
      <c r="I91" s="12">
        <f ca="1">IF($A91&lt;$B$5,0,IF($A91&gt;$B$6,0,Fwd_curves!P121))</f>
        <v>28.173742188820416</v>
      </c>
      <c r="J91">
        <f ca="1">IF($A91&lt;$B$5,0,IF($A91&gt;$B$6,0,Fwd_curves!Q121))</f>
        <v>1.2146029973730148</v>
      </c>
      <c r="K91">
        <f t="shared" ca="1" si="1"/>
        <v>21.118145586801408</v>
      </c>
      <c r="L91" s="15">
        <f ca="1">external_curves!AB51</f>
        <v>22</v>
      </c>
      <c r="M91" s="15">
        <f ca="1">external_curves!AA51</f>
        <v>8</v>
      </c>
      <c r="N91" s="71">
        <f t="shared" ca="1" si="2"/>
        <v>7433.5872465540951</v>
      </c>
      <c r="O91" s="71">
        <f t="shared" ca="1" si="3"/>
        <v>6039.7896378252026</v>
      </c>
      <c r="P91" s="71">
        <f t="shared" ca="1" si="4"/>
        <v>4054.6839526658705</v>
      </c>
      <c r="Q91" s="71">
        <f t="shared" ca="1" si="5"/>
        <v>15205.064822497014</v>
      </c>
      <c r="R91">
        <f t="shared" ca="1" si="6"/>
        <v>3716.7936232770476</v>
      </c>
      <c r="T91">
        <f t="shared" ca="1" si="7"/>
        <v>8800</v>
      </c>
      <c r="U91">
        <f t="shared" ca="1" si="8"/>
        <v>7150</v>
      </c>
      <c r="V91">
        <f t="shared" ca="1" si="9"/>
        <v>4800</v>
      </c>
      <c r="W91">
        <f t="shared" ca="1" si="10"/>
        <v>18000</v>
      </c>
      <c r="X91">
        <f t="shared" ca="1" si="11"/>
        <v>4400</v>
      </c>
    </row>
    <row r="92" spans="1:24" x14ac:dyDescent="0.2">
      <c r="A92" s="26">
        <f ca="1">Fwd_curves!A122</f>
        <v>37742</v>
      </c>
      <c r="B92">
        <f ca="1">IF($A92&lt;$B$5,0,IF($A92&gt;$B$6,0,Fwd_curves!H122))</f>
        <v>0.84049942335352157</v>
      </c>
      <c r="C92">
        <f ca="1">IF($A92&lt;$B$5,0,IF($A92&gt;$B$6,0,Fwd_curves!J122))</f>
        <v>27.982579201824123</v>
      </c>
      <c r="D92">
        <f ca="1">IF($A92&lt;$B$5,0,IF($A92&gt;$B$6,0,Fwd_curves!K122))</f>
        <v>32.792085002137647</v>
      </c>
      <c r="E92">
        <f ca="1">IF($A92&lt;$B$5,0,IF($A92&gt;$B$6,0,Fwd_curves!L122))</f>
        <v>41.032427571366362</v>
      </c>
      <c r="F92">
        <f ca="1">IF($A92&lt;$B$5,0,IF($A92&gt;$B$6,0,Fwd_curves!M122))</f>
        <v>35.553009146644804</v>
      </c>
      <c r="G92">
        <f ca="1">IF($A92&lt;$B$5,0,IF($A92&gt;$B$6,0,Fwd_curves!N122))</f>
        <v>2.6995018139056817</v>
      </c>
      <c r="H92" s="12">
        <f ca="1">IF($A92&lt;$B$5,0,IF($A92&gt;$B$6,0,Fwd_curves!O122))</f>
        <v>32.305484226476096</v>
      </c>
      <c r="I92" s="12">
        <f ca="1">IF($A92&lt;$B$5,0,IF($A92&gt;$B$6,0,Fwd_curves!P122))</f>
        <v>23.902032722081227</v>
      </c>
      <c r="J92">
        <f ca="1">IF($A92&lt;$B$5,0,IF($A92&gt;$B$6,0,Fwd_curves!Q122))</f>
        <v>1.2076816533262094</v>
      </c>
      <c r="K92">
        <f t="shared" ca="1" si="1"/>
        <v>21.012485583838039</v>
      </c>
      <c r="L92" s="15">
        <f ca="1">external_curves!AB52</f>
        <v>22</v>
      </c>
      <c r="M92" s="15">
        <f ca="1">external_curves!AA52</f>
        <v>9</v>
      </c>
      <c r="N92" s="71">
        <f t="shared" ca="1" si="2"/>
        <v>7396.3949255109901</v>
      </c>
      <c r="O92" s="71">
        <f t="shared" ca="1" si="3"/>
        <v>6009.5708769776793</v>
      </c>
      <c r="P92" s="71">
        <f t="shared" ca="1" si="4"/>
        <v>4538.6968861090163</v>
      </c>
      <c r="Q92" s="71">
        <f t="shared" ca="1" si="5"/>
        <v>15633.2892743755</v>
      </c>
      <c r="R92">
        <f t="shared" ca="1" si="6"/>
        <v>3698.1974627554951</v>
      </c>
      <c r="T92">
        <f t="shared" ca="1" si="7"/>
        <v>8800</v>
      </c>
      <c r="U92">
        <f t="shared" ca="1" si="8"/>
        <v>7150</v>
      </c>
      <c r="V92">
        <f t="shared" ca="1" si="9"/>
        <v>5400</v>
      </c>
      <c r="W92">
        <f t="shared" ca="1" si="10"/>
        <v>18600</v>
      </c>
      <c r="X92">
        <f t="shared" ca="1" si="11"/>
        <v>4400</v>
      </c>
    </row>
    <row r="93" spans="1:24" x14ac:dyDescent="0.2">
      <c r="A93" s="26">
        <f ca="1">Fwd_curves!A123</f>
        <v>37773</v>
      </c>
      <c r="B93">
        <f ca="1">IF($A93&lt;$B$5,0,IF($A93&gt;$B$6,0,Fwd_curves!H123))</f>
        <v>0.83615268111994523</v>
      </c>
      <c r="C93">
        <f ca="1">IF($A93&lt;$B$5,0,IF($A93&gt;$B$6,0,Fwd_curves!J123))</f>
        <v>27.837863981990111</v>
      </c>
      <c r="D93">
        <f ca="1">IF($A93&lt;$B$5,0,IF($A93&gt;$B$6,0,Fwd_curves!K123))</f>
        <v>32.622496853894667</v>
      </c>
      <c r="E93">
        <f ca="1">IF($A93&lt;$B$5,0,IF($A93&gt;$B$6,0,Fwd_curves!L123))</f>
        <v>40.842690245963759</v>
      </c>
      <c r="F93">
        <f ca="1">IF($A93&lt;$B$5,0,IF($A93&gt;$B$6,0,Fwd_curves!M123))</f>
        <v>35.342172766749179</v>
      </c>
      <c r="G93">
        <f ca="1">IF($A93&lt;$B$5,0,IF($A93&gt;$B$6,0,Fwd_curves!N123))</f>
        <v>2.6870190951291946</v>
      </c>
      <c r="H93" s="12">
        <f ca="1">IF($A93&lt;$B$5,0,IF($A93&gt;$B$6,0,Fwd_curves!O123))</f>
        <v>33.315921235154136</v>
      </c>
      <c r="I93" s="12">
        <f ca="1">IF($A93&lt;$B$5,0,IF($A93&gt;$B$6,0,Fwd_curves!P123))</f>
        <v>24.841871599665978</v>
      </c>
      <c r="J93">
        <f ca="1">IF($A93&lt;$B$5,0,IF($A93&gt;$B$6,0,Fwd_curves!Q123))</f>
        <v>1.2005737382037525</v>
      </c>
      <c r="K93">
        <f t="shared" ca="1" si="1"/>
        <v>20.903817027998631</v>
      </c>
      <c r="L93" s="15">
        <f ca="1">external_curves!AB53</f>
        <v>21</v>
      </c>
      <c r="M93" s="15">
        <f ca="1">external_curves!AA53</f>
        <v>9</v>
      </c>
      <c r="N93" s="71">
        <f t="shared" ca="1" si="2"/>
        <v>7023.6825214075398</v>
      </c>
      <c r="O93" s="71">
        <f t="shared" ca="1" si="3"/>
        <v>5706.7420486436267</v>
      </c>
      <c r="P93" s="71">
        <f t="shared" ca="1" si="4"/>
        <v>4515.224478047704</v>
      </c>
      <c r="Q93" s="71">
        <f t="shared" ca="1" si="5"/>
        <v>15050.748260159015</v>
      </c>
      <c r="R93">
        <f t="shared" ca="1" si="6"/>
        <v>3511.8412607037699</v>
      </c>
      <c r="T93">
        <f t="shared" ca="1" si="7"/>
        <v>8400</v>
      </c>
      <c r="U93">
        <f t="shared" ca="1" si="8"/>
        <v>6825</v>
      </c>
      <c r="V93">
        <f t="shared" ca="1" si="9"/>
        <v>5400</v>
      </c>
      <c r="W93">
        <f t="shared" ca="1" si="10"/>
        <v>18000</v>
      </c>
      <c r="X93">
        <f t="shared" ca="1" si="11"/>
        <v>4200</v>
      </c>
    </row>
    <row r="94" spans="1:24" x14ac:dyDescent="0.2">
      <c r="A94" s="26">
        <f ca="1">Fwd_curves!A124</f>
        <v>37803</v>
      </c>
      <c r="B94">
        <f ca="1">IF($A94&lt;$B$5,0,IF($A94&gt;$B$6,0,Fwd_curves!H124))</f>
        <v>0.8319731330072806</v>
      </c>
      <c r="C94">
        <f ca="1">IF($A94&lt;$B$5,0,IF($A94&gt;$B$6,0,Fwd_curves!J124))</f>
        <v>25.967545427423246</v>
      </c>
      <c r="D94">
        <f ca="1">IF($A94&lt;$B$5,0,IF($A94&gt;$B$6,0,Fwd_curves!K124))</f>
        <v>33.065341177585601</v>
      </c>
      <c r="E94">
        <f ca="1">IF($A94&lt;$B$5,0,IF($A94&gt;$B$6,0,Fwd_curves!L124))</f>
        <v>42.318607629578871</v>
      </c>
      <c r="F94">
        <f ca="1">IF($A94&lt;$B$5,0,IF($A94&gt;$B$6,0,Fwd_curves!M124))</f>
        <v>35.886856817778678</v>
      </c>
      <c r="G94">
        <f ca="1">IF($A94&lt;$B$5,0,IF($A94&gt;$B$6,0,Fwd_curves!N124))</f>
        <v>2.7841189229986099</v>
      </c>
      <c r="H94" s="12">
        <f ca="1">IF($A94&lt;$B$5,0,IF($A94&gt;$B$6,0,Fwd_curves!O124))</f>
        <v>66.81923045524367</v>
      </c>
      <c r="I94" s="12">
        <f ca="1">IF($A94&lt;$B$5,0,IF($A94&gt;$B$6,0,Fwd_curves!P124))</f>
        <v>48.93376589659632</v>
      </c>
      <c r="J94">
        <f ca="1">IF($A94&lt;$B$5,0,IF($A94&gt;$B$6,0,Fwd_curves!Q124))</f>
        <v>1.1937334605671042</v>
      </c>
      <c r="K94">
        <f t="shared" ca="1" si="1"/>
        <v>20.799328325182014</v>
      </c>
      <c r="L94" s="15">
        <f ca="1">external_curves!AB54</f>
        <v>23</v>
      </c>
      <c r="M94" s="15">
        <f ca="1">external_curves!AA54</f>
        <v>8</v>
      </c>
      <c r="N94" s="71">
        <f t="shared" ca="1" si="2"/>
        <v>7654.152823666981</v>
      </c>
      <c r="O94" s="71">
        <f t="shared" ca="1" si="3"/>
        <v>6218.9991692294225</v>
      </c>
      <c r="P94" s="71">
        <f t="shared" ca="1" si="4"/>
        <v>3993.4710384349464</v>
      </c>
      <c r="Q94" s="71">
        <f t="shared" ca="1" si="5"/>
        <v>15474.700273935417</v>
      </c>
      <c r="R94">
        <f t="shared" ca="1" si="6"/>
        <v>3827.0764118334905</v>
      </c>
      <c r="T94">
        <f t="shared" ca="1" si="7"/>
        <v>9200</v>
      </c>
      <c r="U94">
        <f t="shared" ca="1" si="8"/>
        <v>7475</v>
      </c>
      <c r="V94">
        <f t="shared" ca="1" si="9"/>
        <v>4800</v>
      </c>
      <c r="W94">
        <f t="shared" ca="1" si="10"/>
        <v>18600</v>
      </c>
      <c r="X94">
        <f t="shared" ca="1" si="11"/>
        <v>4600</v>
      </c>
    </row>
    <row r="95" spans="1:24" x14ac:dyDescent="0.2">
      <c r="A95" s="26">
        <f ca="1">Fwd_curves!A125</f>
        <v>37834</v>
      </c>
      <c r="B95">
        <f ca="1">IF($A95&lt;$B$5,0,IF($A95&gt;$B$6,0,Fwd_curves!H125))</f>
        <v>0.82768255477269825</v>
      </c>
      <c r="C95">
        <f ca="1">IF($A95&lt;$B$5,0,IF($A95&gt;$B$6,0,Fwd_curves!J125))</f>
        <v>25.83362789956546</v>
      </c>
      <c r="D95">
        <f ca="1">IF($A95&lt;$B$5,0,IF($A95&gt;$B$6,0,Fwd_curves!K125))</f>
        <v>34.651506222617137</v>
      </c>
      <c r="E95">
        <f ca="1">IF($A95&lt;$B$5,0,IF($A95&gt;$B$6,0,Fwd_curves!L125))</f>
        <v>42.018254427367346</v>
      </c>
      <c r="F95">
        <f ca="1">IF($A95&lt;$B$5,0,IF($A95&gt;$B$6,0,Fwd_curves!M125))</f>
        <v>35.98729095181524</v>
      </c>
      <c r="G95">
        <f ca="1">IF($A95&lt;$B$5,0,IF($A95&gt;$B$6,0,Fwd_curves!N125))</f>
        <v>2.7643588439057467</v>
      </c>
      <c r="H95" s="12">
        <f ca="1">IF($A95&lt;$B$5,0,IF($A95&gt;$B$6,0,Fwd_curves!O125))</f>
        <v>82.446169685111244</v>
      </c>
      <c r="I95" s="12">
        <f ca="1">IF($A95&lt;$B$5,0,IF($A95&gt;$B$6,0,Fwd_curves!P125))</f>
        <v>63.225174856405225</v>
      </c>
      <c r="J95">
        <f ca="1">IF($A95&lt;$B$5,0,IF($A95&gt;$B$6,0,Fwd_curves!Q125))</f>
        <v>1.1867026942801189</v>
      </c>
      <c r="K95">
        <f t="shared" ca="1" si="1"/>
        <v>20.692063869317458</v>
      </c>
      <c r="L95" s="15">
        <f ca="1">external_curves!AB55</f>
        <v>21</v>
      </c>
      <c r="M95" s="15">
        <f ca="1">external_curves!AA55</f>
        <v>10</v>
      </c>
      <c r="N95" s="71">
        <f t="shared" ca="1" si="2"/>
        <v>6952.5334600906663</v>
      </c>
      <c r="O95" s="71">
        <f t="shared" ca="1" si="3"/>
        <v>5648.9334363236658</v>
      </c>
      <c r="P95" s="71">
        <f t="shared" ca="1" si="4"/>
        <v>4966.0953286361901</v>
      </c>
      <c r="Q95" s="71">
        <f t="shared" ca="1" si="5"/>
        <v>15394.895518772188</v>
      </c>
      <c r="R95">
        <f t="shared" ca="1" si="6"/>
        <v>3476.2667300453331</v>
      </c>
      <c r="T95">
        <f t="shared" ca="1" si="7"/>
        <v>8400</v>
      </c>
      <c r="U95">
        <f t="shared" ca="1" si="8"/>
        <v>6825</v>
      </c>
      <c r="V95">
        <f t="shared" ca="1" si="9"/>
        <v>6000</v>
      </c>
      <c r="W95">
        <f t="shared" ca="1" si="10"/>
        <v>18600</v>
      </c>
      <c r="X95">
        <f t="shared" ca="1" si="11"/>
        <v>4200</v>
      </c>
    </row>
    <row r="96" spans="1:24" x14ac:dyDescent="0.2">
      <c r="A96" s="26">
        <f ca="1">Fwd_curves!A126</f>
        <v>37865</v>
      </c>
      <c r="B96">
        <f ca="1">IF($A96&lt;$B$5,0,IF($A96&gt;$B$6,0,Fwd_curves!H126))</f>
        <v>0.82341324916392333</v>
      </c>
      <c r="C96">
        <f ca="1">IF($A96&lt;$B$5,0,IF($A96&gt;$B$6,0,Fwd_curves!J126))</f>
        <v>25.700374332904378</v>
      </c>
      <c r="D96">
        <f ca="1">IF($A96&lt;$B$5,0,IF($A96&gt;$B$6,0,Fwd_curves!K126))</f>
        <v>34.47276877186907</v>
      </c>
      <c r="E96">
        <f ca="1">IF($A96&lt;$B$5,0,IF($A96&gt;$B$6,0,Fwd_curves!L126))</f>
        <v>41.517471163978236</v>
      </c>
      <c r="F96">
        <f ca="1">IF($A96&lt;$B$5,0,IF($A96&gt;$B$6,0,Fwd_curves!M126))</f>
        <v>35.772482411819958</v>
      </c>
      <c r="G96">
        <f ca="1">IF($A96&lt;$B$5,0,IF($A96&gt;$B$6,0,Fwd_curves!N126))</f>
        <v>2.7314125765775157</v>
      </c>
      <c r="H96" s="12">
        <f ca="1">IF($A96&lt;$B$5,0,IF($A96&gt;$B$6,0,Fwd_curves!O126))</f>
        <v>68.423498784373606</v>
      </c>
      <c r="I96" s="12">
        <f ca="1">IF($A96&lt;$B$5,0,IF($A96&gt;$B$6,0,Fwd_curves!P126))</f>
        <v>53.211722857311237</v>
      </c>
      <c r="J96">
        <f ca="1">IF($A96&lt;$B$5,0,IF($A96&gt;$B$6,0,Fwd_curves!Q126))</f>
        <v>1.1797154962823035</v>
      </c>
      <c r="K96">
        <f t="shared" ca="1" si="1"/>
        <v>20.585331229098085</v>
      </c>
      <c r="L96" s="15">
        <f ca="1">external_curves!AB56</f>
        <v>22</v>
      </c>
      <c r="M96" s="15">
        <f ca="1">external_curves!AA56</f>
        <v>8</v>
      </c>
      <c r="N96" s="71">
        <f t="shared" ca="1" si="2"/>
        <v>7246.0365926425256</v>
      </c>
      <c r="O96" s="71">
        <f t="shared" ca="1" si="3"/>
        <v>5887.4047315220523</v>
      </c>
      <c r="P96" s="71">
        <f t="shared" ca="1" si="4"/>
        <v>3952.383595986832</v>
      </c>
      <c r="Q96" s="71">
        <f t="shared" ca="1" si="5"/>
        <v>14821.43848495062</v>
      </c>
      <c r="R96">
        <f t="shared" ca="1" si="6"/>
        <v>3623.0182963212628</v>
      </c>
      <c r="T96">
        <f t="shared" ca="1" si="7"/>
        <v>8800</v>
      </c>
      <c r="U96">
        <f t="shared" ca="1" si="8"/>
        <v>7150</v>
      </c>
      <c r="V96">
        <f t="shared" ca="1" si="9"/>
        <v>4800</v>
      </c>
      <c r="W96">
        <f t="shared" ca="1" si="10"/>
        <v>18000</v>
      </c>
      <c r="X96">
        <f t="shared" ca="1" si="11"/>
        <v>4400</v>
      </c>
    </row>
    <row r="97" spans="1:24" x14ac:dyDescent="0.2">
      <c r="A97" s="26">
        <f ca="1">Fwd_curves!A127</f>
        <v>37895</v>
      </c>
      <c r="B97">
        <f ca="1">IF($A97&lt;$B$5,0,IF($A97&gt;$B$6,0,Fwd_curves!H127))</f>
        <v>0.81930182243963179</v>
      </c>
      <c r="C97">
        <f ca="1">IF($A97&lt;$B$5,0,IF($A97&gt;$B$6,0,Fwd_curves!J127))</f>
        <v>25.572048481985789</v>
      </c>
      <c r="D97">
        <f ca="1">IF($A97&lt;$B$5,0,IF($A97&gt;$B$6,0,Fwd_curves!K127))</f>
        <v>34.096064642647718</v>
      </c>
      <c r="E97">
        <f ca="1">IF($A97&lt;$B$5,0,IF($A97&gt;$B$6,0,Fwd_curves!L127))</f>
        <v>41.566073667560651</v>
      </c>
      <c r="F97">
        <f ca="1">IF($A97&lt;$B$5,0,IF($A97&gt;$B$6,0,Fwd_curves!M127))</f>
        <v>35.682817798032353</v>
      </c>
      <c r="G97">
        <f ca="1">IF($A97&lt;$B$5,0,IF($A97&gt;$B$6,0,Fwd_curves!N127))</f>
        <v>2.7346101097079378</v>
      </c>
      <c r="H97" s="12">
        <f ca="1">IF($A97&lt;$B$5,0,IF($A97&gt;$B$6,0,Fwd_curves!O127))</f>
        <v>49.558950697116281</v>
      </c>
      <c r="I97" s="12">
        <f ca="1">IF($A97&lt;$B$5,0,IF($A97&gt;$B$6,0,Fwd_curves!P127))</f>
        <v>42.773249742723316</v>
      </c>
      <c r="J97">
        <f ca="1">IF($A97&lt;$B$5,0,IF($A97&gt;$B$6,0,Fwd_curves!Q127))</f>
        <v>1.1729929159080776</v>
      </c>
      <c r="K97">
        <f t="shared" ca="1" si="1"/>
        <v>20.482545560990793</v>
      </c>
      <c r="L97" s="15">
        <f ca="1">external_curves!AB57</f>
        <v>23</v>
      </c>
      <c r="M97" s="15">
        <f ca="1">external_curves!AA57</f>
        <v>8</v>
      </c>
      <c r="N97" s="71">
        <f t="shared" ca="1" si="2"/>
        <v>7537.5767664446121</v>
      </c>
      <c r="O97" s="71">
        <f t="shared" ca="1" si="3"/>
        <v>6124.2811227362472</v>
      </c>
      <c r="P97" s="71">
        <f t="shared" ca="1" si="4"/>
        <v>3932.6487477102323</v>
      </c>
      <c r="Q97" s="71">
        <f t="shared" ca="1" si="5"/>
        <v>15239.01389737715</v>
      </c>
      <c r="R97">
        <f t="shared" ca="1" si="6"/>
        <v>3768.788383222306</v>
      </c>
      <c r="T97">
        <f t="shared" ca="1" si="7"/>
        <v>9200</v>
      </c>
      <c r="U97">
        <f t="shared" ca="1" si="8"/>
        <v>7475</v>
      </c>
      <c r="V97">
        <f t="shared" ca="1" si="9"/>
        <v>4800</v>
      </c>
      <c r="W97">
        <f t="shared" ca="1" si="10"/>
        <v>18600</v>
      </c>
      <c r="X97">
        <f t="shared" ca="1" si="11"/>
        <v>4600</v>
      </c>
    </row>
    <row r="98" spans="1:24" x14ac:dyDescent="0.2">
      <c r="A98" s="26">
        <f ca="1">Fwd_curves!A128</f>
        <v>37926</v>
      </c>
      <c r="B98">
        <f ca="1">IF($A98&lt;$B$5,0,IF($A98&gt;$B$6,0,Fwd_curves!H128))</f>
        <v>0.81507408173182783</v>
      </c>
      <c r="C98">
        <f ca="1">IF($A98&lt;$B$5,0,IF($A98&gt;$B$6,0,Fwd_curves!J128))</f>
        <v>27.984101462915195</v>
      </c>
      <c r="D98">
        <f ca="1">IF($A98&lt;$B$5,0,IF($A98&gt;$B$6,0,Fwd_curves!K128))</f>
        <v>33.920122985351746</v>
      </c>
      <c r="E98">
        <f ca="1">IF($A98&lt;$B$5,0,IF($A98&gt;$B$6,0,Fwd_curves!L128))</f>
        <v>42.722837894286215</v>
      </c>
      <c r="F98">
        <f ca="1">IF($A98&lt;$B$5,0,IF($A98&gt;$B$6,0,Fwd_curves!M128))</f>
        <v>36.513324828781165</v>
      </c>
      <c r="G98">
        <f ca="1">IF($A98&lt;$B$5,0,IF($A98&gt;$B$6,0,Fwd_curves!N128))</f>
        <v>2.8107130193609353</v>
      </c>
      <c r="H98" s="12">
        <f ca="1">IF($A98&lt;$B$5,0,IF($A98&gt;$B$6,0,Fwd_curves!O128))</f>
        <v>44.602786985906057</v>
      </c>
      <c r="I98" s="12">
        <f ca="1">IF($A98&lt;$B$5,0,IF($A98&gt;$B$6,0,Fwd_curves!P128))</f>
        <v>38.242759952730559</v>
      </c>
      <c r="J98">
        <f ca="1">IF($A98&lt;$B$5,0,IF($A98&gt;$B$6,0,Fwd_curves!Q128))</f>
        <v>1.1660859342720538</v>
      </c>
      <c r="K98">
        <f t="shared" ca="1" si="1"/>
        <v>20.376852043295695</v>
      </c>
      <c r="L98" s="15">
        <f ca="1">external_curves!AB58</f>
        <v>20</v>
      </c>
      <c r="M98" s="15">
        <f ca="1">external_curves!AA58</f>
        <v>10</v>
      </c>
      <c r="N98" s="71">
        <f t="shared" ca="1" si="2"/>
        <v>6520.5926538546228</v>
      </c>
      <c r="O98" s="71">
        <f t="shared" ca="1" si="3"/>
        <v>5297.9815312568808</v>
      </c>
      <c r="P98" s="71">
        <f t="shared" ca="1" si="4"/>
        <v>4890.4444903909671</v>
      </c>
      <c r="Q98" s="71">
        <f t="shared" ca="1" si="5"/>
        <v>14671.3334711729</v>
      </c>
      <c r="R98">
        <f t="shared" ca="1" si="6"/>
        <v>3260.2963269273114</v>
      </c>
      <c r="T98">
        <f t="shared" ca="1" si="7"/>
        <v>8000</v>
      </c>
      <c r="U98">
        <f t="shared" ca="1" si="8"/>
        <v>6500</v>
      </c>
      <c r="V98">
        <f t="shared" ca="1" si="9"/>
        <v>6000</v>
      </c>
      <c r="W98">
        <f t="shared" ca="1" si="10"/>
        <v>18000</v>
      </c>
      <c r="X98">
        <f t="shared" ca="1" si="11"/>
        <v>4000</v>
      </c>
    </row>
    <row r="99" spans="1:24" x14ac:dyDescent="0.2">
      <c r="A99" s="26">
        <f ca="1">Fwd_curves!A129</f>
        <v>37956</v>
      </c>
      <c r="B99">
        <f ca="1">IF($A99&lt;$B$5,0,IF($A99&gt;$B$6,0,Fwd_curves!H129))</f>
        <v>0.81100269134901282</v>
      </c>
      <c r="C99">
        <f ca="1">IF($A99&lt;$B$5,0,IF($A99&gt;$B$6,0,Fwd_curves!J129))</f>
        <v>27.844317602623931</v>
      </c>
      <c r="D99">
        <f ca="1">IF($A99&lt;$B$5,0,IF($A99&gt;$B$6,0,Fwd_curves!K129))</f>
        <v>33.750688003180514</v>
      </c>
      <c r="E99">
        <f ca="1">IF($A99&lt;$B$5,0,IF($A99&gt;$B$6,0,Fwd_curves!L129))</f>
        <v>44.155057487660102</v>
      </c>
      <c r="F99">
        <f ca="1">IF($A99&lt;$B$5,0,IF($A99&gt;$B$6,0,Fwd_curves!M129))</f>
        <v>37.436220014720945</v>
      </c>
      <c r="G99">
        <f ca="1">IF($A99&lt;$B$5,0,IF($A99&gt;$B$6,0,Fwd_curves!N129))</f>
        <v>2.9049379926092178</v>
      </c>
      <c r="H99" s="12">
        <f ca="1">IF($A99&lt;$B$5,0,IF($A99&gt;$B$6,0,Fwd_curves!O129))</f>
        <v>44.34866735554165</v>
      </c>
      <c r="I99" s="12">
        <f ca="1">IF($A99&lt;$B$5,0,IF($A99&gt;$B$6,0,Fwd_curves!P129))</f>
        <v>37.270459219732039</v>
      </c>
      <c r="J99">
        <f ca="1">IF($A99&lt;$B$5,0,IF($A99&gt;$B$6,0,Fwd_curves!Q129))</f>
        <v>1.1594422838050105</v>
      </c>
      <c r="K99">
        <f t="shared" ca="1" si="1"/>
        <v>20.275067283725321</v>
      </c>
      <c r="L99" s="15">
        <f ca="1">external_curves!AB59</f>
        <v>23</v>
      </c>
      <c r="M99" s="15">
        <f ca="1">external_curves!AA59</f>
        <v>8</v>
      </c>
      <c r="N99" s="71">
        <f t="shared" ca="1" si="2"/>
        <v>7461.224760410918</v>
      </c>
      <c r="O99" s="71">
        <f t="shared" ca="1" si="3"/>
        <v>6062.2451178338706</v>
      </c>
      <c r="P99" s="71">
        <f t="shared" ca="1" si="4"/>
        <v>3892.8129184752615</v>
      </c>
      <c r="Q99" s="71">
        <f t="shared" ca="1" si="5"/>
        <v>15084.650059091638</v>
      </c>
      <c r="R99">
        <f t="shared" ca="1" si="6"/>
        <v>3730.612380205459</v>
      </c>
      <c r="T99">
        <f t="shared" ca="1" si="7"/>
        <v>9200</v>
      </c>
      <c r="U99">
        <f t="shared" ca="1" si="8"/>
        <v>7475</v>
      </c>
      <c r="V99">
        <f t="shared" ca="1" si="9"/>
        <v>4800</v>
      </c>
      <c r="W99">
        <f t="shared" ca="1" si="10"/>
        <v>18600</v>
      </c>
      <c r="X99">
        <f t="shared" ca="1" si="11"/>
        <v>4600</v>
      </c>
    </row>
    <row r="100" spans="1:24" x14ac:dyDescent="0.2">
      <c r="A100" s="26">
        <f ca="1">Fwd_curves!A130</f>
        <v>37987</v>
      </c>
      <c r="B100">
        <f ca="1">IF($A100&lt;$B$5,0,IF($A100&gt;$B$6,0,Fwd_curves!H130))</f>
        <v>0.80681612837778116</v>
      </c>
      <c r="C100">
        <f ca="1">IF($A100&lt;$B$5,0,IF($A100&gt;$B$6,0,Fwd_curves!J130))</f>
        <v>28.254591088796442</v>
      </c>
      <c r="D100">
        <f ca="1">IF($A100&lt;$B$5,0,IF($A100&gt;$B$6,0,Fwd_curves!K130))</f>
        <v>32.963689603595846</v>
      </c>
      <c r="E100">
        <f ca="1">IF($A100&lt;$B$5,0,IF($A100&gt;$B$6,0,Fwd_curves!L130))</f>
        <v>45.031986683892065</v>
      </c>
      <c r="F100">
        <f ca="1">IF($A100&lt;$B$5,0,IF($A100&gt;$B$6,0,Fwd_curves!M130))</f>
        <v>37.559441261740439</v>
      </c>
      <c r="G100">
        <f ca="1">IF($A100&lt;$B$5,0,IF($A100&gt;$B$6,0,Fwd_curves!N130))</f>
        <v>2.9724083619730735</v>
      </c>
      <c r="H100" s="12">
        <f ca="1">IF($A100&lt;$B$5,0,IF($A100&gt;$B$6,0,Fwd_curves!O130))</f>
        <v>31.40822406385718</v>
      </c>
      <c r="I100" s="12">
        <f ca="1">IF($A100&lt;$B$5,0,IF($A100&gt;$B$6,0,Fwd_curves!P130))</f>
        <v>28.861360082354704</v>
      </c>
      <c r="J100">
        <f ca="1">IF($A100&lt;$B$5,0,IF($A100&gt;$B$6,0,Fwd_curves!Q130))</f>
        <v>1.1525953784901717</v>
      </c>
      <c r="K100">
        <f t="shared" ca="1" si="1"/>
        <v>20.17040320944453</v>
      </c>
      <c r="L100" s="15">
        <f ca="1">external_curves!AB60</f>
        <v>22</v>
      </c>
      <c r="M100" s="15">
        <f ca="1">external_curves!AA60</f>
        <v>9</v>
      </c>
      <c r="N100" s="71">
        <f t="shared" ca="1" si="2"/>
        <v>7099.981929724474</v>
      </c>
      <c r="O100" s="71">
        <f t="shared" ca="1" si="3"/>
        <v>5768.7353179011352</v>
      </c>
      <c r="P100" s="71">
        <f t="shared" ca="1" si="4"/>
        <v>4356.8070932400187</v>
      </c>
      <c r="Q100" s="71">
        <f t="shared" ca="1" si="5"/>
        <v>15006.779987826729</v>
      </c>
      <c r="R100">
        <f t="shared" ca="1" si="6"/>
        <v>3549.990964862237</v>
      </c>
      <c r="T100">
        <f t="shared" ca="1" si="7"/>
        <v>8800</v>
      </c>
      <c r="U100">
        <f t="shared" ca="1" si="8"/>
        <v>7150</v>
      </c>
      <c r="V100">
        <f t="shared" ca="1" si="9"/>
        <v>5400</v>
      </c>
      <c r="W100">
        <f t="shared" ca="1" si="10"/>
        <v>18600</v>
      </c>
      <c r="X100">
        <f t="shared" ca="1" si="11"/>
        <v>4400</v>
      </c>
    </row>
    <row r="101" spans="1:24" x14ac:dyDescent="0.2">
      <c r="A101" s="26">
        <f ca="1">Fwd_curves!A131</f>
        <v>38018</v>
      </c>
      <c r="B101">
        <f ca="1">IF($A101&lt;$B$5,0,IF($A101&gt;$B$6,0,Fwd_curves!H131))</f>
        <v>0.80265034452345108</v>
      </c>
      <c r="C101">
        <f ca="1">IF($A101&lt;$B$5,0,IF($A101&gt;$B$6,0,Fwd_curves!J131))</f>
        <v>25.553369004331277</v>
      </c>
      <c r="D101">
        <f ca="1">IF($A101&lt;$B$5,0,IF($A101&gt;$B$6,0,Fwd_curves!K131))</f>
        <v>31.941711255414095</v>
      </c>
      <c r="E101">
        <f ca="1">IF($A101&lt;$B$5,0,IF($A101&gt;$B$6,0,Fwd_curves!L131))</f>
        <v>42.705468956727536</v>
      </c>
      <c r="F101">
        <f ca="1">IF($A101&lt;$B$5,0,IF($A101&gt;$B$6,0,Fwd_curves!M131))</f>
        <v>35.421980945424231</v>
      </c>
      <c r="G101">
        <f ca="1">IF($A101&lt;$B$5,0,IF($A101&gt;$B$6,0,Fwd_curves!N131))</f>
        <v>2.8188428354275601</v>
      </c>
      <c r="H101" s="12">
        <f ca="1">IF($A101&lt;$B$5,0,IF($A101&gt;$B$6,0,Fwd_curves!O131))</f>
        <v>28.930547111484916</v>
      </c>
      <c r="I101" s="12">
        <f ca="1">IF($A101&lt;$B$5,0,IF($A101&gt;$B$6,0,Fwd_curves!P131))</f>
        <v>26.939805258270592</v>
      </c>
      <c r="J101">
        <f ca="1">IF($A101&lt;$B$5,0,IF($A101&gt;$B$6,0,Fwd_curves!Q131))</f>
        <v>1.1457642420390066</v>
      </c>
      <c r="K101">
        <f t="shared" ca="1" si="1"/>
        <v>20.066258613086276</v>
      </c>
      <c r="L101" s="15">
        <f ca="1">external_curves!AB61</f>
        <v>20</v>
      </c>
      <c r="M101" s="15">
        <f ca="1">external_curves!AA61</f>
        <v>9</v>
      </c>
      <c r="N101" s="71">
        <f t="shared" ca="1" si="2"/>
        <v>6421.2027561876084</v>
      </c>
      <c r="O101" s="71">
        <f t="shared" ca="1" si="3"/>
        <v>5217.2272394024321</v>
      </c>
      <c r="P101" s="71">
        <f t="shared" ca="1" si="4"/>
        <v>4334.3118604266356</v>
      </c>
      <c r="Q101" s="71">
        <f t="shared" ca="1" si="5"/>
        <v>13966.115994708049</v>
      </c>
      <c r="R101">
        <f t="shared" ca="1" si="6"/>
        <v>3210.6013780938042</v>
      </c>
      <c r="T101">
        <f t="shared" ca="1" si="7"/>
        <v>8000</v>
      </c>
      <c r="U101">
        <f t="shared" ca="1" si="8"/>
        <v>6500</v>
      </c>
      <c r="V101">
        <f t="shared" ca="1" si="9"/>
        <v>5400</v>
      </c>
      <c r="W101">
        <f t="shared" ca="1" si="10"/>
        <v>17400</v>
      </c>
      <c r="X101">
        <f t="shared" ca="1" si="11"/>
        <v>4000</v>
      </c>
    </row>
    <row r="102" spans="1:24" x14ac:dyDescent="0.2">
      <c r="A102" s="26">
        <f ca="1">Fwd_curves!A132</f>
        <v>38047</v>
      </c>
      <c r="B102">
        <f ca="1">IF($A102&lt;$B$5,0,IF($A102&gt;$B$6,0,Fwd_curves!H132))</f>
        <v>0.7987720449958905</v>
      </c>
      <c r="C102">
        <f ca="1">IF($A102&lt;$B$5,0,IF($A102&gt;$B$6,0,Fwd_curves!J132))</f>
        <v>26.277561814105972</v>
      </c>
      <c r="D102">
        <f ca="1">IF($A102&lt;$B$5,0,IF($A102&gt;$B$6,0,Fwd_curves!K132))</f>
        <v>31.787373162224966</v>
      </c>
      <c r="E102">
        <f ca="1">IF($A102&lt;$B$5,0,IF($A102&gt;$B$6,0,Fwd_curves!L132))</f>
        <v>44.789614382314717</v>
      </c>
      <c r="F102">
        <f ca="1">IF($A102&lt;$B$5,0,IF($A102&gt;$B$6,0,Fwd_curves!M132))</f>
        <v>36.855947733379715</v>
      </c>
      <c r="G102">
        <f ca="1">IF($A102&lt;$B$5,0,IF($A102&gt;$B$6,0,Fwd_curves!N132))</f>
        <v>2.9564101902517965</v>
      </c>
      <c r="H102" s="12">
        <f ca="1">IF($A102&lt;$B$5,0,IF($A102&gt;$B$6,0,Fwd_curves!O132))</f>
        <v>26.491284573917159</v>
      </c>
      <c r="I102" s="12">
        <f ca="1">IF($A102&lt;$B$5,0,IF($A102&gt;$B$6,0,Fwd_curves!P132))</f>
        <v>24.742351345600973</v>
      </c>
      <c r="J102">
        <f ca="1">IF($A102&lt;$B$5,0,IF($A102&gt;$B$6,0,Fwd_curves!Q132))</f>
        <v>1.1394100892007382</v>
      </c>
      <c r="K102">
        <f t="shared" ca="1" si="1"/>
        <v>19.969301124897264</v>
      </c>
      <c r="L102" s="15">
        <f ca="1">external_curves!AB62</f>
        <v>23</v>
      </c>
      <c r="M102" s="15">
        <f ca="1">external_curves!AA62</f>
        <v>8</v>
      </c>
      <c r="N102" s="71">
        <f t="shared" ca="1" si="2"/>
        <v>7348.7028139621934</v>
      </c>
      <c r="O102" s="71">
        <f t="shared" ca="1" si="3"/>
        <v>5970.8210363442822</v>
      </c>
      <c r="P102" s="71">
        <f t="shared" ca="1" si="4"/>
        <v>3834.1058159802747</v>
      </c>
      <c r="Q102" s="71">
        <f t="shared" ca="1" si="5"/>
        <v>14857.160036923564</v>
      </c>
      <c r="R102">
        <f t="shared" ca="1" si="6"/>
        <v>3674.3514069810967</v>
      </c>
      <c r="T102">
        <f t="shared" ca="1" si="7"/>
        <v>9200</v>
      </c>
      <c r="U102">
        <f t="shared" ca="1" si="8"/>
        <v>7475</v>
      </c>
      <c r="V102">
        <f t="shared" ca="1" si="9"/>
        <v>4800</v>
      </c>
      <c r="W102">
        <f t="shared" ca="1" si="10"/>
        <v>18600</v>
      </c>
      <c r="X102">
        <f t="shared" ca="1" si="11"/>
        <v>4600</v>
      </c>
    </row>
    <row r="103" spans="1:24" x14ac:dyDescent="0.2">
      <c r="A103" s="26">
        <f ca="1">Fwd_curves!A133</f>
        <v>38078</v>
      </c>
      <c r="B103">
        <f ca="1">IF($A103&lt;$B$5,0,IF($A103&gt;$B$6,0,Fwd_curves!H133))</f>
        <v>0.79464619891501265</v>
      </c>
      <c r="C103">
        <f ca="1">IF($A103&lt;$B$5,0,IF($A103&gt;$B$6,0,Fwd_curves!J133))</f>
        <v>24.876904652016982</v>
      </c>
      <c r="D103">
        <f ca="1">IF($A103&lt;$B$5,0,IF($A103&gt;$B$6,0,Fwd_curves!K133))</f>
        <v>31.623183879682607</v>
      </c>
      <c r="E103">
        <f ca="1">IF($A103&lt;$B$5,0,IF($A103&gt;$B$6,0,Fwd_curves!L133))</f>
        <v>41.333540453084353</v>
      </c>
      <c r="F103">
        <f ca="1">IF($A103&lt;$B$5,0,IF($A103&gt;$B$6,0,Fwd_curves!M133))</f>
        <v>34.72137883769409</v>
      </c>
      <c r="G103">
        <f ca="1">IF($A103&lt;$B$5,0,IF($A103&gt;$B$6,0,Fwd_curves!N133))</f>
        <v>2.7282864985534228</v>
      </c>
      <c r="H103" s="12">
        <f ca="1">IF($A103&lt;$B$5,0,IF($A103&gt;$B$6,0,Fwd_curves!O133))</f>
        <v>26.05109754914227</v>
      </c>
      <c r="I103" s="12">
        <f ca="1">IF($A103&lt;$B$5,0,IF($A103&gt;$B$6,0,Fwd_curves!P133))</f>
        <v>21.84926946067738</v>
      </c>
      <c r="J103">
        <f ca="1">IF($A103&lt;$B$5,0,IF($A103&gt;$B$6,0,Fwd_curves!Q133))</f>
        <v>1.1326564151800989</v>
      </c>
      <c r="K103">
        <f t="shared" ca="1" si="1"/>
        <v>19.866154972875314</v>
      </c>
      <c r="L103" s="15">
        <f ca="1">external_curves!AB63</f>
        <v>22</v>
      </c>
      <c r="M103" s="15">
        <f ca="1">external_curves!AA63</f>
        <v>8</v>
      </c>
      <c r="N103" s="71">
        <f t="shared" ca="1" si="2"/>
        <v>6992.8865504521109</v>
      </c>
      <c r="O103" s="71">
        <f t="shared" ca="1" si="3"/>
        <v>5681.7203222423395</v>
      </c>
      <c r="P103" s="71">
        <f t="shared" ca="1" si="4"/>
        <v>3814.3017547920604</v>
      </c>
      <c r="Q103" s="71">
        <f t="shared" ca="1" si="5"/>
        <v>14303.631580470224</v>
      </c>
      <c r="R103">
        <f t="shared" ca="1" si="6"/>
        <v>3496.4432752260554</v>
      </c>
      <c r="T103">
        <f t="shared" ca="1" si="7"/>
        <v>8800</v>
      </c>
      <c r="U103">
        <f t="shared" ca="1" si="8"/>
        <v>7150</v>
      </c>
      <c r="V103">
        <f t="shared" ca="1" si="9"/>
        <v>4800</v>
      </c>
      <c r="W103">
        <f t="shared" ca="1" si="10"/>
        <v>18000</v>
      </c>
      <c r="X103">
        <f t="shared" ca="1" si="11"/>
        <v>4400</v>
      </c>
    </row>
    <row r="104" spans="1:24" x14ac:dyDescent="0.2">
      <c r="A104" s="26">
        <f ca="1">Fwd_curves!A134</f>
        <v>38108</v>
      </c>
      <c r="B104">
        <f ca="1">IF($A104&lt;$B$5,0,IF($A104&gt;$B$6,0,Fwd_curves!H134))</f>
        <v>0.79067295558435902</v>
      </c>
      <c r="C104">
        <f ca="1">IF($A104&lt;$B$5,0,IF($A104&gt;$B$6,0,Fwd_curves!J134))</f>
        <v>26.850190907192523</v>
      </c>
      <c r="D104">
        <f ca="1">IF($A104&lt;$B$5,0,IF($A104&gt;$B$6,0,Fwd_curves!K134))</f>
        <v>31.465067469366247</v>
      </c>
      <c r="E104">
        <f ca="1">IF($A104&lt;$B$5,0,IF($A104&gt;$B$6,0,Fwd_curves!L134))</f>
        <v>40.704464432434818</v>
      </c>
      <c r="F104">
        <f ca="1">IF($A104&lt;$B$5,0,IF($A104&gt;$B$6,0,Fwd_curves!M134))</f>
        <v>34.595629454777338</v>
      </c>
      <c r="G104">
        <f ca="1">IF($A104&lt;$B$5,0,IF($A104&gt;$B$6,0,Fwd_curves!N134))</f>
        <v>2.6867633288735857</v>
      </c>
      <c r="H104" s="12">
        <f ca="1">IF($A104&lt;$B$5,0,IF($A104&gt;$B$6,0,Fwd_curves!O134))</f>
        <v>25.338565693332345</v>
      </c>
      <c r="I104" s="12">
        <f ca="1">IF($A104&lt;$B$5,0,IF($A104&gt;$B$6,0,Fwd_curves!P134))</f>
        <v>17.83084252493758</v>
      </c>
      <c r="J104">
        <f ca="1">IF($A104&lt;$B$5,0,IF($A104&gt;$B$6,0,Fwd_curves!Q134))</f>
        <v>1.1261584752592153</v>
      </c>
      <c r="K104">
        <f t="shared" ca="1" si="1"/>
        <v>19.766823889608975</v>
      </c>
      <c r="L104" s="15">
        <f ca="1">external_curves!AB64</f>
        <v>21</v>
      </c>
      <c r="M104" s="15">
        <f ca="1">external_curves!AA64</f>
        <v>10</v>
      </c>
      <c r="N104" s="71">
        <f t="shared" ca="1" si="2"/>
        <v>6641.6528269086157</v>
      </c>
      <c r="O104" s="71">
        <f t="shared" ca="1" si="3"/>
        <v>5396.34292186325</v>
      </c>
      <c r="P104" s="71">
        <f t="shared" ca="1" si="4"/>
        <v>4744.0377335061539</v>
      </c>
      <c r="Q104" s="71">
        <f t="shared" ca="1" si="5"/>
        <v>14706.516973869078</v>
      </c>
      <c r="R104">
        <f t="shared" ca="1" si="6"/>
        <v>3320.8264134543078</v>
      </c>
      <c r="T104">
        <f t="shared" ca="1" si="7"/>
        <v>8400</v>
      </c>
      <c r="U104">
        <f t="shared" ca="1" si="8"/>
        <v>6825</v>
      </c>
      <c r="V104">
        <f t="shared" ca="1" si="9"/>
        <v>6000</v>
      </c>
      <c r="W104">
        <f t="shared" ca="1" si="10"/>
        <v>18600</v>
      </c>
      <c r="X104">
        <f t="shared" ca="1" si="11"/>
        <v>4200</v>
      </c>
    </row>
    <row r="105" spans="1:24" x14ac:dyDescent="0.2">
      <c r="A105" s="26">
        <f ca="1">Fwd_curves!A135</f>
        <v>38139</v>
      </c>
      <c r="B105">
        <f ca="1">IF($A105&lt;$B$5,0,IF($A105&gt;$B$6,0,Fwd_curves!H135))</f>
        <v>0.786587337351913</v>
      </c>
      <c r="C105">
        <f ca="1">IF($A105&lt;$B$5,0,IF($A105&gt;$B$6,0,Fwd_curves!J135))</f>
        <v>26.711448803089564</v>
      </c>
      <c r="D105">
        <f ca="1">IF($A105&lt;$B$5,0,IF($A105&gt;$B$6,0,Fwd_curves!K135))</f>
        <v>31.302479066120586</v>
      </c>
      <c r="E105">
        <f ca="1">IF($A105&lt;$B$5,0,IF($A105&gt;$B$6,0,Fwd_curves!L135))</f>
        <v>40.554101839901755</v>
      </c>
      <c r="F105">
        <f ca="1">IF($A105&lt;$B$5,0,IF($A105&gt;$B$6,0,Fwd_curves!M135))</f>
        <v>34.703242802339346</v>
      </c>
      <c r="G105">
        <f ca="1">IF($A105&lt;$B$5,0,IF($A105&gt;$B$6,0,Fwd_curves!N135))</f>
        <v>2.6768384052740428</v>
      </c>
      <c r="H105" s="12">
        <f ca="1">IF($A105&lt;$B$5,0,IF($A105&gt;$B$6,0,Fwd_curves!O135))</f>
        <v>26.307843268416988</v>
      </c>
      <c r="I105" s="12">
        <f ca="1">IF($A105&lt;$B$5,0,IF($A105&gt;$B$6,0,Fwd_curves!P135))</f>
        <v>18.987670330609237</v>
      </c>
      <c r="J105">
        <f ca="1">IF($A105&lt;$B$5,0,IF($A105&gt;$B$6,0,Fwd_curves!Q135))</f>
        <v>1.1194826922730634</v>
      </c>
      <c r="K105">
        <f t="shared" ca="1" si="1"/>
        <v>19.664683433797826</v>
      </c>
      <c r="L105" s="15">
        <f ca="1">external_curves!AB65</f>
        <v>22</v>
      </c>
      <c r="M105" s="15">
        <f ca="1">external_curves!AA65</f>
        <v>8</v>
      </c>
      <c r="N105" s="71">
        <f t="shared" ca="1" si="2"/>
        <v>6921.9685686968351</v>
      </c>
      <c r="O105" s="71">
        <f t="shared" ca="1" si="3"/>
        <v>5624.0994620661786</v>
      </c>
      <c r="P105" s="71">
        <f t="shared" ca="1" si="4"/>
        <v>3775.6192192891826</v>
      </c>
      <c r="Q105" s="71">
        <f t="shared" ca="1" si="5"/>
        <v>14158.572072334435</v>
      </c>
      <c r="R105">
        <f t="shared" ca="1" si="6"/>
        <v>3460.9842843484175</v>
      </c>
      <c r="T105">
        <f t="shared" ca="1" si="7"/>
        <v>8800</v>
      </c>
      <c r="U105">
        <f t="shared" ca="1" si="8"/>
        <v>7150</v>
      </c>
      <c r="V105">
        <f t="shared" ca="1" si="9"/>
        <v>4800</v>
      </c>
      <c r="W105">
        <f t="shared" ca="1" si="10"/>
        <v>18000</v>
      </c>
      <c r="X105">
        <f t="shared" ca="1" si="11"/>
        <v>4400</v>
      </c>
    </row>
    <row r="106" spans="1:24" x14ac:dyDescent="0.2">
      <c r="A106" s="26">
        <f ca="1">Fwd_curves!A136</f>
        <v>38169</v>
      </c>
      <c r="B106">
        <f ca="1">IF($A106&lt;$B$5,0,IF($A106&gt;$B$6,0,Fwd_curves!H136))</f>
        <v>0.78265284218410669</v>
      </c>
      <c r="C106">
        <f ca="1">IF($A106&lt;$B$5,0,IF($A106&gt;$B$6,0,Fwd_curves!J136))</f>
        <v>24.916723720455348</v>
      </c>
      <c r="D106">
        <f ca="1">IF($A106&lt;$B$5,0,IF($A106&gt;$B$6,0,Fwd_curves!K136))</f>
        <v>31.727294870713145</v>
      </c>
      <c r="E106">
        <f ca="1">IF($A106&lt;$B$5,0,IF($A106&gt;$B$6,0,Fwd_curves!L136))</f>
        <v>41.303977969784569</v>
      </c>
      <c r="F106">
        <f ca="1">IF($A106&lt;$B$5,0,IF($A106&gt;$B$6,0,Fwd_curves!M136))</f>
        <v>34.64709584978273</v>
      </c>
      <c r="G106">
        <f ca="1">IF($A106&lt;$B$5,0,IF($A106&gt;$B$6,0,Fwd_curves!N136))</f>
        <v>2.7263351795237338</v>
      </c>
      <c r="H106" s="12">
        <f ca="1">IF($A106&lt;$B$5,0,IF($A106&gt;$B$6,0,Fwd_curves!O136))</f>
        <v>58.282580629734063</v>
      </c>
      <c r="I106" s="12">
        <f ca="1">IF($A106&lt;$B$5,0,IF($A106&gt;$B$6,0,Fwd_curves!P136))</f>
        <v>41.820519664240599</v>
      </c>
      <c r="J106">
        <f ca="1">IF($A106&lt;$B$5,0,IF($A106&gt;$B$6,0,Fwd_curves!Q136))</f>
        <v>1.1130595489087431</v>
      </c>
      <c r="K106">
        <f t="shared" ca="1" si="1"/>
        <v>19.566321054602668</v>
      </c>
      <c r="L106" s="15">
        <f ca="1">external_curves!AB66</f>
        <v>22</v>
      </c>
      <c r="M106" s="15">
        <f ca="1">external_curves!AA66</f>
        <v>9</v>
      </c>
      <c r="N106" s="71">
        <f t="shared" ca="1" si="2"/>
        <v>6887.345011220139</v>
      </c>
      <c r="O106" s="71">
        <f t="shared" ca="1" si="3"/>
        <v>5595.9678216163629</v>
      </c>
      <c r="P106" s="71">
        <f t="shared" ca="1" si="4"/>
        <v>4226.3253477941762</v>
      </c>
      <c r="Q106" s="71">
        <f t="shared" ca="1" si="5"/>
        <v>14557.342864624385</v>
      </c>
      <c r="R106">
        <f t="shared" ca="1" si="6"/>
        <v>3443.6725056100695</v>
      </c>
      <c r="T106">
        <f t="shared" ca="1" si="7"/>
        <v>8800</v>
      </c>
      <c r="U106">
        <f t="shared" ca="1" si="8"/>
        <v>7150</v>
      </c>
      <c r="V106">
        <f t="shared" ca="1" si="9"/>
        <v>5400</v>
      </c>
      <c r="W106">
        <f t="shared" ca="1" si="10"/>
        <v>18600</v>
      </c>
      <c r="X106">
        <f t="shared" ca="1" si="11"/>
        <v>4400</v>
      </c>
    </row>
    <row r="107" spans="1:24" x14ac:dyDescent="0.2">
      <c r="A107" s="26">
        <f ca="1">Fwd_curves!A137</f>
        <v>38200</v>
      </c>
      <c r="B107">
        <f ca="1">IF($A107&lt;$B$5,0,IF($A107&gt;$B$6,0,Fwd_curves!H137))</f>
        <v>0.77860707648001004</v>
      </c>
      <c r="C107">
        <f ca="1">IF($A107&lt;$B$5,0,IF($A107&gt;$B$6,0,Fwd_curves!J137))</f>
        <v>24.787921752515956</v>
      </c>
      <c r="D107">
        <f ca="1">IF($A107&lt;$B$5,0,IF($A107&gt;$B$6,0,Fwd_curves!K137))</f>
        <v>33.248865710708067</v>
      </c>
      <c r="E107">
        <f ca="1">IF($A107&lt;$B$5,0,IF($A107&gt;$B$6,0,Fwd_curves!L137))</f>
        <v>40.926729957561456</v>
      </c>
      <c r="F107">
        <f ca="1">IF($A107&lt;$B$5,0,IF($A107&gt;$B$6,0,Fwd_curves!M137))</f>
        <v>34.879890009431968</v>
      </c>
      <c r="G107">
        <f ca="1">IF($A107&lt;$B$5,0,IF($A107&gt;$B$6,0,Fwd_curves!N137))</f>
        <v>2.7014343206311189</v>
      </c>
      <c r="H107" s="12">
        <f ca="1">IF($A107&lt;$B$5,0,IF($A107&gt;$B$6,0,Fwd_curves!O137))</f>
        <v>72.874262213071304</v>
      </c>
      <c r="I107" s="12">
        <f ca="1">IF($A107&lt;$B$5,0,IF($A107&gt;$B$6,0,Fwd_curves!P137))</f>
        <v>55.101887312790559</v>
      </c>
      <c r="J107">
        <f ca="1">IF($A107&lt;$B$5,0,IF($A107&gt;$B$6,0,Fwd_curves!Q137))</f>
        <v>1.1064606143567479</v>
      </c>
      <c r="K107">
        <f t="shared" ca="1" si="1"/>
        <v>19.465176912000253</v>
      </c>
      <c r="L107" s="15">
        <f ca="1">external_curves!AB67</f>
        <v>22</v>
      </c>
      <c r="M107" s="15">
        <f ca="1">external_curves!AA67</f>
        <v>9</v>
      </c>
      <c r="N107" s="71">
        <f t="shared" ca="1" si="2"/>
        <v>6851.7422730240887</v>
      </c>
      <c r="O107" s="71">
        <f t="shared" ca="1" si="3"/>
        <v>5567.040596832072</v>
      </c>
      <c r="P107" s="71">
        <f t="shared" ca="1" si="4"/>
        <v>4204.478212992055</v>
      </c>
      <c r="Q107" s="71">
        <f t="shared" ca="1" si="5"/>
        <v>14482.091622528187</v>
      </c>
      <c r="R107">
        <f t="shared" ca="1" si="6"/>
        <v>3425.8711365120444</v>
      </c>
      <c r="T107">
        <f t="shared" ca="1" si="7"/>
        <v>8800</v>
      </c>
      <c r="U107">
        <f t="shared" ca="1" si="8"/>
        <v>7150</v>
      </c>
      <c r="V107">
        <f t="shared" ca="1" si="9"/>
        <v>5400</v>
      </c>
      <c r="W107">
        <f t="shared" ca="1" si="10"/>
        <v>18600</v>
      </c>
      <c r="X107">
        <f t="shared" ca="1" si="11"/>
        <v>4400</v>
      </c>
    </row>
    <row r="108" spans="1:24" x14ac:dyDescent="0.2">
      <c r="A108" s="26">
        <f ca="1">Fwd_curves!A138</f>
        <v>38231</v>
      </c>
      <c r="B108">
        <f ca="1">IF($A108&lt;$B$5,0,IF($A108&gt;$B$6,0,Fwd_curves!H138))</f>
        <v>0.77458142093374738</v>
      </c>
      <c r="C108">
        <f ca="1">IF($A108&lt;$B$5,0,IF($A108&gt;$B$6,0,Fwd_curves!J138))</f>
        <v>24.659760016387807</v>
      </c>
      <c r="D108">
        <f ca="1">IF($A108&lt;$B$5,0,IF($A108&gt;$B$6,0,Fwd_curves!K138))</f>
        <v>33.076958101981511</v>
      </c>
      <c r="E108">
        <f ca="1">IF($A108&lt;$B$5,0,IF($A108&gt;$B$6,0,Fwd_curves!L138))</f>
        <v>40.505130852449867</v>
      </c>
      <c r="F108">
        <f ca="1">IF($A108&lt;$B$5,0,IF($A108&gt;$B$6,0,Fwd_curves!M138))</f>
        <v>34.650971914620911</v>
      </c>
      <c r="G108">
        <f ca="1">IF($A108&lt;$B$5,0,IF($A108&gt;$B$6,0,Fwd_curves!N138))</f>
        <v>2.6736059968613772</v>
      </c>
      <c r="H108" s="12">
        <f ca="1">IF($A108&lt;$B$5,0,IF($A108&gt;$B$6,0,Fwd_curves!O138))</f>
        <v>59.11964638662316</v>
      </c>
      <c r="I108" s="12">
        <f ca="1">IF($A108&lt;$B$5,0,IF($A108&gt;$B$6,0,Fwd_curves!P138))</f>
        <v>45.419775875118347</v>
      </c>
      <c r="J108">
        <f ca="1">IF($A108&lt;$B$5,0,IF($A108&gt;$B$6,0,Fwd_curves!Q138))</f>
        <v>1.0999003978906636</v>
      </c>
      <c r="K108">
        <f t="shared" ca="1" si="1"/>
        <v>19.364535523343683</v>
      </c>
      <c r="L108" s="15">
        <f ca="1">external_curves!AB68</f>
        <v>22</v>
      </c>
      <c r="M108" s="15">
        <f ca="1">external_curves!AA68</f>
        <v>8</v>
      </c>
      <c r="N108" s="71">
        <f t="shared" ca="1" si="2"/>
        <v>6816.3165042169767</v>
      </c>
      <c r="O108" s="71">
        <f t="shared" ca="1" si="3"/>
        <v>5538.2571596762937</v>
      </c>
      <c r="P108" s="71">
        <f t="shared" ca="1" si="4"/>
        <v>3717.9908204819872</v>
      </c>
      <c r="Q108" s="71">
        <f t="shared" ca="1" si="5"/>
        <v>13942.465576807452</v>
      </c>
      <c r="R108">
        <f t="shared" ca="1" si="6"/>
        <v>3408.1582521084883</v>
      </c>
      <c r="T108">
        <f t="shared" ca="1" si="7"/>
        <v>8800</v>
      </c>
      <c r="U108">
        <f t="shared" ca="1" si="8"/>
        <v>7150</v>
      </c>
      <c r="V108">
        <f t="shared" ca="1" si="9"/>
        <v>4800</v>
      </c>
      <c r="W108">
        <f t="shared" ca="1" si="10"/>
        <v>18000</v>
      </c>
      <c r="X108">
        <f t="shared" ca="1" si="11"/>
        <v>4400</v>
      </c>
    </row>
    <row r="109" spans="1:24" x14ac:dyDescent="0.2">
      <c r="A109" s="26">
        <f ca="1">Fwd_curves!A139</f>
        <v>38261</v>
      </c>
      <c r="B109">
        <f ca="1">IF($A109&lt;$B$5,0,IF($A109&gt;$B$6,0,Fwd_curves!H139))</f>
        <v>0.77070468270895565</v>
      </c>
      <c r="C109">
        <f ca="1">IF($A109&lt;$B$5,0,IF($A109&gt;$B$6,0,Fwd_curves!J139))</f>
        <v>24.536339247846165</v>
      </c>
      <c r="D109">
        <f ca="1">IF($A109&lt;$B$5,0,IF($A109&gt;$B$6,0,Fwd_curves!K139))</f>
        <v>32.715118997128215</v>
      </c>
      <c r="E109">
        <f ca="1">IF($A109&lt;$B$5,0,IF($A109&gt;$B$6,0,Fwd_curves!L139))</f>
        <v>40.532913248830702</v>
      </c>
      <c r="F109">
        <f ca="1">IF($A109&lt;$B$5,0,IF($A109&gt;$B$6,0,Fwd_curves!M139))</f>
        <v>34.398914522252745</v>
      </c>
      <c r="G109">
        <f ca="1">IF($A109&lt;$B$5,0,IF($A109&gt;$B$6,0,Fwd_curves!N139))</f>
        <v>2.6754398184046666</v>
      </c>
      <c r="H109" s="12">
        <f ca="1">IF($A109&lt;$B$5,0,IF($A109&gt;$B$6,0,Fwd_curves!O139))</f>
        <v>41.556361266876031</v>
      </c>
      <c r="I109" s="12">
        <f ca="1">IF($A109&lt;$B$5,0,IF($A109&gt;$B$6,0,Fwd_curves!P139))</f>
        <v>35.357890148369513</v>
      </c>
      <c r="J109">
        <f ca="1">IF($A109&lt;$B$5,0,IF($A109&gt;$B$6,0,Fwd_curves!Q139))</f>
        <v>1.0935884543914747</v>
      </c>
      <c r="K109">
        <f t="shared" ca="1" si="1"/>
        <v>19.26761706772389</v>
      </c>
      <c r="L109" s="15">
        <f ca="1">external_curves!AB69</f>
        <v>21</v>
      </c>
      <c r="M109" s="15">
        <f ca="1">external_curves!AA69</f>
        <v>10</v>
      </c>
      <c r="N109" s="71">
        <f t="shared" ca="1" si="2"/>
        <v>6473.9193347552273</v>
      </c>
      <c r="O109" s="71">
        <f t="shared" ca="1" si="3"/>
        <v>5260.0594594886215</v>
      </c>
      <c r="P109" s="71">
        <f t="shared" ca="1" si="4"/>
        <v>4624.2280962537334</v>
      </c>
      <c r="Q109" s="71">
        <f t="shared" ca="1" si="5"/>
        <v>14335.107098386574</v>
      </c>
      <c r="R109">
        <f t="shared" ca="1" si="6"/>
        <v>3236.9596673776136</v>
      </c>
      <c r="T109">
        <f t="shared" ca="1" si="7"/>
        <v>8400</v>
      </c>
      <c r="U109">
        <f t="shared" ca="1" si="8"/>
        <v>6825</v>
      </c>
      <c r="V109">
        <f t="shared" ca="1" si="9"/>
        <v>6000</v>
      </c>
      <c r="W109">
        <f t="shared" ca="1" si="10"/>
        <v>18600</v>
      </c>
      <c r="X109">
        <f t="shared" ca="1" si="11"/>
        <v>4200</v>
      </c>
    </row>
    <row r="110" spans="1:24" x14ac:dyDescent="0.2">
      <c r="A110" s="26">
        <f ca="1">Fwd_curves!A140</f>
        <v>38292</v>
      </c>
      <c r="B110">
        <f ca="1">IF($A110&lt;$B$5,0,IF($A110&gt;$B$6,0,Fwd_curves!H140))</f>
        <v>0.76671831992154726</v>
      </c>
      <c r="C110">
        <f ca="1">IF($A110&lt;$B$5,0,IF($A110&gt;$B$6,0,Fwd_curves!J140))</f>
        <v>26.850371289961082</v>
      </c>
      <c r="D110">
        <f ca="1">IF($A110&lt;$B$5,0,IF($A110&gt;$B$6,0,Fwd_curves!K140))</f>
        <v>32.545904593892217</v>
      </c>
      <c r="E110">
        <f ca="1">IF($A110&lt;$B$5,0,IF($A110&gt;$B$6,0,Fwd_curves!L140))</f>
        <v>42.381763739513595</v>
      </c>
      <c r="F110">
        <f ca="1">IF($A110&lt;$B$5,0,IF($A110&gt;$B$6,0,Fwd_curves!M140))</f>
        <v>35.962305368568394</v>
      </c>
      <c r="G110">
        <f ca="1">IF($A110&lt;$B$5,0,IF($A110&gt;$B$6,0,Fwd_curves!N140))</f>
        <v>2.7974761544233395</v>
      </c>
      <c r="H110" s="12">
        <f ca="1">IF($A110&lt;$B$5,0,IF($A110&gt;$B$6,0,Fwd_curves!O140))</f>
        <v>36.961528184148655</v>
      </c>
      <c r="I110" s="12">
        <f ca="1">IF($A110&lt;$B$5,0,IF($A110&gt;$B$6,0,Fwd_curves!P140))</f>
        <v>31.763058350079053</v>
      </c>
      <c r="J110">
        <f ca="1">IF($A110&lt;$B$5,0,IF($A110&gt;$B$6,0,Fwd_curves!Q140))</f>
        <v>1.0871037701220192</v>
      </c>
      <c r="K110">
        <f t="shared" ca="1" si="1"/>
        <v>19.167957998038681</v>
      </c>
      <c r="L110" s="15">
        <f ca="1">external_curves!AB70</f>
        <v>22</v>
      </c>
      <c r="M110" s="15">
        <f ca="1">external_curves!AA70</f>
        <v>8</v>
      </c>
      <c r="N110" s="71">
        <f t="shared" ca="1" si="2"/>
        <v>6747.1212153096158</v>
      </c>
      <c r="O110" s="71">
        <f t="shared" ca="1" si="3"/>
        <v>5482.0359874390624</v>
      </c>
      <c r="P110" s="71">
        <f t="shared" ca="1" si="4"/>
        <v>3680.2479356234267</v>
      </c>
      <c r="Q110" s="71">
        <f t="shared" ca="1" si="5"/>
        <v>13800.92975858785</v>
      </c>
      <c r="R110">
        <f t="shared" ca="1" si="6"/>
        <v>3373.5606076548079</v>
      </c>
      <c r="T110">
        <f t="shared" ca="1" si="7"/>
        <v>8800</v>
      </c>
      <c r="U110">
        <f t="shared" ca="1" si="8"/>
        <v>7150</v>
      </c>
      <c r="V110">
        <f t="shared" ca="1" si="9"/>
        <v>4800</v>
      </c>
      <c r="W110">
        <f t="shared" ca="1" si="10"/>
        <v>18000</v>
      </c>
      <c r="X110">
        <f t="shared" ca="1" si="11"/>
        <v>4400</v>
      </c>
    </row>
    <row r="111" spans="1:24" x14ac:dyDescent="0.2">
      <c r="A111" s="26">
        <f ca="1">Fwd_curves!A141</f>
        <v>38322</v>
      </c>
      <c r="B111">
        <f ca="1">IF($A111&lt;$B$5,0,IF($A111&gt;$B$6,0,Fwd_curves!H141))</f>
        <v>0.76287942895708571</v>
      </c>
      <c r="C111">
        <f ca="1">IF($A111&lt;$B$5,0,IF($A111&gt;$B$6,0,Fwd_curves!J141))</f>
        <v>26.715933850474809</v>
      </c>
      <c r="D111">
        <f ca="1">IF($A111&lt;$B$5,0,IF($A111&gt;$B$6,0,Fwd_curves!K141))</f>
        <v>32.382950121787644</v>
      </c>
      <c r="E111">
        <f ca="1">IF($A111&lt;$B$5,0,IF($A111&gt;$B$6,0,Fwd_curves!L141))</f>
        <v>43.631980380770642</v>
      </c>
      <c r="F111">
        <f ca="1">IF($A111&lt;$B$5,0,IF($A111&gt;$B$6,0,Fwd_curves!M141))</f>
        <v>36.545466440852408</v>
      </c>
      <c r="G111">
        <f ca="1">IF($A111&lt;$B$5,0,IF($A111&gt;$B$6,0,Fwd_curves!N141))</f>
        <v>2.8799987050013622</v>
      </c>
      <c r="H111" s="12">
        <f ca="1">IF($A111&lt;$B$5,0,IF($A111&gt;$B$6,0,Fwd_curves!O141))</f>
        <v>36.749393162767667</v>
      </c>
      <c r="I111" s="12">
        <f ca="1">IF($A111&lt;$B$5,0,IF($A111&gt;$B$6,0,Fwd_curves!P141))</f>
        <v>30.618683202818289</v>
      </c>
      <c r="J111">
        <f ca="1">IF($A111&lt;$B$5,0,IF($A111&gt;$B$6,0,Fwd_curves!Q141))</f>
        <v>1.0808645047872845</v>
      </c>
      <c r="K111">
        <f t="shared" ca="1" si="1"/>
        <v>19.071985723927142</v>
      </c>
      <c r="L111" s="15">
        <f ca="1">external_curves!AB71</f>
        <v>23</v>
      </c>
      <c r="M111" s="15">
        <f ca="1">external_curves!AA71</f>
        <v>8</v>
      </c>
      <c r="N111" s="71">
        <f t="shared" ca="1" si="2"/>
        <v>7018.4907464051885</v>
      </c>
      <c r="O111" s="71">
        <f t="shared" ca="1" si="3"/>
        <v>5702.5237314542155</v>
      </c>
      <c r="P111" s="71">
        <f t="shared" ca="1" si="4"/>
        <v>3661.8212589940113</v>
      </c>
      <c r="Q111" s="71">
        <f t="shared" ca="1" si="5"/>
        <v>14189.557378601794</v>
      </c>
      <c r="R111">
        <f t="shared" ca="1" si="6"/>
        <v>3509.2453732025942</v>
      </c>
      <c r="T111">
        <f t="shared" ca="1" si="7"/>
        <v>9200</v>
      </c>
      <c r="U111">
        <f t="shared" ca="1" si="8"/>
        <v>7475</v>
      </c>
      <c r="V111">
        <f t="shared" ca="1" si="9"/>
        <v>4800</v>
      </c>
      <c r="W111">
        <f t="shared" ca="1" si="10"/>
        <v>18600</v>
      </c>
      <c r="X111">
        <f t="shared" ca="1" si="11"/>
        <v>4600</v>
      </c>
    </row>
    <row r="112" spans="1:24" x14ac:dyDescent="0.2">
      <c r="A112" s="26">
        <f ca="1">Fwd_curves!A142</f>
        <v>38353</v>
      </c>
      <c r="B112">
        <f ca="1">IF($A112&lt;$B$5,0,IF($A112&gt;$B$6,0,Fwd_curves!H142))</f>
        <v>0.75893199190489635</v>
      </c>
      <c r="C112">
        <f ca="1">IF($A112&lt;$B$5,0,IF($A112&gt;$B$6,0,Fwd_curves!J142))</f>
        <v>27.109249044593749</v>
      </c>
      <c r="D112">
        <f ca="1">IF($A112&lt;$B$5,0,IF($A112&gt;$B$6,0,Fwd_curves!K142))</f>
        <v>31.627457218692701</v>
      </c>
      <c r="E112">
        <f ca="1">IF($A112&lt;$B$5,0,IF($A112&gt;$B$6,0,Fwd_curves!L142))</f>
        <v>45.597008933143407</v>
      </c>
      <c r="F112">
        <f ca="1">IF($A112&lt;$B$5,0,IF($A112&gt;$B$6,0,Fwd_curves!M142))</f>
        <v>36.916046469777122</v>
      </c>
      <c r="G112">
        <f ca="1">IF($A112&lt;$B$5,0,IF($A112&gt;$B$6,0,Fwd_curves!N142))</f>
        <v>3.0196694657710865</v>
      </c>
      <c r="H112" s="12">
        <f ca="1">IF($A112&lt;$B$5,0,IF($A112&gt;$B$6,0,Fwd_curves!O142))</f>
        <v>25.786907815441882</v>
      </c>
      <c r="I112" s="12">
        <f ca="1">IF($A112&lt;$B$5,0,IF($A112&gt;$B$6,0,Fwd_curves!P142))</f>
        <v>23.782414757207484</v>
      </c>
      <c r="J112">
        <f ca="1">IF($A112&lt;$B$5,0,IF($A112&gt;$B$6,0,Fwd_curves!Q142))</f>
        <v>1.0744544923100783</v>
      </c>
      <c r="K112">
        <f t="shared" ca="1" si="1"/>
        <v>18.97329979762241</v>
      </c>
      <c r="L112" s="15">
        <f ca="1">external_curves!AB72</f>
        <v>21</v>
      </c>
      <c r="M112" s="15">
        <f ca="1">external_curves!AA72</f>
        <v>10</v>
      </c>
      <c r="N112" s="71">
        <f t="shared" ca="1" si="2"/>
        <v>6375.0287320011294</v>
      </c>
      <c r="O112" s="71">
        <f t="shared" ca="1" si="3"/>
        <v>5179.7108447509181</v>
      </c>
      <c r="P112" s="71">
        <f t="shared" ca="1" si="4"/>
        <v>4553.5919514293782</v>
      </c>
      <c r="Q112" s="71">
        <f t="shared" ca="1" si="5"/>
        <v>14116.135049431072</v>
      </c>
      <c r="R112">
        <f t="shared" ca="1" si="6"/>
        <v>3187.5143660005647</v>
      </c>
      <c r="T112">
        <f t="shared" ca="1" si="7"/>
        <v>8400</v>
      </c>
      <c r="U112">
        <f t="shared" ca="1" si="8"/>
        <v>6825</v>
      </c>
      <c r="V112">
        <f t="shared" ca="1" si="9"/>
        <v>6000</v>
      </c>
      <c r="W112">
        <f t="shared" ca="1" si="10"/>
        <v>18600</v>
      </c>
      <c r="X112">
        <f t="shared" ca="1" si="11"/>
        <v>4200</v>
      </c>
    </row>
    <row r="113" spans="1:24" x14ac:dyDescent="0.2">
      <c r="A113" s="26">
        <f ca="1">Fwd_curves!A143</f>
        <v>38384</v>
      </c>
      <c r="B113">
        <f ca="1">IF($A113&lt;$B$5,0,IF($A113&gt;$B$6,0,Fwd_curves!H143))</f>
        <v>0.75500419717451572</v>
      </c>
      <c r="C113">
        <f ca="1">IF($A113&lt;$B$5,0,IF($A113&gt;$B$6,0,Fwd_curves!J143))</f>
        <v>24.517224718700312</v>
      </c>
      <c r="D113">
        <f ca="1">IF($A113&lt;$B$5,0,IF($A113&gt;$B$6,0,Fwd_curves!K143))</f>
        <v>30.646530898375392</v>
      </c>
      <c r="E113">
        <f ca="1">IF($A113&lt;$B$5,0,IF($A113&gt;$B$6,0,Fwd_curves!L143))</f>
        <v>43.538755874577696</v>
      </c>
      <c r="F113">
        <f ca="1">IF($A113&lt;$B$5,0,IF($A113&gt;$B$6,0,Fwd_curves!M143))</f>
        <v>35.326327034739556</v>
      </c>
      <c r="G113">
        <f ca="1">IF($A113&lt;$B$5,0,IF($A113&gt;$B$6,0,Fwd_curves!N143))</f>
        <v>2.8833613161971985</v>
      </c>
      <c r="H113" s="12">
        <f ca="1">IF($A113&lt;$B$5,0,IF($A113&gt;$B$6,0,Fwd_curves!O143))</f>
        <v>23.49780622574254</v>
      </c>
      <c r="I113" s="12">
        <f ca="1">IF($A113&lt;$B$5,0,IF($A113&gt;$B$6,0,Fwd_curves!P143))</f>
        <v>22.213564651716563</v>
      </c>
      <c r="J113">
        <f ca="1">IF($A113&lt;$B$5,0,IF($A113&gt;$B$6,0,Fwd_curves!Q143))</f>
        <v>1.0680821011701154</v>
      </c>
      <c r="K113">
        <f t="shared" ca="1" si="1"/>
        <v>18.875104929362895</v>
      </c>
      <c r="L113" s="15">
        <f ca="1">external_curves!AB73</f>
        <v>20</v>
      </c>
      <c r="M113" s="15">
        <f ca="1">external_curves!AA73</f>
        <v>8</v>
      </c>
      <c r="N113" s="71">
        <f t="shared" ca="1" si="2"/>
        <v>6040.033577396126</v>
      </c>
      <c r="O113" s="71">
        <f t="shared" ca="1" si="3"/>
        <v>4907.5272816343522</v>
      </c>
      <c r="P113" s="71">
        <f t="shared" ca="1" si="4"/>
        <v>3624.020146437676</v>
      </c>
      <c r="Q113" s="71">
        <f t="shared" ca="1" si="5"/>
        <v>12684.070512531865</v>
      </c>
      <c r="R113">
        <f t="shared" ca="1" si="6"/>
        <v>3020.016788698063</v>
      </c>
      <c r="T113">
        <f t="shared" ca="1" si="7"/>
        <v>8000</v>
      </c>
      <c r="U113">
        <f t="shared" ca="1" si="8"/>
        <v>6500</v>
      </c>
      <c r="V113">
        <f t="shared" ca="1" si="9"/>
        <v>4800</v>
      </c>
      <c r="W113">
        <f t="shared" ca="1" si="10"/>
        <v>16800</v>
      </c>
      <c r="X113">
        <f t="shared" ca="1" si="11"/>
        <v>4000</v>
      </c>
    </row>
    <row r="114" spans="1:24" x14ac:dyDescent="0.2">
      <c r="A114" s="26">
        <f ca="1">Fwd_curves!A144</f>
        <v>38412</v>
      </c>
      <c r="B114">
        <f ca="1">IF($A114&lt;$B$5,0,IF($A114&gt;$B$6,0,Fwd_curves!H144))</f>
        <v>0.75147331680682661</v>
      </c>
      <c r="C114">
        <f ca="1">IF($A114&lt;$B$5,0,IF($A114&gt;$B$6,0,Fwd_curves!J144))</f>
        <v>25.215985450300909</v>
      </c>
      <c r="D114">
        <f ca="1">IF($A114&lt;$B$5,0,IF($A114&gt;$B$6,0,Fwd_curves!K144))</f>
        <v>30.503208206009166</v>
      </c>
      <c r="E114">
        <f ca="1">IF($A114&lt;$B$5,0,IF($A114&gt;$B$6,0,Fwd_curves!L144))</f>
        <v>41.316438186530206</v>
      </c>
      <c r="F114">
        <f ca="1">IF($A114&lt;$B$5,0,IF($A114&gt;$B$6,0,Fwd_curves!M144))</f>
        <v>34.544094826683121</v>
      </c>
      <c r="G114">
        <f ca="1">IF($A114&lt;$B$5,0,IF($A114&gt;$B$6,0,Fwd_curves!N144))</f>
        <v>2.7361879593728617</v>
      </c>
      <c r="H114" s="12">
        <f ca="1">IF($A114&lt;$B$5,0,IF($A114&gt;$B$6,0,Fwd_curves!O144))</f>
        <v>21.247170953131153</v>
      </c>
      <c r="I114" s="12">
        <f ca="1">IF($A114&lt;$B$5,0,IF($A114&gt;$B$6,0,Fwd_curves!P144))</f>
        <v>20.044878080648868</v>
      </c>
      <c r="J114">
        <f ca="1">IF($A114&lt;$B$5,0,IF($A114&gt;$B$6,0,Fwd_curves!Q144))</f>
        <v>1.0623585476565578</v>
      </c>
      <c r="K114">
        <f t="shared" ca="1" si="1"/>
        <v>18.786832920170664</v>
      </c>
      <c r="L114" s="15">
        <f ca="1">external_curves!AB74</f>
        <v>23</v>
      </c>
      <c r="M114" s="15">
        <f ca="1">external_curves!AA74</f>
        <v>8</v>
      </c>
      <c r="N114" s="71">
        <f t="shared" ca="1" si="2"/>
        <v>6913.5545146228042</v>
      </c>
      <c r="O114" s="71">
        <f t="shared" ca="1" si="3"/>
        <v>5617.2630431310281</v>
      </c>
      <c r="P114" s="71">
        <f t="shared" ca="1" si="4"/>
        <v>3607.0719206727672</v>
      </c>
      <c r="Q114" s="71">
        <f t="shared" ca="1" si="5"/>
        <v>13977.403692606973</v>
      </c>
      <c r="R114">
        <f t="shared" ca="1" si="6"/>
        <v>3456.7772573114021</v>
      </c>
      <c r="T114">
        <f t="shared" ca="1" si="7"/>
        <v>9200</v>
      </c>
      <c r="U114">
        <f t="shared" ca="1" si="8"/>
        <v>7475</v>
      </c>
      <c r="V114">
        <f t="shared" ca="1" si="9"/>
        <v>4800</v>
      </c>
      <c r="W114">
        <f t="shared" ca="1" si="10"/>
        <v>18600</v>
      </c>
      <c r="X114">
        <f t="shared" ca="1" si="11"/>
        <v>4600</v>
      </c>
    </row>
    <row r="115" spans="1:24" x14ac:dyDescent="0.2">
      <c r="A115" s="26">
        <f ca="1">Fwd_curves!A145</f>
        <v>38443</v>
      </c>
      <c r="B115">
        <f ca="1">IF($A115&lt;$B$5,0,IF($A115&gt;$B$6,0,Fwd_curves!H145))</f>
        <v>0.74758264782558725</v>
      </c>
      <c r="C115">
        <f ca="1">IF($A115&lt;$B$5,0,IF($A115&gt;$B$6,0,Fwd_curves!J145))</f>
        <v>23.871621257798907</v>
      </c>
      <c r="D115">
        <f ca="1">IF($A115&lt;$B$5,0,IF($A115&gt;$B$6,0,Fwd_curves!K145))</f>
        <v>30.345281259913868</v>
      </c>
      <c r="E115">
        <f ca="1">IF($A115&lt;$B$5,0,IF($A115&gt;$B$6,0,Fwd_curves!L145))</f>
        <v>38.40213126397007</v>
      </c>
      <c r="F115">
        <f ca="1">IF($A115&lt;$B$5,0,IF($A115&gt;$B$6,0,Fwd_curves!M145))</f>
        <v>32.594623927979939</v>
      </c>
      <c r="G115">
        <f ca="1">IF($A115&lt;$B$5,0,IF($A115&gt;$B$6,0,Fwd_curves!N145))</f>
        <v>2.5431875009251703</v>
      </c>
      <c r="H115" s="12">
        <f ca="1">IF($A115&lt;$B$5,0,IF($A115&gt;$B$6,0,Fwd_curves!O145))</f>
        <v>20.857128829979381</v>
      </c>
      <c r="I115" s="12">
        <f ca="1">IF($A115&lt;$B$5,0,IF($A115&gt;$B$6,0,Fwd_curves!P145))</f>
        <v>17.36775171116853</v>
      </c>
      <c r="J115">
        <f ca="1">IF($A115&lt;$B$5,0,IF($A115&gt;$B$6,0,Fwd_curves!Q145))</f>
        <v>1.0560571559483232</v>
      </c>
      <c r="K115">
        <f t="shared" ca="1" si="1"/>
        <v>18.689566195639681</v>
      </c>
      <c r="L115" s="15">
        <f ca="1">external_curves!AB75</f>
        <v>21</v>
      </c>
      <c r="M115" s="15">
        <f ca="1">external_curves!AA75</f>
        <v>9</v>
      </c>
      <c r="N115" s="71">
        <f t="shared" ca="1" si="2"/>
        <v>6279.6942417349328</v>
      </c>
      <c r="O115" s="71">
        <f t="shared" ca="1" si="3"/>
        <v>5102.2515714096335</v>
      </c>
      <c r="P115" s="71">
        <f t="shared" ca="1" si="4"/>
        <v>4036.9462982581713</v>
      </c>
      <c r="Q115" s="71">
        <f t="shared" ca="1" si="5"/>
        <v>13456.487660860572</v>
      </c>
      <c r="R115">
        <f t="shared" ca="1" si="6"/>
        <v>3139.8471208674664</v>
      </c>
      <c r="T115">
        <f t="shared" ca="1" si="7"/>
        <v>8400</v>
      </c>
      <c r="U115">
        <f t="shared" ca="1" si="8"/>
        <v>6825</v>
      </c>
      <c r="V115">
        <f t="shared" ca="1" si="9"/>
        <v>5400</v>
      </c>
      <c r="W115">
        <f t="shared" ca="1" si="10"/>
        <v>18000</v>
      </c>
      <c r="X115">
        <f t="shared" ca="1" si="11"/>
        <v>4200</v>
      </c>
    </row>
    <row r="116" spans="1:24" x14ac:dyDescent="0.2">
      <c r="A116" s="26">
        <f ca="1">Fwd_curves!A146</f>
        <v>38473</v>
      </c>
      <c r="B116">
        <f ca="1">IF($A116&lt;$B$5,0,IF($A116&gt;$B$6,0,Fwd_curves!H146))</f>
        <v>0.74383592994198322</v>
      </c>
      <c r="C116">
        <f ca="1">IF($A116&lt;$B$5,0,IF($A116&gt;$B$6,0,Fwd_curves!J146))</f>
        <v>25.764861834646705</v>
      </c>
      <c r="D116">
        <f ca="1">IF($A116&lt;$B$5,0,IF($A116&gt;$B$6,0,Fwd_curves!K146))</f>
        <v>30.193197462476615</v>
      </c>
      <c r="E116">
        <f ca="1">IF($A116&lt;$B$5,0,IF($A116&gt;$B$6,0,Fwd_curves!L146))</f>
        <v>37.831599388649892</v>
      </c>
      <c r="F116">
        <f ca="1">IF($A116&lt;$B$5,0,IF($A116&gt;$B$6,0,Fwd_curves!M146))</f>
        <v>32.759501773652595</v>
      </c>
      <c r="G116">
        <f ca="1">IF($A116&lt;$B$5,0,IF($A116&gt;$B$6,0,Fwd_curves!N146))</f>
        <v>2.5054039330231719</v>
      </c>
      <c r="H116" s="12">
        <f ca="1">IF($A116&lt;$B$5,0,IF($A116&gt;$B$6,0,Fwd_curves!O146))</f>
        <v>20.212389449586301</v>
      </c>
      <c r="I116" s="12">
        <f ca="1">IF($A116&lt;$B$5,0,IF($A116&gt;$B$6,0,Fwd_curves!P146))</f>
        <v>13.727545885778937</v>
      </c>
      <c r="J116">
        <f ca="1">IF($A116&lt;$B$5,0,IF($A116&gt;$B$6,0,Fwd_curves!Q146))</f>
        <v>1.0499942571213663</v>
      </c>
      <c r="K116">
        <f t="shared" ca="1" si="1"/>
        <v>18.595898248549581</v>
      </c>
      <c r="L116" s="15">
        <f ca="1">external_curves!AB76</f>
        <v>22</v>
      </c>
      <c r="M116" s="15">
        <f ca="1">external_curves!AA76</f>
        <v>9</v>
      </c>
      <c r="N116" s="71">
        <f t="shared" ca="1" si="2"/>
        <v>6545.7561834894523</v>
      </c>
      <c r="O116" s="71">
        <f t="shared" ca="1" si="3"/>
        <v>5318.4268990851806</v>
      </c>
      <c r="P116" s="71">
        <f t="shared" ca="1" si="4"/>
        <v>4016.7140216867097</v>
      </c>
      <c r="Q116" s="71">
        <f t="shared" ca="1" si="5"/>
        <v>13835.348296920889</v>
      </c>
      <c r="R116">
        <f t="shared" ca="1" si="6"/>
        <v>3272.8780917447261</v>
      </c>
      <c r="T116">
        <f t="shared" ca="1" si="7"/>
        <v>8800</v>
      </c>
      <c r="U116">
        <f t="shared" ca="1" si="8"/>
        <v>7150</v>
      </c>
      <c r="V116">
        <f t="shared" ca="1" si="9"/>
        <v>5400</v>
      </c>
      <c r="W116">
        <f t="shared" ca="1" si="10"/>
        <v>18600</v>
      </c>
      <c r="X116">
        <f t="shared" ca="1" si="11"/>
        <v>4400</v>
      </c>
    </row>
    <row r="117" spans="1:24" x14ac:dyDescent="0.2">
      <c r="A117" s="26">
        <f ca="1">Fwd_curves!A147</f>
        <v>38504</v>
      </c>
      <c r="B117">
        <f ca="1">IF($A117&lt;$B$5,0,IF($A117&gt;$B$6,0,Fwd_curves!H147))</f>
        <v>0.73998329212451386</v>
      </c>
      <c r="C117">
        <f ca="1">IF($A117&lt;$B$5,0,IF($A117&gt;$B$6,0,Fwd_curves!J147))</f>
        <v>25.631414824263953</v>
      </c>
      <c r="D117">
        <f ca="1">IF($A117&lt;$B$5,0,IF($A117&gt;$B$6,0,Fwd_curves!K147))</f>
        <v>30.036814247184324</v>
      </c>
      <c r="E117">
        <f ca="1">IF($A117&lt;$B$5,0,IF($A117&gt;$B$6,0,Fwd_curves!L147))</f>
        <v>37.704799939209273</v>
      </c>
      <c r="F117">
        <f ca="1">IF($A117&lt;$B$5,0,IF($A117&gt;$B$6,0,Fwd_curves!M147))</f>
        <v>32.708731837682649</v>
      </c>
      <c r="G117">
        <f ca="1">IF($A117&lt;$B$5,0,IF($A117&gt;$B$6,0,Fwd_curves!N147))</f>
        <v>2.4970066184906803</v>
      </c>
      <c r="H117" s="12">
        <f ca="1">IF($A117&lt;$B$5,0,IF($A117&gt;$B$6,0,Fwd_curves!O147))</f>
        <v>21.136250338510362</v>
      </c>
      <c r="I117" s="12">
        <f ca="1">IF($A117&lt;$B$5,0,IF($A117&gt;$B$6,0,Fwd_curves!P147))</f>
        <v>14.734488919109692</v>
      </c>
      <c r="J117">
        <f ca="1">IF($A117&lt;$B$5,0,IF($A117&gt;$B$6,0,Fwd_curves!Q147))</f>
        <v>1.0437654488153265</v>
      </c>
      <c r="K117">
        <f t="shared" ref="K117:K180" ca="1" si="12">IF(B117=0,0,$B$9*B117)</f>
        <v>18.499582303112845</v>
      </c>
      <c r="L117" s="15">
        <f ca="1">external_curves!AB77</f>
        <v>22</v>
      </c>
      <c r="M117" s="15">
        <f ca="1">external_curves!AA77</f>
        <v>8</v>
      </c>
      <c r="N117" s="71">
        <f t="shared" ca="1" si="2"/>
        <v>6511.8529706957215</v>
      </c>
      <c r="O117" s="71">
        <f t="shared" ca="1" si="3"/>
        <v>5290.8805386902741</v>
      </c>
      <c r="P117" s="71">
        <f t="shared" ca="1" si="4"/>
        <v>3551.9198021976663</v>
      </c>
      <c r="Q117" s="71">
        <f t="shared" ca="1" si="5"/>
        <v>13319.699258241249</v>
      </c>
      <c r="R117">
        <f t="shared" ca="1" si="6"/>
        <v>3255.9264853478608</v>
      </c>
      <c r="T117">
        <f t="shared" ca="1" si="7"/>
        <v>8800</v>
      </c>
      <c r="U117">
        <f t="shared" ca="1" si="8"/>
        <v>7150</v>
      </c>
      <c r="V117">
        <f t="shared" ca="1" si="9"/>
        <v>4800</v>
      </c>
      <c r="W117">
        <f t="shared" ca="1" si="10"/>
        <v>18000</v>
      </c>
      <c r="X117">
        <f t="shared" ca="1" si="11"/>
        <v>4400</v>
      </c>
    </row>
    <row r="118" spans="1:24" x14ac:dyDescent="0.2">
      <c r="A118" s="26">
        <f ca="1">Fwd_curves!A148</f>
        <v>38534</v>
      </c>
      <c r="B118">
        <f ca="1">IF($A118&lt;$B$5,0,IF($A118&gt;$B$6,0,Fwd_curves!H148))</f>
        <v>0.73626133071794209</v>
      </c>
      <c r="C118">
        <f ca="1">IF($A118&lt;$B$5,0,IF($A118&gt;$B$6,0,Fwd_curves!J148))</f>
        <v>23.908588276004899</v>
      </c>
      <c r="D118">
        <f ca="1">IF($A118&lt;$B$5,0,IF($A118&gt;$B$6,0,Fwd_curves!K148))</f>
        <v>30.443602404779568</v>
      </c>
      <c r="E118">
        <f ca="1">IF($A118&lt;$B$5,0,IF($A118&gt;$B$6,0,Fwd_curves!L148))</f>
        <v>38.400451352632999</v>
      </c>
      <c r="F118">
        <f ca="1">IF($A118&lt;$B$5,0,IF($A118&gt;$B$6,0,Fwd_curves!M148))</f>
        <v>32.561369706990071</v>
      </c>
      <c r="G118">
        <f ca="1">IF($A118&lt;$B$5,0,IF($A118&gt;$B$6,0,Fwd_curves!N148))</f>
        <v>2.5430762485187417</v>
      </c>
      <c r="H118" s="12">
        <f ca="1">IF($A118&lt;$B$5,0,IF($A118&gt;$B$6,0,Fwd_curves!O148))</f>
        <v>51.471220957041197</v>
      </c>
      <c r="I118" s="12">
        <f ca="1">IF($A118&lt;$B$5,0,IF($A118&gt;$B$6,0,Fwd_curves!P148))</f>
        <v>36.128982631075452</v>
      </c>
      <c r="J118">
        <f ca="1">IF($A118&lt;$B$5,0,IF($A118&gt;$B$6,0,Fwd_curves!Q148))</f>
        <v>1.0377262289726048</v>
      </c>
      <c r="K118">
        <f t="shared" ca="1" si="12"/>
        <v>18.406533267948554</v>
      </c>
      <c r="L118" s="15">
        <f ca="1">external_curves!AB78</f>
        <v>21</v>
      </c>
      <c r="M118" s="15">
        <f ca="1">external_curves!AA78</f>
        <v>10</v>
      </c>
      <c r="N118" s="71">
        <f t="shared" ca="1" si="2"/>
        <v>6184.5951780307141</v>
      </c>
      <c r="O118" s="71">
        <f t="shared" ca="1" si="3"/>
        <v>5024.9835821499555</v>
      </c>
      <c r="P118" s="71">
        <f t="shared" ca="1" si="4"/>
        <v>4417.5679843076532</v>
      </c>
      <c r="Q118" s="71">
        <f t="shared" ca="1" si="5"/>
        <v>13694.460751353723</v>
      </c>
      <c r="R118">
        <f t="shared" ca="1" si="6"/>
        <v>3092.2975890153571</v>
      </c>
      <c r="T118">
        <f t="shared" ca="1" si="7"/>
        <v>8400</v>
      </c>
      <c r="U118">
        <f t="shared" ca="1" si="8"/>
        <v>6825</v>
      </c>
      <c r="V118">
        <f t="shared" ca="1" si="9"/>
        <v>6000</v>
      </c>
      <c r="W118">
        <f t="shared" ca="1" si="10"/>
        <v>18600</v>
      </c>
      <c r="X118">
        <f t="shared" ca="1" si="11"/>
        <v>4200</v>
      </c>
    </row>
    <row r="119" spans="1:24" x14ac:dyDescent="0.2">
      <c r="A119" s="26">
        <f ca="1">Fwd_curves!A149</f>
        <v>38565</v>
      </c>
      <c r="B119">
        <f ca="1">IF($A119&lt;$B$5,0,IF($A119&gt;$B$6,0,Fwd_curves!H149))</f>
        <v>0.73242295614959174</v>
      </c>
      <c r="C119">
        <f ca="1">IF($A119&lt;$B$5,0,IF($A119&gt;$B$6,0,Fwd_curves!J149))</f>
        <v>23.78394487375764</v>
      </c>
      <c r="D119">
        <f ca="1">IF($A119&lt;$B$5,0,IF($A119&gt;$B$6,0,Fwd_curves!K149))</f>
        <v>31.902198057333575</v>
      </c>
      <c r="E119">
        <f ca="1">IF($A119&lt;$B$5,0,IF($A119&gt;$B$6,0,Fwd_curves!L149))</f>
        <v>38.052890285357954</v>
      </c>
      <c r="F119">
        <f ca="1">IF($A119&lt;$B$5,0,IF($A119&gt;$B$6,0,Fwd_curves!M149))</f>
        <v>32.936735898912879</v>
      </c>
      <c r="G119">
        <f ca="1">IF($A119&lt;$B$5,0,IF($A119&gt;$B$6,0,Fwd_curves!N149))</f>
        <v>2.5200589592952287</v>
      </c>
      <c r="H119" s="12">
        <f ca="1">IF($A119&lt;$B$5,0,IF($A119&gt;$B$6,0,Fwd_curves!O149))</f>
        <v>65.083656882292502</v>
      </c>
      <c r="I119" s="12">
        <f ca="1">IF($A119&lt;$B$5,0,IF($A119&gt;$B$6,0,Fwd_curves!P149))</f>
        <v>49.137146145489297</v>
      </c>
      <c r="J119">
        <f ca="1">IF($A119&lt;$B$5,0,IF($A119&gt;$B$6,0,Fwd_curves!Q149))</f>
        <v>1.0314367176274564</v>
      </c>
      <c r="K119">
        <f t="shared" ca="1" si="12"/>
        <v>18.310573903739794</v>
      </c>
      <c r="L119" s="15">
        <f ca="1">external_curves!AB79</f>
        <v>23</v>
      </c>
      <c r="M119" s="15">
        <f ca="1">external_curves!AA79</f>
        <v>8</v>
      </c>
      <c r="N119" s="71">
        <f t="shared" ca="1" si="2"/>
        <v>6738.2911965762441</v>
      </c>
      <c r="O119" s="71">
        <f t="shared" ca="1" si="3"/>
        <v>5474.8615972181988</v>
      </c>
      <c r="P119" s="71">
        <f t="shared" ca="1" si="4"/>
        <v>3515.6301895180404</v>
      </c>
      <c r="Q119" s="71">
        <f t="shared" ca="1" si="5"/>
        <v>13623.066984382405</v>
      </c>
      <c r="R119">
        <f t="shared" ca="1" si="6"/>
        <v>3369.1455982881221</v>
      </c>
      <c r="T119">
        <f t="shared" ca="1" si="7"/>
        <v>9200</v>
      </c>
      <c r="U119">
        <f t="shared" ca="1" si="8"/>
        <v>7475</v>
      </c>
      <c r="V119">
        <f t="shared" ca="1" si="9"/>
        <v>4800</v>
      </c>
      <c r="W119">
        <f t="shared" ca="1" si="10"/>
        <v>18600</v>
      </c>
      <c r="X119">
        <f t="shared" ca="1" si="11"/>
        <v>4600</v>
      </c>
    </row>
    <row r="120" spans="1:24" x14ac:dyDescent="0.2">
      <c r="A120" s="26">
        <f ca="1">Fwd_curves!A150</f>
        <v>38596</v>
      </c>
      <c r="B120">
        <f ca="1">IF($A120&lt;$B$5,0,IF($A120&gt;$B$6,0,Fwd_curves!H150))</f>
        <v>0.72860306886812698</v>
      </c>
      <c r="C120">
        <f ca="1">IF($A120&lt;$B$5,0,IF($A120&gt;$B$6,0,Fwd_curves!J150))</f>
        <v>23.659901808526669</v>
      </c>
      <c r="D120">
        <f ca="1">IF($A120&lt;$B$5,0,IF($A120&gt;$B$6,0,Fwd_curves!K150))</f>
        <v>31.73581495917043</v>
      </c>
      <c r="E120">
        <f ca="1">IF($A120&lt;$B$5,0,IF($A120&gt;$B$6,0,Fwd_curves!L150))</f>
        <v>37.649702330904532</v>
      </c>
      <c r="F120">
        <f ca="1">IF($A120&lt;$B$5,0,IF($A120&gt;$B$6,0,Fwd_curves!M150))</f>
        <v>32.652936681860844</v>
      </c>
      <c r="G120">
        <f ca="1">IF($A120&lt;$B$5,0,IF($A120&gt;$B$6,0,Fwd_curves!N150))</f>
        <v>2.4933577702585783</v>
      </c>
      <c r="H120" s="12">
        <f ca="1">IF($A120&lt;$B$5,0,IF($A120&gt;$B$6,0,Fwd_curves!O150))</f>
        <v>51.771620684545233</v>
      </c>
      <c r="I120" s="12">
        <f ca="1">IF($A120&lt;$B$5,0,IF($A120&gt;$B$6,0,Fwd_curves!P150))</f>
        <v>39.492235184448489</v>
      </c>
      <c r="J120">
        <f ca="1">IF($A120&lt;$B$5,0,IF($A120&gt;$B$6,0,Fwd_curves!Q150))</f>
        <v>1.0251806076147572</v>
      </c>
      <c r="K120">
        <f t="shared" ca="1" si="12"/>
        <v>18.215076721703173</v>
      </c>
      <c r="L120" s="15">
        <f ca="1">external_curves!AB80</f>
        <v>22</v>
      </c>
      <c r="M120" s="15">
        <f ca="1">external_curves!AA80</f>
        <v>8</v>
      </c>
      <c r="N120" s="71">
        <f t="shared" ca="1" si="2"/>
        <v>6411.7070060395172</v>
      </c>
      <c r="O120" s="71">
        <f t="shared" ca="1" si="3"/>
        <v>5209.5119424071072</v>
      </c>
      <c r="P120" s="71">
        <f t="shared" ca="1" si="4"/>
        <v>3497.2947305670095</v>
      </c>
      <c r="Q120" s="71">
        <f t="shared" ca="1" si="5"/>
        <v>13114.855239626286</v>
      </c>
      <c r="R120">
        <f t="shared" ca="1" si="6"/>
        <v>3205.8535030197586</v>
      </c>
      <c r="T120">
        <f t="shared" ca="1" si="7"/>
        <v>8800</v>
      </c>
      <c r="U120">
        <f t="shared" ca="1" si="8"/>
        <v>7150</v>
      </c>
      <c r="V120">
        <f t="shared" ca="1" si="9"/>
        <v>4800</v>
      </c>
      <c r="W120">
        <f t="shared" ca="1" si="10"/>
        <v>18000</v>
      </c>
      <c r="X120">
        <f t="shared" ca="1" si="11"/>
        <v>4400</v>
      </c>
    </row>
    <row r="121" spans="1:24" x14ac:dyDescent="0.2">
      <c r="A121" s="26">
        <f ca="1">Fwd_curves!A151</f>
        <v>38626</v>
      </c>
      <c r="B121">
        <f ca="1">IF($A121&lt;$B$5,0,IF($A121&gt;$B$6,0,Fwd_curves!H151))</f>
        <v>0.72492393033071179</v>
      </c>
      <c r="C121">
        <f ca="1">IF($A121&lt;$B$5,0,IF($A121&gt;$B$6,0,Fwd_curves!J151))</f>
        <v>23.540429272306863</v>
      </c>
      <c r="D121">
        <f ca="1">IF($A121&lt;$B$5,0,IF($A121&gt;$B$6,0,Fwd_curves!K151))</f>
        <v>31.387239029742478</v>
      </c>
      <c r="E121">
        <f ca="1">IF($A121&lt;$B$5,0,IF($A121&gt;$B$6,0,Fwd_curves!L151))</f>
        <v>37.663506732563008</v>
      </c>
      <c r="F121">
        <f ca="1">IF($A121&lt;$B$5,0,IF($A121&gt;$B$6,0,Fwd_curves!M151))</f>
        <v>32.449822240627583</v>
      </c>
      <c r="G121">
        <f ca="1">IF($A121&lt;$B$5,0,IF($A121&gt;$B$6,0,Fwd_curves!N151))</f>
        <v>2.4942719690439077</v>
      </c>
      <c r="H121" s="12">
        <f ca="1">IF($A121&lt;$B$5,0,IF($A121&gt;$B$6,0,Fwd_curves!O151))</f>
        <v>35.415739578458471</v>
      </c>
      <c r="I121" s="12">
        <f ca="1">IF($A121&lt;$B$5,0,IF($A121&gt;$B$6,0,Fwd_curves!P151))</f>
        <v>30.067899889655891</v>
      </c>
      <c r="J121">
        <f ca="1">IF($A121&lt;$B$5,0,IF($A121&gt;$B$6,0,Fwd_curves!Q151))</f>
        <v>1.0191579734808192</v>
      </c>
      <c r="K121">
        <f t="shared" ca="1" si="12"/>
        <v>18.123098258267795</v>
      </c>
      <c r="L121" s="15">
        <f ca="1">external_curves!AB81</f>
        <v>21</v>
      </c>
      <c r="M121" s="15">
        <f ca="1">external_curves!AA81</f>
        <v>10</v>
      </c>
      <c r="N121" s="71">
        <f t="shared" ref="N121:N184" ca="1" si="13">(L121*16*$K121)</f>
        <v>6089.3610147779791</v>
      </c>
      <c r="O121" s="71">
        <f t="shared" ref="O121:O184" ca="1" si="14">(L121*13*$K121)</f>
        <v>4947.6058245071081</v>
      </c>
      <c r="P121" s="71">
        <f t="shared" ref="P121:P184" ca="1" si="15">(M121*24*$K121)</f>
        <v>4349.5435819842705</v>
      </c>
      <c r="Q121" s="71">
        <f t="shared" ref="Q121:Q184" ca="1" si="16">((L121+M121)*K121)*24</f>
        <v>13483.58510415124</v>
      </c>
      <c r="R121">
        <f t="shared" ref="R121:R184" ca="1" si="17">L121*8*K121</f>
        <v>3044.6805073889896</v>
      </c>
      <c r="T121">
        <f t="shared" ref="T121:T184" ca="1" si="18">IF(N121=0,0,$L121*16)*$B$9</f>
        <v>8400</v>
      </c>
      <c r="U121">
        <f t="shared" ref="U121:U184" ca="1" si="19">IF(O121=0,0,$L121*13)*$B$9</f>
        <v>6825</v>
      </c>
      <c r="V121">
        <f t="shared" ref="V121:V184" ca="1" si="20">IF(P121=0,0,$M121*24)*$B$9</f>
        <v>6000</v>
      </c>
      <c r="W121">
        <f t="shared" ref="W121:W184" ca="1" si="21">IF(Q121=0,0,($L121+$M121)*24)*$B$9</f>
        <v>18600</v>
      </c>
      <c r="X121">
        <f t="shared" ref="X121:X184" ca="1" si="22">IF(R121=0,0,$L121*8)*$B$9</f>
        <v>4200</v>
      </c>
    </row>
    <row r="122" spans="1:24" x14ac:dyDescent="0.2">
      <c r="A122" s="26">
        <f ca="1">Fwd_curves!A152</f>
        <v>38657</v>
      </c>
      <c r="B122">
        <f ca="1">IF($A122&lt;$B$5,0,IF($A122&gt;$B$6,0,Fwd_curves!H152))</f>
        <v>0.72114018661643298</v>
      </c>
      <c r="C122">
        <f ca="1">IF($A122&lt;$B$5,0,IF($A122&gt;$B$6,0,Fwd_curves!J152))</f>
        <v>25.759315885446952</v>
      </c>
      <c r="D122">
        <f ca="1">IF($A122&lt;$B$5,0,IF($A122&gt;$B$6,0,Fwd_curves!K152))</f>
        <v>31.22341319448115</v>
      </c>
      <c r="E122">
        <f ca="1">IF($A122&lt;$B$5,0,IF($A122&gt;$B$6,0,Fwd_curves!L152))</f>
        <v>38.418592684280249</v>
      </c>
      <c r="F122">
        <f ca="1">IF($A122&lt;$B$5,0,IF($A122&gt;$B$6,0,Fwd_curves!M152))</f>
        <v>33.40538826950791</v>
      </c>
      <c r="G122">
        <f ca="1">IF($A122&lt;$B$5,0,IF($A122&gt;$B$6,0,Fwd_curves!N152))</f>
        <v>2.5442776612106126</v>
      </c>
      <c r="H122" s="12">
        <f ca="1">IF($A122&lt;$B$5,0,IF($A122&gt;$B$6,0,Fwd_curves!O152))</f>
        <v>31.148740339080653</v>
      </c>
      <c r="I122" s="12">
        <f ca="1">IF($A122&lt;$B$5,0,IF($A122&gt;$B$6,0,Fwd_curves!P152))</f>
        <v>26.788760830913944</v>
      </c>
      <c r="J122">
        <f ca="1">IF($A122&lt;$B$5,0,IF($A122&gt;$B$6,0,Fwd_curves!Q152))</f>
        <v>1.0129671654985579</v>
      </c>
      <c r="K122">
        <f t="shared" ca="1" si="12"/>
        <v>18.028504665410825</v>
      </c>
      <c r="L122" s="15">
        <f ca="1">external_curves!AB82</f>
        <v>22</v>
      </c>
      <c r="M122" s="15">
        <f ca="1">external_curves!AA82</f>
        <v>8</v>
      </c>
      <c r="N122" s="71">
        <f t="shared" ca="1" si="13"/>
        <v>6346.03364222461</v>
      </c>
      <c r="O122" s="71">
        <f t="shared" ca="1" si="14"/>
        <v>5156.1523343074959</v>
      </c>
      <c r="P122" s="71">
        <f t="shared" ca="1" si="15"/>
        <v>3461.4728957588786</v>
      </c>
      <c r="Q122" s="71">
        <f t="shared" ca="1" si="16"/>
        <v>12980.523359095794</v>
      </c>
      <c r="R122">
        <f t="shared" ca="1" si="17"/>
        <v>3173.016821112305</v>
      </c>
      <c r="T122">
        <f t="shared" ca="1" si="18"/>
        <v>8800</v>
      </c>
      <c r="U122">
        <f t="shared" ca="1" si="19"/>
        <v>7150</v>
      </c>
      <c r="V122">
        <f t="shared" ca="1" si="20"/>
        <v>4800</v>
      </c>
      <c r="W122">
        <f t="shared" ca="1" si="21"/>
        <v>18000</v>
      </c>
      <c r="X122">
        <f t="shared" ca="1" si="22"/>
        <v>4400</v>
      </c>
    </row>
    <row r="123" spans="1:24" x14ac:dyDescent="0.2">
      <c r="A123" s="26">
        <f ca="1">Fwd_curves!A153</f>
        <v>38687</v>
      </c>
      <c r="B123">
        <f ca="1">IF($A123&lt;$B$5,0,IF($A123&gt;$B$6,0,Fwd_curves!H153))</f>
        <v>0.71749587581991392</v>
      </c>
      <c r="C123">
        <f ca="1">IF($A123&lt;$B$5,0,IF($A123&gt;$B$6,0,Fwd_curves!J153))</f>
        <v>25.629140151609768</v>
      </c>
      <c r="D123">
        <f ca="1">IF($A123&lt;$B$5,0,IF($A123&gt;$B$6,0,Fwd_curves!K153))</f>
        <v>31.065624426193651</v>
      </c>
      <c r="E123">
        <f ca="1">IF($A123&lt;$B$5,0,IF($A123&gt;$B$6,0,Fwd_curves!L153))</f>
        <v>39.54362551052261</v>
      </c>
      <c r="F123">
        <f ca="1">IF($A123&lt;$B$5,0,IF($A123&gt;$B$6,0,Fwd_curves!M153))</f>
        <v>33.790671669953099</v>
      </c>
      <c r="G123">
        <f ca="1">IF($A123&lt;$B$5,0,IF($A123&gt;$B$6,0,Fwd_curves!N153))</f>
        <v>2.618783146392226</v>
      </c>
      <c r="H123" s="12">
        <f ca="1">IF($A123&lt;$B$5,0,IF($A123&gt;$B$6,0,Fwd_curves!O153))</f>
        <v>30.965479279816797</v>
      </c>
      <c r="I123" s="12">
        <f ca="1">IF($A123&lt;$B$5,0,IF($A123&gt;$B$6,0,Fwd_curves!P153))</f>
        <v>25.730123311011337</v>
      </c>
      <c r="J123">
        <f ca="1">IF($A123&lt;$B$5,0,IF($A123&gt;$B$6,0,Fwd_curves!Q153))</f>
        <v>1.0070074562542048</v>
      </c>
      <c r="K123">
        <f t="shared" ca="1" si="12"/>
        <v>17.937396895497848</v>
      </c>
      <c r="L123" s="15">
        <f ca="1">external_curves!AB83</f>
        <v>22</v>
      </c>
      <c r="M123" s="15">
        <f ca="1">external_curves!AA83</f>
        <v>9</v>
      </c>
      <c r="N123" s="71">
        <f t="shared" ca="1" si="13"/>
        <v>6313.9637072152427</v>
      </c>
      <c r="O123" s="71">
        <f t="shared" ca="1" si="14"/>
        <v>5130.0955121123843</v>
      </c>
      <c r="P123" s="71">
        <f t="shared" ca="1" si="15"/>
        <v>3874.477729427535</v>
      </c>
      <c r="Q123" s="71">
        <f t="shared" ca="1" si="16"/>
        <v>13345.423290250399</v>
      </c>
      <c r="R123">
        <f t="shared" ca="1" si="17"/>
        <v>3156.9818536076214</v>
      </c>
      <c r="T123">
        <f t="shared" ca="1" si="18"/>
        <v>8800</v>
      </c>
      <c r="U123">
        <f t="shared" ca="1" si="19"/>
        <v>7150</v>
      </c>
      <c r="V123">
        <f t="shared" ca="1" si="20"/>
        <v>5400</v>
      </c>
      <c r="W123">
        <f t="shared" ca="1" si="21"/>
        <v>18600</v>
      </c>
      <c r="X123">
        <f t="shared" ca="1" si="22"/>
        <v>4400</v>
      </c>
    </row>
    <row r="124" spans="1:24" x14ac:dyDescent="0.2">
      <c r="A124" s="26">
        <f ca="1">Fwd_curves!A154</f>
        <v>38718</v>
      </c>
      <c r="B124">
        <f ca="1">IF($A124&lt;$B$5,0,IF($A124&gt;$B$6,0,Fwd_curves!H154))</f>
        <v>0</v>
      </c>
      <c r="C124">
        <f ca="1">IF($A124&lt;$B$5,0,IF($A124&gt;$B$6,0,Fwd_curves!J154))</f>
        <v>0</v>
      </c>
      <c r="D124">
        <f ca="1">IF($A124&lt;$B$5,0,IF($A124&gt;$B$6,0,Fwd_curves!K154))</f>
        <v>0</v>
      </c>
      <c r="E124">
        <f ca="1">IF($A124&lt;$B$5,0,IF($A124&gt;$B$6,0,Fwd_curves!L154))</f>
        <v>0</v>
      </c>
      <c r="F124">
        <f ca="1">IF($A124&lt;$B$5,0,IF($A124&gt;$B$6,0,Fwd_curves!M154))</f>
        <v>0</v>
      </c>
      <c r="G124">
        <f ca="1">IF($A124&lt;$B$5,0,IF($A124&gt;$B$6,0,Fwd_curves!N154))</f>
        <v>0</v>
      </c>
      <c r="H124" s="12">
        <f ca="1">IF($A124&lt;$B$5,0,IF($A124&gt;$B$6,0,Fwd_curves!O154))</f>
        <v>0</v>
      </c>
      <c r="I124" s="12">
        <f ca="1">IF($A124&lt;$B$5,0,IF($A124&gt;$B$6,0,Fwd_curves!P154))</f>
        <v>0</v>
      </c>
      <c r="J124">
        <f ca="1">IF($A124&lt;$B$5,0,IF($A124&gt;$B$6,0,Fwd_curves!Q154))</f>
        <v>0</v>
      </c>
      <c r="K124">
        <f t="shared" ca="1" si="12"/>
        <v>0</v>
      </c>
      <c r="L124" s="15">
        <f ca="1">external_curves!AB84</f>
        <v>21</v>
      </c>
      <c r="M124" s="15">
        <f ca="1">external_curves!AA84</f>
        <v>10</v>
      </c>
      <c r="N124" s="71">
        <f t="shared" ca="1" si="13"/>
        <v>0</v>
      </c>
      <c r="O124" s="71">
        <f t="shared" ca="1" si="14"/>
        <v>0</v>
      </c>
      <c r="P124" s="71">
        <f t="shared" ca="1" si="15"/>
        <v>0</v>
      </c>
      <c r="Q124" s="71">
        <f t="shared" ca="1" si="16"/>
        <v>0</v>
      </c>
      <c r="R124">
        <f t="shared" ca="1" si="17"/>
        <v>0</v>
      </c>
      <c r="T124">
        <f t="shared" ca="1" si="18"/>
        <v>0</v>
      </c>
      <c r="U124">
        <f t="shared" ca="1" si="19"/>
        <v>0</v>
      </c>
      <c r="V124">
        <f t="shared" ca="1" si="20"/>
        <v>0</v>
      </c>
      <c r="W124">
        <f t="shared" ca="1" si="21"/>
        <v>0</v>
      </c>
      <c r="X124">
        <f t="shared" ca="1" si="22"/>
        <v>0</v>
      </c>
    </row>
    <row r="125" spans="1:24" x14ac:dyDescent="0.2">
      <c r="A125" s="26">
        <f ca="1">Fwd_curves!A155</f>
        <v>38749</v>
      </c>
      <c r="B125">
        <f ca="1">IF($A125&lt;$B$5,0,IF($A125&gt;$B$6,0,Fwd_curves!H155))</f>
        <v>0</v>
      </c>
      <c r="C125">
        <f ca="1">IF($A125&lt;$B$5,0,IF($A125&gt;$B$6,0,Fwd_curves!J155))</f>
        <v>0</v>
      </c>
      <c r="D125">
        <f ca="1">IF($A125&lt;$B$5,0,IF($A125&gt;$B$6,0,Fwd_curves!K155))</f>
        <v>0</v>
      </c>
      <c r="E125">
        <f ca="1">IF($A125&lt;$B$5,0,IF($A125&gt;$B$6,0,Fwd_curves!L155))</f>
        <v>0</v>
      </c>
      <c r="F125">
        <f ca="1">IF($A125&lt;$B$5,0,IF($A125&gt;$B$6,0,Fwd_curves!M155))</f>
        <v>0</v>
      </c>
      <c r="G125">
        <f ca="1">IF($A125&lt;$B$5,0,IF($A125&gt;$B$6,0,Fwd_curves!N155))</f>
        <v>0</v>
      </c>
      <c r="H125" s="12">
        <f ca="1">IF($A125&lt;$B$5,0,IF($A125&gt;$B$6,0,Fwd_curves!O155))</f>
        <v>0</v>
      </c>
      <c r="I125" s="12">
        <f ca="1">IF($A125&lt;$B$5,0,IF($A125&gt;$B$6,0,Fwd_curves!P155))</f>
        <v>0</v>
      </c>
      <c r="J125">
        <f ca="1">IF($A125&lt;$B$5,0,IF($A125&gt;$B$6,0,Fwd_curves!Q155))</f>
        <v>0</v>
      </c>
      <c r="K125">
        <f t="shared" ca="1" si="12"/>
        <v>0</v>
      </c>
      <c r="L125" s="15">
        <f ca="1">external_curves!AB85</f>
        <v>20</v>
      </c>
      <c r="M125" s="15">
        <f ca="1">external_curves!AA85</f>
        <v>8</v>
      </c>
      <c r="N125" s="71">
        <f t="shared" ca="1" si="13"/>
        <v>0</v>
      </c>
      <c r="O125" s="71">
        <f t="shared" ca="1" si="14"/>
        <v>0</v>
      </c>
      <c r="P125" s="71">
        <f t="shared" ca="1" si="15"/>
        <v>0</v>
      </c>
      <c r="Q125" s="71">
        <f t="shared" ca="1" si="16"/>
        <v>0</v>
      </c>
      <c r="R125">
        <f t="shared" ca="1" si="17"/>
        <v>0</v>
      </c>
      <c r="T125">
        <f t="shared" ca="1" si="18"/>
        <v>0</v>
      </c>
      <c r="U125">
        <f t="shared" ca="1" si="19"/>
        <v>0</v>
      </c>
      <c r="V125">
        <f t="shared" ca="1" si="20"/>
        <v>0</v>
      </c>
      <c r="W125">
        <f t="shared" ca="1" si="21"/>
        <v>0</v>
      </c>
      <c r="X125">
        <f t="shared" ca="1" si="22"/>
        <v>0</v>
      </c>
    </row>
    <row r="126" spans="1:24" x14ac:dyDescent="0.2">
      <c r="A126" s="26">
        <f ca="1">Fwd_curves!A156</f>
        <v>38777</v>
      </c>
      <c r="B126">
        <f ca="1">IF($A126&lt;$B$5,0,IF($A126&gt;$B$6,0,Fwd_curves!H156))</f>
        <v>0</v>
      </c>
      <c r="C126">
        <f ca="1">IF($A126&lt;$B$5,0,IF($A126&gt;$B$6,0,Fwd_curves!J156))</f>
        <v>0</v>
      </c>
      <c r="D126">
        <f ca="1">IF($A126&lt;$B$5,0,IF($A126&gt;$B$6,0,Fwd_curves!K156))</f>
        <v>0</v>
      </c>
      <c r="E126">
        <f ca="1">IF($A126&lt;$B$5,0,IF($A126&gt;$B$6,0,Fwd_curves!L156))</f>
        <v>0</v>
      </c>
      <c r="F126">
        <f ca="1">IF($A126&lt;$B$5,0,IF($A126&gt;$B$6,0,Fwd_curves!M156))</f>
        <v>0</v>
      </c>
      <c r="G126">
        <f ca="1">IF($A126&lt;$B$5,0,IF($A126&gt;$B$6,0,Fwd_curves!N156))</f>
        <v>0</v>
      </c>
      <c r="H126" s="12">
        <f ca="1">IF($A126&lt;$B$5,0,IF($A126&gt;$B$6,0,Fwd_curves!O156))</f>
        <v>0</v>
      </c>
      <c r="I126" s="12">
        <f ca="1">IF($A126&lt;$B$5,0,IF($A126&gt;$B$6,0,Fwd_curves!P156))</f>
        <v>0</v>
      </c>
      <c r="J126">
        <f ca="1">IF($A126&lt;$B$5,0,IF($A126&gt;$B$6,0,Fwd_curves!Q156))</f>
        <v>0</v>
      </c>
      <c r="K126">
        <f t="shared" ca="1" si="12"/>
        <v>0</v>
      </c>
      <c r="L126" s="15">
        <f ca="1">external_curves!AB86</f>
        <v>23</v>
      </c>
      <c r="M126" s="15">
        <f ca="1">external_curves!AA86</f>
        <v>8</v>
      </c>
      <c r="N126" s="71">
        <f t="shared" ca="1" si="13"/>
        <v>0</v>
      </c>
      <c r="O126" s="71">
        <f t="shared" ca="1" si="14"/>
        <v>0</v>
      </c>
      <c r="P126" s="71">
        <f t="shared" ca="1" si="15"/>
        <v>0</v>
      </c>
      <c r="Q126" s="71">
        <f t="shared" ca="1" si="16"/>
        <v>0</v>
      </c>
      <c r="R126">
        <f t="shared" ca="1" si="17"/>
        <v>0</v>
      </c>
      <c r="T126">
        <f t="shared" ca="1" si="18"/>
        <v>0</v>
      </c>
      <c r="U126">
        <f t="shared" ca="1" si="19"/>
        <v>0</v>
      </c>
      <c r="V126">
        <f t="shared" ca="1" si="20"/>
        <v>0</v>
      </c>
      <c r="W126">
        <f t="shared" ca="1" si="21"/>
        <v>0</v>
      </c>
      <c r="X126">
        <f t="shared" ca="1" si="22"/>
        <v>0</v>
      </c>
    </row>
    <row r="127" spans="1:24" x14ac:dyDescent="0.2">
      <c r="A127" s="26">
        <f ca="1">Fwd_curves!A157</f>
        <v>38808</v>
      </c>
      <c r="B127">
        <f ca="1">IF($A127&lt;$B$5,0,IF($A127&gt;$B$6,0,Fwd_curves!H157))</f>
        <v>0</v>
      </c>
      <c r="C127">
        <f ca="1">IF($A127&lt;$B$5,0,IF($A127&gt;$B$6,0,Fwd_curves!J157))</f>
        <v>0</v>
      </c>
      <c r="D127">
        <f ca="1">IF($A127&lt;$B$5,0,IF($A127&gt;$B$6,0,Fwd_curves!K157))</f>
        <v>0</v>
      </c>
      <c r="E127">
        <f ca="1">IF($A127&lt;$B$5,0,IF($A127&gt;$B$6,0,Fwd_curves!L157))</f>
        <v>0</v>
      </c>
      <c r="F127">
        <f ca="1">IF($A127&lt;$B$5,0,IF($A127&gt;$B$6,0,Fwd_curves!M157))</f>
        <v>0</v>
      </c>
      <c r="G127">
        <f ca="1">IF($A127&lt;$B$5,0,IF($A127&gt;$B$6,0,Fwd_curves!N157))</f>
        <v>0</v>
      </c>
      <c r="H127" s="12">
        <f ca="1">IF($A127&lt;$B$5,0,IF($A127&gt;$B$6,0,Fwd_curves!O157))</f>
        <v>0</v>
      </c>
      <c r="I127" s="12">
        <f ca="1">IF($A127&lt;$B$5,0,IF($A127&gt;$B$6,0,Fwd_curves!P157))</f>
        <v>0</v>
      </c>
      <c r="J127">
        <f ca="1">IF($A127&lt;$B$5,0,IF($A127&gt;$B$6,0,Fwd_curves!Q157))</f>
        <v>0</v>
      </c>
      <c r="K127">
        <f t="shared" ca="1" si="12"/>
        <v>0</v>
      </c>
      <c r="L127" s="15">
        <f ca="1">external_curves!AB87</f>
        <v>21</v>
      </c>
      <c r="M127" s="15">
        <f ca="1">external_curves!AA87</f>
        <v>9</v>
      </c>
      <c r="N127" s="71">
        <f t="shared" ca="1" si="13"/>
        <v>0</v>
      </c>
      <c r="O127" s="71">
        <f t="shared" ca="1" si="14"/>
        <v>0</v>
      </c>
      <c r="P127" s="71">
        <f t="shared" ca="1" si="15"/>
        <v>0</v>
      </c>
      <c r="Q127" s="71">
        <f t="shared" ca="1" si="16"/>
        <v>0</v>
      </c>
      <c r="R127">
        <f t="shared" ca="1" si="17"/>
        <v>0</v>
      </c>
      <c r="T127">
        <f t="shared" ca="1" si="18"/>
        <v>0</v>
      </c>
      <c r="U127">
        <f t="shared" ca="1" si="19"/>
        <v>0</v>
      </c>
      <c r="V127">
        <f t="shared" ca="1" si="20"/>
        <v>0</v>
      </c>
      <c r="W127">
        <f t="shared" ca="1" si="21"/>
        <v>0</v>
      </c>
      <c r="X127">
        <f t="shared" ca="1" si="22"/>
        <v>0</v>
      </c>
    </row>
    <row r="128" spans="1:24" x14ac:dyDescent="0.2">
      <c r="A128" s="26">
        <f ca="1">Fwd_curves!A158</f>
        <v>38838</v>
      </c>
      <c r="B128">
        <f ca="1">IF($A128&lt;$B$5,0,IF($A128&gt;$B$6,0,Fwd_curves!H158))</f>
        <v>0</v>
      </c>
      <c r="C128">
        <f ca="1">IF($A128&lt;$B$5,0,IF($A128&gt;$B$6,0,Fwd_curves!J158))</f>
        <v>0</v>
      </c>
      <c r="D128">
        <f ca="1">IF($A128&lt;$B$5,0,IF($A128&gt;$B$6,0,Fwd_curves!K158))</f>
        <v>0</v>
      </c>
      <c r="E128">
        <f ca="1">IF($A128&lt;$B$5,0,IF($A128&gt;$B$6,0,Fwd_curves!L158))</f>
        <v>0</v>
      </c>
      <c r="F128">
        <f ca="1">IF($A128&lt;$B$5,0,IF($A128&gt;$B$6,0,Fwd_curves!M158))</f>
        <v>0</v>
      </c>
      <c r="G128">
        <f ca="1">IF($A128&lt;$B$5,0,IF($A128&gt;$B$6,0,Fwd_curves!N158))</f>
        <v>0</v>
      </c>
      <c r="H128" s="12">
        <f ca="1">IF($A128&lt;$B$5,0,IF($A128&gt;$B$6,0,Fwd_curves!O158))</f>
        <v>0</v>
      </c>
      <c r="I128" s="12">
        <f ca="1">IF($A128&lt;$B$5,0,IF($A128&gt;$B$6,0,Fwd_curves!P158))</f>
        <v>0</v>
      </c>
      <c r="J128">
        <f ca="1">IF($A128&lt;$B$5,0,IF($A128&gt;$B$6,0,Fwd_curves!Q158))</f>
        <v>0</v>
      </c>
      <c r="K128">
        <f t="shared" ca="1" si="12"/>
        <v>0</v>
      </c>
      <c r="L128" s="15">
        <f ca="1">external_curves!AB88</f>
        <v>22</v>
      </c>
      <c r="M128" s="15">
        <f ca="1">external_curves!AA88</f>
        <v>9</v>
      </c>
      <c r="N128" s="71">
        <f t="shared" ca="1" si="13"/>
        <v>0</v>
      </c>
      <c r="O128" s="71">
        <f t="shared" ca="1" si="14"/>
        <v>0</v>
      </c>
      <c r="P128" s="71">
        <f t="shared" ca="1" si="15"/>
        <v>0</v>
      </c>
      <c r="Q128" s="71">
        <f t="shared" ca="1" si="16"/>
        <v>0</v>
      </c>
      <c r="R128">
        <f t="shared" ca="1" si="17"/>
        <v>0</v>
      </c>
      <c r="T128">
        <f t="shared" ca="1" si="18"/>
        <v>0</v>
      </c>
      <c r="U128">
        <f t="shared" ca="1" si="19"/>
        <v>0</v>
      </c>
      <c r="V128">
        <f t="shared" ca="1" si="20"/>
        <v>0</v>
      </c>
      <c r="W128">
        <f t="shared" ca="1" si="21"/>
        <v>0</v>
      </c>
      <c r="X128">
        <f t="shared" ca="1" si="22"/>
        <v>0</v>
      </c>
    </row>
    <row r="129" spans="1:24" x14ac:dyDescent="0.2">
      <c r="A129" s="26">
        <f ca="1">Fwd_curves!A159</f>
        <v>38869</v>
      </c>
      <c r="B129">
        <f ca="1">IF($A129&lt;$B$5,0,IF($A129&gt;$B$6,0,Fwd_curves!H159))</f>
        <v>0</v>
      </c>
      <c r="C129">
        <f ca="1">IF($A129&lt;$B$5,0,IF($A129&gt;$B$6,0,Fwd_curves!J159))</f>
        <v>0</v>
      </c>
      <c r="D129">
        <f ca="1">IF($A129&lt;$B$5,0,IF($A129&gt;$B$6,0,Fwd_curves!K159))</f>
        <v>0</v>
      </c>
      <c r="E129">
        <f ca="1">IF($A129&lt;$B$5,0,IF($A129&gt;$B$6,0,Fwd_curves!L159))</f>
        <v>0</v>
      </c>
      <c r="F129">
        <f ca="1">IF($A129&lt;$B$5,0,IF($A129&gt;$B$6,0,Fwd_curves!M159))</f>
        <v>0</v>
      </c>
      <c r="G129">
        <f ca="1">IF($A129&lt;$B$5,0,IF($A129&gt;$B$6,0,Fwd_curves!N159))</f>
        <v>0</v>
      </c>
      <c r="H129" s="12">
        <f ca="1">IF($A129&lt;$B$5,0,IF($A129&gt;$B$6,0,Fwd_curves!O159))</f>
        <v>0</v>
      </c>
      <c r="I129" s="12">
        <f ca="1">IF($A129&lt;$B$5,0,IF($A129&gt;$B$6,0,Fwd_curves!P159))</f>
        <v>0</v>
      </c>
      <c r="J129">
        <f ca="1">IF($A129&lt;$B$5,0,IF($A129&gt;$B$6,0,Fwd_curves!Q159))</f>
        <v>0</v>
      </c>
      <c r="K129">
        <f t="shared" ca="1" si="12"/>
        <v>0</v>
      </c>
      <c r="L129" s="15">
        <f ca="1">external_curves!AB89</f>
        <v>22</v>
      </c>
      <c r="M129" s="15">
        <f ca="1">external_curves!AA89</f>
        <v>8</v>
      </c>
      <c r="N129" s="71">
        <f t="shared" ca="1" si="13"/>
        <v>0</v>
      </c>
      <c r="O129" s="71">
        <f t="shared" ca="1" si="14"/>
        <v>0</v>
      </c>
      <c r="P129" s="71">
        <f t="shared" ca="1" si="15"/>
        <v>0</v>
      </c>
      <c r="Q129" s="71">
        <f t="shared" ca="1" si="16"/>
        <v>0</v>
      </c>
      <c r="R129">
        <f t="shared" ca="1" si="17"/>
        <v>0</v>
      </c>
      <c r="T129">
        <f t="shared" ca="1" si="18"/>
        <v>0</v>
      </c>
      <c r="U129">
        <f t="shared" ca="1" si="19"/>
        <v>0</v>
      </c>
      <c r="V129">
        <f t="shared" ca="1" si="20"/>
        <v>0</v>
      </c>
      <c r="W129">
        <f t="shared" ca="1" si="21"/>
        <v>0</v>
      </c>
      <c r="X129">
        <f t="shared" ca="1" si="22"/>
        <v>0</v>
      </c>
    </row>
    <row r="130" spans="1:24" x14ac:dyDescent="0.2">
      <c r="A130" s="26">
        <f ca="1">Fwd_curves!A160</f>
        <v>38899</v>
      </c>
      <c r="B130">
        <f ca="1">IF($A130&lt;$B$5,0,IF($A130&gt;$B$6,0,Fwd_curves!H160))</f>
        <v>0</v>
      </c>
      <c r="C130">
        <f ca="1">IF($A130&lt;$B$5,0,IF($A130&gt;$B$6,0,Fwd_curves!J160))</f>
        <v>0</v>
      </c>
      <c r="D130">
        <f ca="1">IF($A130&lt;$B$5,0,IF($A130&gt;$B$6,0,Fwd_curves!K160))</f>
        <v>0</v>
      </c>
      <c r="E130">
        <f ca="1">IF($A130&lt;$B$5,0,IF($A130&gt;$B$6,0,Fwd_curves!L160))</f>
        <v>0</v>
      </c>
      <c r="F130">
        <f ca="1">IF($A130&lt;$B$5,0,IF($A130&gt;$B$6,0,Fwd_curves!M160))</f>
        <v>0</v>
      </c>
      <c r="G130">
        <f ca="1">IF($A130&lt;$B$5,0,IF($A130&gt;$B$6,0,Fwd_curves!N160))</f>
        <v>0</v>
      </c>
      <c r="H130" s="12">
        <f ca="1">IF($A130&lt;$B$5,0,IF($A130&gt;$B$6,0,Fwd_curves!O160))</f>
        <v>0</v>
      </c>
      <c r="I130" s="12">
        <f ca="1">IF($A130&lt;$B$5,0,IF($A130&gt;$B$6,0,Fwd_curves!P160))</f>
        <v>0</v>
      </c>
      <c r="J130">
        <f ca="1">IF($A130&lt;$B$5,0,IF($A130&gt;$B$6,0,Fwd_curves!Q160))</f>
        <v>0</v>
      </c>
      <c r="K130">
        <f t="shared" ca="1" si="12"/>
        <v>0</v>
      </c>
      <c r="L130" s="15">
        <f ca="1">external_curves!AB90</f>
        <v>21</v>
      </c>
      <c r="M130" s="15">
        <f ca="1">external_curves!AA90</f>
        <v>10</v>
      </c>
      <c r="N130" s="71">
        <f t="shared" ca="1" si="13"/>
        <v>0</v>
      </c>
      <c r="O130" s="71">
        <f t="shared" ca="1" si="14"/>
        <v>0</v>
      </c>
      <c r="P130" s="71">
        <f t="shared" ca="1" si="15"/>
        <v>0</v>
      </c>
      <c r="Q130" s="71">
        <f t="shared" ca="1" si="16"/>
        <v>0</v>
      </c>
      <c r="R130">
        <f t="shared" ca="1" si="17"/>
        <v>0</v>
      </c>
      <c r="T130">
        <f t="shared" ca="1" si="18"/>
        <v>0</v>
      </c>
      <c r="U130">
        <f t="shared" ca="1" si="19"/>
        <v>0</v>
      </c>
      <c r="V130">
        <f t="shared" ca="1" si="20"/>
        <v>0</v>
      </c>
      <c r="W130">
        <f t="shared" ca="1" si="21"/>
        <v>0</v>
      </c>
      <c r="X130">
        <f t="shared" ca="1" si="22"/>
        <v>0</v>
      </c>
    </row>
    <row r="131" spans="1:24" x14ac:dyDescent="0.2">
      <c r="A131" s="26">
        <f ca="1">Fwd_curves!A161</f>
        <v>38930</v>
      </c>
      <c r="B131">
        <f ca="1">IF($A131&lt;$B$5,0,IF($A131&gt;$B$6,0,Fwd_curves!H161))</f>
        <v>0</v>
      </c>
      <c r="C131">
        <f ca="1">IF($A131&lt;$B$5,0,IF($A131&gt;$B$6,0,Fwd_curves!J161))</f>
        <v>0</v>
      </c>
      <c r="D131">
        <f ca="1">IF($A131&lt;$B$5,0,IF($A131&gt;$B$6,0,Fwd_curves!K161))</f>
        <v>0</v>
      </c>
      <c r="E131">
        <f ca="1">IF($A131&lt;$B$5,0,IF($A131&gt;$B$6,0,Fwd_curves!L161))</f>
        <v>0</v>
      </c>
      <c r="F131">
        <f ca="1">IF($A131&lt;$B$5,0,IF($A131&gt;$B$6,0,Fwd_curves!M161))</f>
        <v>0</v>
      </c>
      <c r="G131">
        <f ca="1">IF($A131&lt;$B$5,0,IF($A131&gt;$B$6,0,Fwd_curves!N161))</f>
        <v>0</v>
      </c>
      <c r="H131" s="12">
        <f ca="1">IF($A131&lt;$B$5,0,IF($A131&gt;$B$6,0,Fwd_curves!O161))</f>
        <v>0</v>
      </c>
      <c r="I131" s="12">
        <f ca="1">IF($A131&lt;$B$5,0,IF($A131&gt;$B$6,0,Fwd_curves!P161))</f>
        <v>0</v>
      </c>
      <c r="J131">
        <f ca="1">IF($A131&lt;$B$5,0,IF($A131&gt;$B$6,0,Fwd_curves!Q161))</f>
        <v>0</v>
      </c>
      <c r="K131">
        <f t="shared" ca="1" si="12"/>
        <v>0</v>
      </c>
      <c r="L131" s="15">
        <f ca="1">external_curves!AB91</f>
        <v>23</v>
      </c>
      <c r="M131" s="15">
        <f ca="1">external_curves!AA91</f>
        <v>8</v>
      </c>
      <c r="N131" s="71">
        <f t="shared" ca="1" si="13"/>
        <v>0</v>
      </c>
      <c r="O131" s="71">
        <f t="shared" ca="1" si="14"/>
        <v>0</v>
      </c>
      <c r="P131" s="71">
        <f t="shared" ca="1" si="15"/>
        <v>0</v>
      </c>
      <c r="Q131" s="71">
        <f t="shared" ca="1" si="16"/>
        <v>0</v>
      </c>
      <c r="R131">
        <f t="shared" ca="1" si="17"/>
        <v>0</v>
      </c>
      <c r="T131">
        <f t="shared" ca="1" si="18"/>
        <v>0</v>
      </c>
      <c r="U131">
        <f t="shared" ca="1" si="19"/>
        <v>0</v>
      </c>
      <c r="V131">
        <f t="shared" ca="1" si="20"/>
        <v>0</v>
      </c>
      <c r="W131">
        <f t="shared" ca="1" si="21"/>
        <v>0</v>
      </c>
      <c r="X131">
        <f t="shared" ca="1" si="22"/>
        <v>0</v>
      </c>
    </row>
    <row r="132" spans="1:24" x14ac:dyDescent="0.2">
      <c r="A132" s="26">
        <f ca="1">Fwd_curves!A162</f>
        <v>38961</v>
      </c>
      <c r="B132">
        <f ca="1">IF($A132&lt;$B$5,0,IF($A132&gt;$B$6,0,Fwd_curves!H162))</f>
        <v>0</v>
      </c>
      <c r="C132">
        <f ca="1">IF($A132&lt;$B$5,0,IF($A132&gt;$B$6,0,Fwd_curves!J162))</f>
        <v>0</v>
      </c>
      <c r="D132">
        <f ca="1">IF($A132&lt;$B$5,0,IF($A132&gt;$B$6,0,Fwd_curves!K162))</f>
        <v>0</v>
      </c>
      <c r="E132">
        <f ca="1">IF($A132&lt;$B$5,0,IF($A132&gt;$B$6,0,Fwd_curves!L162))</f>
        <v>0</v>
      </c>
      <c r="F132">
        <f ca="1">IF($A132&lt;$B$5,0,IF($A132&gt;$B$6,0,Fwd_curves!M162))</f>
        <v>0</v>
      </c>
      <c r="G132">
        <f ca="1">IF($A132&lt;$B$5,0,IF($A132&gt;$B$6,0,Fwd_curves!N162))</f>
        <v>0</v>
      </c>
      <c r="H132" s="12">
        <f ca="1">IF($A132&lt;$B$5,0,IF($A132&gt;$B$6,0,Fwd_curves!O162))</f>
        <v>0</v>
      </c>
      <c r="I132" s="12">
        <f ca="1">IF($A132&lt;$B$5,0,IF($A132&gt;$B$6,0,Fwd_curves!P162))</f>
        <v>0</v>
      </c>
      <c r="J132">
        <f ca="1">IF($A132&lt;$B$5,0,IF($A132&gt;$B$6,0,Fwd_curves!Q162))</f>
        <v>0</v>
      </c>
      <c r="K132">
        <f t="shared" ca="1" si="12"/>
        <v>0</v>
      </c>
      <c r="L132" s="15">
        <f ca="1">external_curves!AB92</f>
        <v>22</v>
      </c>
      <c r="M132" s="15">
        <f ca="1">external_curves!AA92</f>
        <v>8</v>
      </c>
      <c r="N132" s="71">
        <f t="shared" ca="1" si="13"/>
        <v>0</v>
      </c>
      <c r="O132" s="71">
        <f t="shared" ca="1" si="14"/>
        <v>0</v>
      </c>
      <c r="P132" s="71">
        <f t="shared" ca="1" si="15"/>
        <v>0</v>
      </c>
      <c r="Q132" s="71">
        <f t="shared" ca="1" si="16"/>
        <v>0</v>
      </c>
      <c r="R132">
        <f t="shared" ca="1" si="17"/>
        <v>0</v>
      </c>
      <c r="T132">
        <f t="shared" ca="1" si="18"/>
        <v>0</v>
      </c>
      <c r="U132">
        <f t="shared" ca="1" si="19"/>
        <v>0</v>
      </c>
      <c r="V132">
        <f t="shared" ca="1" si="20"/>
        <v>0</v>
      </c>
      <c r="W132">
        <f t="shared" ca="1" si="21"/>
        <v>0</v>
      </c>
      <c r="X132">
        <f t="shared" ca="1" si="22"/>
        <v>0</v>
      </c>
    </row>
    <row r="133" spans="1:24" x14ac:dyDescent="0.2">
      <c r="A133" s="26">
        <f ca="1">Fwd_curves!A163</f>
        <v>38991</v>
      </c>
      <c r="B133">
        <f ca="1">IF($A133&lt;$B$5,0,IF($A133&gt;$B$6,0,Fwd_curves!H163))</f>
        <v>0</v>
      </c>
      <c r="C133">
        <f ca="1">IF($A133&lt;$B$5,0,IF($A133&gt;$B$6,0,Fwd_curves!J163))</f>
        <v>0</v>
      </c>
      <c r="D133">
        <f ca="1">IF($A133&lt;$B$5,0,IF($A133&gt;$B$6,0,Fwd_curves!K163))</f>
        <v>0</v>
      </c>
      <c r="E133">
        <f ca="1">IF($A133&lt;$B$5,0,IF($A133&gt;$B$6,0,Fwd_curves!L163))</f>
        <v>0</v>
      </c>
      <c r="F133">
        <f ca="1">IF($A133&lt;$B$5,0,IF($A133&gt;$B$6,0,Fwd_curves!M163))</f>
        <v>0</v>
      </c>
      <c r="G133">
        <f ca="1">IF($A133&lt;$B$5,0,IF($A133&gt;$B$6,0,Fwd_curves!N163))</f>
        <v>0</v>
      </c>
      <c r="H133" s="12">
        <f ca="1">IF($A133&lt;$B$5,0,IF($A133&gt;$B$6,0,Fwd_curves!O163))</f>
        <v>0</v>
      </c>
      <c r="I133" s="12">
        <f ca="1">IF($A133&lt;$B$5,0,IF($A133&gt;$B$6,0,Fwd_curves!P163))</f>
        <v>0</v>
      </c>
      <c r="J133">
        <f ca="1">IF($A133&lt;$B$5,0,IF($A133&gt;$B$6,0,Fwd_curves!Q163))</f>
        <v>0</v>
      </c>
      <c r="K133">
        <f t="shared" ca="1" si="12"/>
        <v>0</v>
      </c>
      <c r="L133" s="15">
        <f ca="1">external_curves!AB93</f>
        <v>21</v>
      </c>
      <c r="M133" s="15">
        <f ca="1">external_curves!AA93</f>
        <v>10</v>
      </c>
      <c r="N133" s="71">
        <f t="shared" ca="1" si="13"/>
        <v>0</v>
      </c>
      <c r="O133" s="71">
        <f t="shared" ca="1" si="14"/>
        <v>0</v>
      </c>
      <c r="P133" s="71">
        <f t="shared" ca="1" si="15"/>
        <v>0</v>
      </c>
      <c r="Q133" s="71">
        <f t="shared" ca="1" si="16"/>
        <v>0</v>
      </c>
      <c r="R133">
        <f t="shared" ca="1" si="17"/>
        <v>0</v>
      </c>
      <c r="T133">
        <f t="shared" ca="1" si="18"/>
        <v>0</v>
      </c>
      <c r="U133">
        <f t="shared" ca="1" si="19"/>
        <v>0</v>
      </c>
      <c r="V133">
        <f t="shared" ca="1" si="20"/>
        <v>0</v>
      </c>
      <c r="W133">
        <f t="shared" ca="1" si="21"/>
        <v>0</v>
      </c>
      <c r="X133">
        <f t="shared" ca="1" si="22"/>
        <v>0</v>
      </c>
    </row>
    <row r="134" spans="1:24" x14ac:dyDescent="0.2">
      <c r="A134" s="26">
        <f ca="1">Fwd_curves!A164</f>
        <v>39022</v>
      </c>
      <c r="B134">
        <f ca="1">IF($A134&lt;$B$5,0,IF($A134&gt;$B$6,0,Fwd_curves!H164))</f>
        <v>0</v>
      </c>
      <c r="C134">
        <f ca="1">IF($A134&lt;$B$5,0,IF($A134&gt;$B$6,0,Fwd_curves!J164))</f>
        <v>0</v>
      </c>
      <c r="D134">
        <f ca="1">IF($A134&lt;$B$5,0,IF($A134&gt;$B$6,0,Fwd_curves!K164))</f>
        <v>0</v>
      </c>
      <c r="E134">
        <f ca="1">IF($A134&lt;$B$5,0,IF($A134&gt;$B$6,0,Fwd_curves!L164))</f>
        <v>0</v>
      </c>
      <c r="F134">
        <f ca="1">IF($A134&lt;$B$5,0,IF($A134&gt;$B$6,0,Fwd_curves!M164))</f>
        <v>0</v>
      </c>
      <c r="G134">
        <f ca="1">IF($A134&lt;$B$5,0,IF($A134&gt;$B$6,0,Fwd_curves!N164))</f>
        <v>0</v>
      </c>
      <c r="H134" s="12">
        <f ca="1">IF($A134&lt;$B$5,0,IF($A134&gt;$B$6,0,Fwd_curves!O164))</f>
        <v>0</v>
      </c>
      <c r="I134" s="12">
        <f ca="1">IF($A134&lt;$B$5,0,IF($A134&gt;$B$6,0,Fwd_curves!P164))</f>
        <v>0</v>
      </c>
      <c r="J134">
        <f ca="1">IF($A134&lt;$B$5,0,IF($A134&gt;$B$6,0,Fwd_curves!Q164))</f>
        <v>0</v>
      </c>
      <c r="K134">
        <f t="shared" ca="1" si="12"/>
        <v>0</v>
      </c>
      <c r="L134" s="15">
        <f ca="1">external_curves!AB94</f>
        <v>22</v>
      </c>
      <c r="M134" s="15">
        <f ca="1">external_curves!AA94</f>
        <v>8</v>
      </c>
      <c r="N134" s="71">
        <f t="shared" ca="1" si="13"/>
        <v>0</v>
      </c>
      <c r="O134" s="71">
        <f t="shared" ca="1" si="14"/>
        <v>0</v>
      </c>
      <c r="P134" s="71">
        <f t="shared" ca="1" si="15"/>
        <v>0</v>
      </c>
      <c r="Q134" s="71">
        <f t="shared" ca="1" si="16"/>
        <v>0</v>
      </c>
      <c r="R134">
        <f t="shared" ca="1" si="17"/>
        <v>0</v>
      </c>
      <c r="T134">
        <f t="shared" ca="1" si="18"/>
        <v>0</v>
      </c>
      <c r="U134">
        <f t="shared" ca="1" si="19"/>
        <v>0</v>
      </c>
      <c r="V134">
        <f t="shared" ca="1" si="20"/>
        <v>0</v>
      </c>
      <c r="W134">
        <f t="shared" ca="1" si="21"/>
        <v>0</v>
      </c>
      <c r="X134">
        <f t="shared" ca="1" si="22"/>
        <v>0</v>
      </c>
    </row>
    <row r="135" spans="1:24" x14ac:dyDescent="0.2">
      <c r="A135" s="26">
        <f ca="1">Fwd_curves!A165</f>
        <v>39052</v>
      </c>
      <c r="B135">
        <f ca="1">IF($A135&lt;$B$5,0,IF($A135&gt;$B$6,0,Fwd_curves!H165))</f>
        <v>0</v>
      </c>
      <c r="C135">
        <f ca="1">IF($A135&lt;$B$5,0,IF($A135&gt;$B$6,0,Fwd_curves!J165))</f>
        <v>0</v>
      </c>
      <c r="D135">
        <f ca="1">IF($A135&lt;$B$5,0,IF($A135&gt;$B$6,0,Fwd_curves!K165))</f>
        <v>0</v>
      </c>
      <c r="E135">
        <f ca="1">IF($A135&lt;$B$5,0,IF($A135&gt;$B$6,0,Fwd_curves!L165))</f>
        <v>0</v>
      </c>
      <c r="F135">
        <f ca="1">IF($A135&lt;$B$5,0,IF($A135&gt;$B$6,0,Fwd_curves!M165))</f>
        <v>0</v>
      </c>
      <c r="G135">
        <f ca="1">IF($A135&lt;$B$5,0,IF($A135&gt;$B$6,0,Fwd_curves!N165))</f>
        <v>0</v>
      </c>
      <c r="H135" s="12">
        <f ca="1">IF($A135&lt;$B$5,0,IF($A135&gt;$B$6,0,Fwd_curves!O165))</f>
        <v>0</v>
      </c>
      <c r="I135" s="12">
        <f ca="1">IF($A135&lt;$B$5,0,IF($A135&gt;$B$6,0,Fwd_curves!P165))</f>
        <v>0</v>
      </c>
      <c r="J135">
        <f ca="1">IF($A135&lt;$B$5,0,IF($A135&gt;$B$6,0,Fwd_curves!Q165))</f>
        <v>0</v>
      </c>
      <c r="K135">
        <f t="shared" ca="1" si="12"/>
        <v>0</v>
      </c>
      <c r="L135" s="15">
        <f ca="1">external_curves!AB95</f>
        <v>22</v>
      </c>
      <c r="M135" s="15">
        <f ca="1">external_curves!AA95</f>
        <v>9</v>
      </c>
      <c r="N135" s="71">
        <f t="shared" ca="1" si="13"/>
        <v>0</v>
      </c>
      <c r="O135" s="71">
        <f t="shared" ca="1" si="14"/>
        <v>0</v>
      </c>
      <c r="P135" s="71">
        <f t="shared" ca="1" si="15"/>
        <v>0</v>
      </c>
      <c r="Q135" s="71">
        <f t="shared" ca="1" si="16"/>
        <v>0</v>
      </c>
      <c r="R135">
        <f t="shared" ca="1" si="17"/>
        <v>0</v>
      </c>
      <c r="T135">
        <f t="shared" ca="1" si="18"/>
        <v>0</v>
      </c>
      <c r="U135">
        <f t="shared" ca="1" si="19"/>
        <v>0</v>
      </c>
      <c r="V135">
        <f t="shared" ca="1" si="20"/>
        <v>0</v>
      </c>
      <c r="W135">
        <f t="shared" ca="1" si="21"/>
        <v>0</v>
      </c>
      <c r="X135">
        <f t="shared" ca="1" si="22"/>
        <v>0</v>
      </c>
    </row>
    <row r="136" spans="1:24" x14ac:dyDescent="0.2">
      <c r="A136" s="26">
        <f ca="1">Fwd_curves!A166</f>
        <v>39083</v>
      </c>
      <c r="B136">
        <f ca="1">IF($A136&lt;$B$5,0,IF($A136&gt;$B$6,0,Fwd_curves!H166))</f>
        <v>0</v>
      </c>
      <c r="C136">
        <f ca="1">IF($A136&lt;$B$5,0,IF($A136&gt;$B$6,0,Fwd_curves!J166))</f>
        <v>0</v>
      </c>
      <c r="D136">
        <f ca="1">IF($A136&lt;$B$5,0,IF($A136&gt;$B$6,0,Fwd_curves!K166))</f>
        <v>0</v>
      </c>
      <c r="E136">
        <f ca="1">IF($A136&lt;$B$5,0,IF($A136&gt;$B$6,0,Fwd_curves!L166))</f>
        <v>0</v>
      </c>
      <c r="F136">
        <f ca="1">IF($A136&lt;$B$5,0,IF($A136&gt;$B$6,0,Fwd_curves!M166))</f>
        <v>0</v>
      </c>
      <c r="G136">
        <f ca="1">IF($A136&lt;$B$5,0,IF($A136&gt;$B$6,0,Fwd_curves!N166))</f>
        <v>0</v>
      </c>
      <c r="H136" s="12">
        <f ca="1">IF($A136&lt;$B$5,0,IF($A136&gt;$B$6,0,Fwd_curves!O166))</f>
        <v>0</v>
      </c>
      <c r="I136" s="12">
        <f ca="1">IF($A136&lt;$B$5,0,IF($A136&gt;$B$6,0,Fwd_curves!P166))</f>
        <v>0</v>
      </c>
      <c r="J136">
        <f ca="1">IF($A136&lt;$B$5,0,IF($A136&gt;$B$6,0,Fwd_curves!Q166))</f>
        <v>0</v>
      </c>
      <c r="K136">
        <f t="shared" ca="1" si="12"/>
        <v>0</v>
      </c>
      <c r="L136" s="15">
        <f ca="1">external_curves!AB96</f>
        <v>21</v>
      </c>
      <c r="M136" s="15">
        <f ca="1">external_curves!AA96</f>
        <v>10</v>
      </c>
      <c r="N136" s="71">
        <f t="shared" ca="1" si="13"/>
        <v>0</v>
      </c>
      <c r="O136" s="71">
        <f t="shared" ca="1" si="14"/>
        <v>0</v>
      </c>
      <c r="P136" s="71">
        <f t="shared" ca="1" si="15"/>
        <v>0</v>
      </c>
      <c r="Q136" s="71">
        <f t="shared" ca="1" si="16"/>
        <v>0</v>
      </c>
      <c r="R136">
        <f t="shared" ca="1" si="17"/>
        <v>0</v>
      </c>
      <c r="T136">
        <f t="shared" ca="1" si="18"/>
        <v>0</v>
      </c>
      <c r="U136">
        <f t="shared" ca="1" si="19"/>
        <v>0</v>
      </c>
      <c r="V136">
        <f t="shared" ca="1" si="20"/>
        <v>0</v>
      </c>
      <c r="W136">
        <f t="shared" ca="1" si="21"/>
        <v>0</v>
      </c>
      <c r="X136">
        <f t="shared" ca="1" si="22"/>
        <v>0</v>
      </c>
    </row>
    <row r="137" spans="1:24" x14ac:dyDescent="0.2">
      <c r="A137" s="26">
        <f ca="1">Fwd_curves!A167</f>
        <v>39114</v>
      </c>
      <c r="B137">
        <f ca="1">IF($A137&lt;$B$5,0,IF($A137&gt;$B$6,0,Fwd_curves!H167))</f>
        <v>0</v>
      </c>
      <c r="C137">
        <f ca="1">IF($A137&lt;$B$5,0,IF($A137&gt;$B$6,0,Fwd_curves!J167))</f>
        <v>0</v>
      </c>
      <c r="D137">
        <f ca="1">IF($A137&lt;$B$5,0,IF($A137&gt;$B$6,0,Fwd_curves!K167))</f>
        <v>0</v>
      </c>
      <c r="E137">
        <f ca="1">IF($A137&lt;$B$5,0,IF($A137&gt;$B$6,0,Fwd_curves!L167))</f>
        <v>0</v>
      </c>
      <c r="F137">
        <f ca="1">IF($A137&lt;$B$5,0,IF($A137&gt;$B$6,0,Fwd_curves!M167))</f>
        <v>0</v>
      </c>
      <c r="G137">
        <f ca="1">IF($A137&lt;$B$5,0,IF($A137&gt;$B$6,0,Fwd_curves!N167))</f>
        <v>0</v>
      </c>
      <c r="H137" s="12">
        <f ca="1">IF($A137&lt;$B$5,0,IF($A137&gt;$B$6,0,Fwd_curves!O167))</f>
        <v>0</v>
      </c>
      <c r="I137" s="12">
        <f ca="1">IF($A137&lt;$B$5,0,IF($A137&gt;$B$6,0,Fwd_curves!P167))</f>
        <v>0</v>
      </c>
      <c r="J137">
        <f ca="1">IF($A137&lt;$B$5,0,IF($A137&gt;$B$6,0,Fwd_curves!Q167))</f>
        <v>0</v>
      </c>
      <c r="K137">
        <f t="shared" ca="1" si="12"/>
        <v>0</v>
      </c>
      <c r="L137" s="15">
        <f ca="1">external_curves!AB97</f>
        <v>20</v>
      </c>
      <c r="M137" s="15">
        <f ca="1">external_curves!AA97</f>
        <v>8</v>
      </c>
      <c r="N137" s="71">
        <f t="shared" ca="1" si="13"/>
        <v>0</v>
      </c>
      <c r="O137" s="71">
        <f t="shared" ca="1" si="14"/>
        <v>0</v>
      </c>
      <c r="P137" s="71">
        <f t="shared" ca="1" si="15"/>
        <v>0</v>
      </c>
      <c r="Q137" s="71">
        <f t="shared" ca="1" si="16"/>
        <v>0</v>
      </c>
      <c r="R137">
        <f t="shared" ca="1" si="17"/>
        <v>0</v>
      </c>
      <c r="T137">
        <f t="shared" ca="1" si="18"/>
        <v>0</v>
      </c>
      <c r="U137">
        <f t="shared" ca="1" si="19"/>
        <v>0</v>
      </c>
      <c r="V137">
        <f t="shared" ca="1" si="20"/>
        <v>0</v>
      </c>
      <c r="W137">
        <f t="shared" ca="1" si="21"/>
        <v>0</v>
      </c>
      <c r="X137">
        <f t="shared" ca="1" si="22"/>
        <v>0</v>
      </c>
    </row>
    <row r="138" spans="1:24" x14ac:dyDescent="0.2">
      <c r="A138" s="26">
        <f ca="1">Fwd_curves!A168</f>
        <v>39142</v>
      </c>
      <c r="B138">
        <f ca="1">IF($A138&lt;$B$5,0,IF($A138&gt;$B$6,0,Fwd_curves!H168))</f>
        <v>0</v>
      </c>
      <c r="C138">
        <f ca="1">IF($A138&lt;$B$5,0,IF($A138&gt;$B$6,0,Fwd_curves!J168))</f>
        <v>0</v>
      </c>
      <c r="D138">
        <f ca="1">IF($A138&lt;$B$5,0,IF($A138&gt;$B$6,0,Fwd_curves!K168))</f>
        <v>0</v>
      </c>
      <c r="E138">
        <f ca="1">IF($A138&lt;$B$5,0,IF($A138&gt;$B$6,0,Fwd_curves!L168))</f>
        <v>0</v>
      </c>
      <c r="F138">
        <f ca="1">IF($A138&lt;$B$5,0,IF($A138&gt;$B$6,0,Fwd_curves!M168))</f>
        <v>0</v>
      </c>
      <c r="G138">
        <f ca="1">IF($A138&lt;$B$5,0,IF($A138&gt;$B$6,0,Fwd_curves!N168))</f>
        <v>0</v>
      </c>
      <c r="H138" s="12">
        <f ca="1">IF($A138&lt;$B$5,0,IF($A138&gt;$B$6,0,Fwd_curves!O168))</f>
        <v>0</v>
      </c>
      <c r="I138" s="12">
        <f ca="1">IF($A138&lt;$B$5,0,IF($A138&gt;$B$6,0,Fwd_curves!P168))</f>
        <v>0</v>
      </c>
      <c r="J138">
        <f ca="1">IF($A138&lt;$B$5,0,IF($A138&gt;$B$6,0,Fwd_curves!Q168))</f>
        <v>0</v>
      </c>
      <c r="K138">
        <f t="shared" ca="1" si="12"/>
        <v>0</v>
      </c>
      <c r="L138" s="15">
        <f ca="1">external_curves!AB98</f>
        <v>23</v>
      </c>
      <c r="M138" s="15">
        <f ca="1">external_curves!AA98</f>
        <v>8</v>
      </c>
      <c r="N138" s="71">
        <f t="shared" ca="1" si="13"/>
        <v>0</v>
      </c>
      <c r="O138" s="71">
        <f t="shared" ca="1" si="14"/>
        <v>0</v>
      </c>
      <c r="P138" s="71">
        <f t="shared" ca="1" si="15"/>
        <v>0</v>
      </c>
      <c r="Q138" s="71">
        <f t="shared" ca="1" si="16"/>
        <v>0</v>
      </c>
      <c r="R138">
        <f t="shared" ca="1" si="17"/>
        <v>0</v>
      </c>
      <c r="T138">
        <f t="shared" ca="1" si="18"/>
        <v>0</v>
      </c>
      <c r="U138">
        <f t="shared" ca="1" si="19"/>
        <v>0</v>
      </c>
      <c r="V138">
        <f t="shared" ca="1" si="20"/>
        <v>0</v>
      </c>
      <c r="W138">
        <f t="shared" ca="1" si="21"/>
        <v>0</v>
      </c>
      <c r="X138">
        <f t="shared" ca="1" si="22"/>
        <v>0</v>
      </c>
    </row>
    <row r="139" spans="1:24" x14ac:dyDescent="0.2">
      <c r="A139" s="26">
        <f ca="1">Fwd_curves!A169</f>
        <v>39173</v>
      </c>
      <c r="B139">
        <f ca="1">IF($A139&lt;$B$5,0,IF($A139&gt;$B$6,0,Fwd_curves!H169))</f>
        <v>0</v>
      </c>
      <c r="C139">
        <f ca="1">IF($A139&lt;$B$5,0,IF($A139&gt;$B$6,0,Fwd_curves!J169))</f>
        <v>0</v>
      </c>
      <c r="D139">
        <f ca="1">IF($A139&lt;$B$5,0,IF($A139&gt;$B$6,0,Fwd_curves!K169))</f>
        <v>0</v>
      </c>
      <c r="E139">
        <f ca="1">IF($A139&lt;$B$5,0,IF($A139&gt;$B$6,0,Fwd_curves!L169))</f>
        <v>0</v>
      </c>
      <c r="F139">
        <f ca="1">IF($A139&lt;$B$5,0,IF($A139&gt;$B$6,0,Fwd_curves!M169))</f>
        <v>0</v>
      </c>
      <c r="G139">
        <f ca="1">IF($A139&lt;$B$5,0,IF($A139&gt;$B$6,0,Fwd_curves!N169))</f>
        <v>0</v>
      </c>
      <c r="H139" s="12">
        <f ca="1">IF($A139&lt;$B$5,0,IF($A139&gt;$B$6,0,Fwd_curves!O169))</f>
        <v>0</v>
      </c>
      <c r="I139" s="12">
        <f ca="1">IF($A139&lt;$B$5,0,IF($A139&gt;$B$6,0,Fwd_curves!P169))</f>
        <v>0</v>
      </c>
      <c r="J139">
        <f ca="1">IF($A139&lt;$B$5,0,IF($A139&gt;$B$6,0,Fwd_curves!Q169))</f>
        <v>0</v>
      </c>
      <c r="K139">
        <f t="shared" ca="1" si="12"/>
        <v>0</v>
      </c>
      <c r="L139" s="15">
        <f ca="1">external_curves!AB99</f>
        <v>21</v>
      </c>
      <c r="M139" s="15">
        <f ca="1">external_curves!AA99</f>
        <v>9</v>
      </c>
      <c r="N139" s="71">
        <f t="shared" ca="1" si="13"/>
        <v>0</v>
      </c>
      <c r="O139" s="71">
        <f t="shared" ca="1" si="14"/>
        <v>0</v>
      </c>
      <c r="P139" s="71">
        <f t="shared" ca="1" si="15"/>
        <v>0</v>
      </c>
      <c r="Q139" s="71">
        <f t="shared" ca="1" si="16"/>
        <v>0</v>
      </c>
      <c r="R139">
        <f t="shared" ca="1" si="17"/>
        <v>0</v>
      </c>
      <c r="T139">
        <f t="shared" ca="1" si="18"/>
        <v>0</v>
      </c>
      <c r="U139">
        <f t="shared" ca="1" si="19"/>
        <v>0</v>
      </c>
      <c r="V139">
        <f t="shared" ca="1" si="20"/>
        <v>0</v>
      </c>
      <c r="W139">
        <f t="shared" ca="1" si="21"/>
        <v>0</v>
      </c>
      <c r="X139">
        <f t="shared" ca="1" si="22"/>
        <v>0</v>
      </c>
    </row>
    <row r="140" spans="1:24" x14ac:dyDescent="0.2">
      <c r="A140" s="26">
        <f ca="1">Fwd_curves!A170</f>
        <v>39203</v>
      </c>
      <c r="B140">
        <f ca="1">IF($A140&lt;$B$5,0,IF($A140&gt;$B$6,0,Fwd_curves!H170))</f>
        <v>0</v>
      </c>
      <c r="C140">
        <f ca="1">IF($A140&lt;$B$5,0,IF($A140&gt;$B$6,0,Fwd_curves!J170))</f>
        <v>0</v>
      </c>
      <c r="D140">
        <f ca="1">IF($A140&lt;$B$5,0,IF($A140&gt;$B$6,0,Fwd_curves!K170))</f>
        <v>0</v>
      </c>
      <c r="E140">
        <f ca="1">IF($A140&lt;$B$5,0,IF($A140&gt;$B$6,0,Fwd_curves!L170))</f>
        <v>0</v>
      </c>
      <c r="F140">
        <f ca="1">IF($A140&lt;$B$5,0,IF($A140&gt;$B$6,0,Fwd_curves!M170))</f>
        <v>0</v>
      </c>
      <c r="G140">
        <f ca="1">IF($A140&lt;$B$5,0,IF($A140&gt;$B$6,0,Fwd_curves!N170))</f>
        <v>0</v>
      </c>
      <c r="H140" s="12">
        <f ca="1">IF($A140&lt;$B$5,0,IF($A140&gt;$B$6,0,Fwd_curves!O170))</f>
        <v>0</v>
      </c>
      <c r="I140" s="12">
        <f ca="1">IF($A140&lt;$B$5,0,IF($A140&gt;$B$6,0,Fwd_curves!P170))</f>
        <v>0</v>
      </c>
      <c r="J140">
        <f ca="1">IF($A140&lt;$B$5,0,IF($A140&gt;$B$6,0,Fwd_curves!Q170))</f>
        <v>0</v>
      </c>
      <c r="K140">
        <f t="shared" ca="1" si="12"/>
        <v>0</v>
      </c>
      <c r="L140" s="15">
        <f ca="1">external_curves!AB100</f>
        <v>22</v>
      </c>
      <c r="M140" s="15">
        <f ca="1">external_curves!AA100</f>
        <v>9</v>
      </c>
      <c r="N140" s="71">
        <f t="shared" ca="1" si="13"/>
        <v>0</v>
      </c>
      <c r="O140" s="71">
        <f t="shared" ca="1" si="14"/>
        <v>0</v>
      </c>
      <c r="P140" s="71">
        <f t="shared" ca="1" si="15"/>
        <v>0</v>
      </c>
      <c r="Q140" s="71">
        <f t="shared" ca="1" si="16"/>
        <v>0</v>
      </c>
      <c r="R140">
        <f t="shared" ca="1" si="17"/>
        <v>0</v>
      </c>
      <c r="T140">
        <f t="shared" ca="1" si="18"/>
        <v>0</v>
      </c>
      <c r="U140">
        <f t="shared" ca="1" si="19"/>
        <v>0</v>
      </c>
      <c r="V140">
        <f t="shared" ca="1" si="20"/>
        <v>0</v>
      </c>
      <c r="W140">
        <f t="shared" ca="1" si="21"/>
        <v>0</v>
      </c>
      <c r="X140">
        <f t="shared" ca="1" si="22"/>
        <v>0</v>
      </c>
    </row>
    <row r="141" spans="1:24" x14ac:dyDescent="0.2">
      <c r="A141" s="26">
        <f ca="1">Fwd_curves!A171</f>
        <v>39234</v>
      </c>
      <c r="B141">
        <f ca="1">IF($A141&lt;$B$5,0,IF($A141&gt;$B$6,0,Fwd_curves!H171))</f>
        <v>0</v>
      </c>
      <c r="C141">
        <f ca="1">IF($A141&lt;$B$5,0,IF($A141&gt;$B$6,0,Fwd_curves!J171))</f>
        <v>0</v>
      </c>
      <c r="D141">
        <f ca="1">IF($A141&lt;$B$5,0,IF($A141&gt;$B$6,0,Fwd_curves!K171))</f>
        <v>0</v>
      </c>
      <c r="E141">
        <f ca="1">IF($A141&lt;$B$5,0,IF($A141&gt;$B$6,0,Fwd_curves!L171))</f>
        <v>0</v>
      </c>
      <c r="F141">
        <f ca="1">IF($A141&lt;$B$5,0,IF($A141&gt;$B$6,0,Fwd_curves!M171))</f>
        <v>0</v>
      </c>
      <c r="G141">
        <f ca="1">IF($A141&lt;$B$5,0,IF($A141&gt;$B$6,0,Fwd_curves!N171))</f>
        <v>0</v>
      </c>
      <c r="H141" s="12">
        <f ca="1">IF($A141&lt;$B$5,0,IF($A141&gt;$B$6,0,Fwd_curves!O171))</f>
        <v>0</v>
      </c>
      <c r="I141" s="12">
        <f ca="1">IF($A141&lt;$B$5,0,IF($A141&gt;$B$6,0,Fwd_curves!P171))</f>
        <v>0</v>
      </c>
      <c r="J141">
        <f ca="1">IF($A141&lt;$B$5,0,IF($A141&gt;$B$6,0,Fwd_curves!Q171))</f>
        <v>0</v>
      </c>
      <c r="K141">
        <f t="shared" ca="1" si="12"/>
        <v>0</v>
      </c>
      <c r="L141" s="15">
        <f ca="1">external_curves!AB101</f>
        <v>22</v>
      </c>
      <c r="M141" s="15">
        <f ca="1">external_curves!AA101</f>
        <v>8</v>
      </c>
      <c r="N141" s="71">
        <f t="shared" ca="1" si="13"/>
        <v>0</v>
      </c>
      <c r="O141" s="71">
        <f t="shared" ca="1" si="14"/>
        <v>0</v>
      </c>
      <c r="P141" s="71">
        <f t="shared" ca="1" si="15"/>
        <v>0</v>
      </c>
      <c r="Q141" s="71">
        <f t="shared" ca="1" si="16"/>
        <v>0</v>
      </c>
      <c r="R141">
        <f t="shared" ca="1" si="17"/>
        <v>0</v>
      </c>
      <c r="T141">
        <f t="shared" ca="1" si="18"/>
        <v>0</v>
      </c>
      <c r="U141">
        <f t="shared" ca="1" si="19"/>
        <v>0</v>
      </c>
      <c r="V141">
        <f t="shared" ca="1" si="20"/>
        <v>0</v>
      </c>
      <c r="W141">
        <f t="shared" ca="1" si="21"/>
        <v>0</v>
      </c>
      <c r="X141">
        <f t="shared" ca="1" si="22"/>
        <v>0</v>
      </c>
    </row>
    <row r="142" spans="1:24" x14ac:dyDescent="0.2">
      <c r="A142" s="26">
        <f ca="1">Fwd_curves!A172</f>
        <v>39264</v>
      </c>
      <c r="B142">
        <f ca="1">IF($A142&lt;$B$5,0,IF($A142&gt;$B$6,0,Fwd_curves!H172))</f>
        <v>0</v>
      </c>
      <c r="C142">
        <f ca="1">IF($A142&lt;$B$5,0,IF($A142&gt;$B$6,0,Fwd_curves!J172))</f>
        <v>0</v>
      </c>
      <c r="D142">
        <f ca="1">IF($A142&lt;$B$5,0,IF($A142&gt;$B$6,0,Fwd_curves!K172))</f>
        <v>0</v>
      </c>
      <c r="E142">
        <f ca="1">IF($A142&lt;$B$5,0,IF($A142&gt;$B$6,0,Fwd_curves!L172))</f>
        <v>0</v>
      </c>
      <c r="F142">
        <f ca="1">IF($A142&lt;$B$5,0,IF($A142&gt;$B$6,0,Fwd_curves!M172))</f>
        <v>0</v>
      </c>
      <c r="G142">
        <f ca="1">IF($A142&lt;$B$5,0,IF($A142&gt;$B$6,0,Fwd_curves!N172))</f>
        <v>0</v>
      </c>
      <c r="H142" s="12">
        <f ca="1">IF($A142&lt;$B$5,0,IF($A142&gt;$B$6,0,Fwd_curves!O172))</f>
        <v>0</v>
      </c>
      <c r="I142" s="12">
        <f ca="1">IF($A142&lt;$B$5,0,IF($A142&gt;$B$6,0,Fwd_curves!P172))</f>
        <v>0</v>
      </c>
      <c r="J142">
        <f ca="1">IF($A142&lt;$B$5,0,IF($A142&gt;$B$6,0,Fwd_curves!Q172))</f>
        <v>0</v>
      </c>
      <c r="K142">
        <f t="shared" ca="1" si="12"/>
        <v>0</v>
      </c>
      <c r="L142" s="15">
        <f ca="1">external_curves!AB102</f>
        <v>21</v>
      </c>
      <c r="M142" s="15">
        <f ca="1">external_curves!AA102</f>
        <v>10</v>
      </c>
      <c r="N142" s="71">
        <f t="shared" ca="1" si="13"/>
        <v>0</v>
      </c>
      <c r="O142" s="71">
        <f t="shared" ca="1" si="14"/>
        <v>0</v>
      </c>
      <c r="P142" s="71">
        <f t="shared" ca="1" si="15"/>
        <v>0</v>
      </c>
      <c r="Q142" s="71">
        <f t="shared" ca="1" si="16"/>
        <v>0</v>
      </c>
      <c r="R142">
        <f t="shared" ca="1" si="17"/>
        <v>0</v>
      </c>
      <c r="T142">
        <f t="shared" ca="1" si="18"/>
        <v>0</v>
      </c>
      <c r="U142">
        <f t="shared" ca="1" si="19"/>
        <v>0</v>
      </c>
      <c r="V142">
        <f t="shared" ca="1" si="20"/>
        <v>0</v>
      </c>
      <c r="W142">
        <f t="shared" ca="1" si="21"/>
        <v>0</v>
      </c>
      <c r="X142">
        <f t="shared" ca="1" si="22"/>
        <v>0</v>
      </c>
    </row>
    <row r="143" spans="1:24" x14ac:dyDescent="0.2">
      <c r="A143" s="26">
        <f ca="1">Fwd_curves!A173</f>
        <v>39295</v>
      </c>
      <c r="B143">
        <f ca="1">IF($A143&lt;$B$5,0,IF($A143&gt;$B$6,0,Fwd_curves!H173))</f>
        <v>0</v>
      </c>
      <c r="C143">
        <f ca="1">IF($A143&lt;$B$5,0,IF($A143&gt;$B$6,0,Fwd_curves!J173))</f>
        <v>0</v>
      </c>
      <c r="D143">
        <f ca="1">IF($A143&lt;$B$5,0,IF($A143&gt;$B$6,0,Fwd_curves!K173))</f>
        <v>0</v>
      </c>
      <c r="E143">
        <f ca="1">IF($A143&lt;$B$5,0,IF($A143&gt;$B$6,0,Fwd_curves!L173))</f>
        <v>0</v>
      </c>
      <c r="F143">
        <f ca="1">IF($A143&lt;$B$5,0,IF($A143&gt;$B$6,0,Fwd_curves!M173))</f>
        <v>0</v>
      </c>
      <c r="G143">
        <f ca="1">IF($A143&lt;$B$5,0,IF($A143&gt;$B$6,0,Fwd_curves!N173))</f>
        <v>0</v>
      </c>
      <c r="H143" s="12">
        <f ca="1">IF($A143&lt;$B$5,0,IF($A143&gt;$B$6,0,Fwd_curves!O173))</f>
        <v>0</v>
      </c>
      <c r="I143" s="12">
        <f ca="1">IF($A143&lt;$B$5,0,IF($A143&gt;$B$6,0,Fwd_curves!P173))</f>
        <v>0</v>
      </c>
      <c r="J143">
        <f ca="1">IF($A143&lt;$B$5,0,IF($A143&gt;$B$6,0,Fwd_curves!Q173))</f>
        <v>0</v>
      </c>
      <c r="K143">
        <f t="shared" ca="1" si="12"/>
        <v>0</v>
      </c>
      <c r="L143" s="15">
        <f ca="1">external_curves!AB103</f>
        <v>23</v>
      </c>
      <c r="M143" s="15">
        <f ca="1">external_curves!AA103</f>
        <v>8</v>
      </c>
      <c r="N143" s="71">
        <f t="shared" ca="1" si="13"/>
        <v>0</v>
      </c>
      <c r="O143" s="71">
        <f t="shared" ca="1" si="14"/>
        <v>0</v>
      </c>
      <c r="P143" s="71">
        <f t="shared" ca="1" si="15"/>
        <v>0</v>
      </c>
      <c r="Q143" s="71">
        <f t="shared" ca="1" si="16"/>
        <v>0</v>
      </c>
      <c r="R143">
        <f t="shared" ca="1" si="17"/>
        <v>0</v>
      </c>
      <c r="T143">
        <f t="shared" ca="1" si="18"/>
        <v>0</v>
      </c>
      <c r="U143">
        <f t="shared" ca="1" si="19"/>
        <v>0</v>
      </c>
      <c r="V143">
        <f t="shared" ca="1" si="20"/>
        <v>0</v>
      </c>
      <c r="W143">
        <f t="shared" ca="1" si="21"/>
        <v>0</v>
      </c>
      <c r="X143">
        <f t="shared" ca="1" si="22"/>
        <v>0</v>
      </c>
    </row>
    <row r="144" spans="1:24" x14ac:dyDescent="0.2">
      <c r="A144" s="26">
        <f ca="1">Fwd_curves!A174</f>
        <v>39326</v>
      </c>
      <c r="B144">
        <f ca="1">IF($A144&lt;$B$5,0,IF($A144&gt;$B$6,0,Fwd_curves!H174))</f>
        <v>0</v>
      </c>
      <c r="C144">
        <f ca="1">IF($A144&lt;$B$5,0,IF($A144&gt;$B$6,0,Fwd_curves!J174))</f>
        <v>0</v>
      </c>
      <c r="D144">
        <f ca="1">IF($A144&lt;$B$5,0,IF($A144&gt;$B$6,0,Fwd_curves!K174))</f>
        <v>0</v>
      </c>
      <c r="E144">
        <f ca="1">IF($A144&lt;$B$5,0,IF($A144&gt;$B$6,0,Fwd_curves!L174))</f>
        <v>0</v>
      </c>
      <c r="F144">
        <f ca="1">IF($A144&lt;$B$5,0,IF($A144&gt;$B$6,0,Fwd_curves!M174))</f>
        <v>0</v>
      </c>
      <c r="G144">
        <f ca="1">IF($A144&lt;$B$5,0,IF($A144&gt;$B$6,0,Fwd_curves!N174))</f>
        <v>0</v>
      </c>
      <c r="H144" s="12">
        <f ca="1">IF($A144&lt;$B$5,0,IF($A144&gt;$B$6,0,Fwd_curves!O174))</f>
        <v>0</v>
      </c>
      <c r="I144" s="12">
        <f ca="1">IF($A144&lt;$B$5,0,IF($A144&gt;$B$6,0,Fwd_curves!P174))</f>
        <v>0</v>
      </c>
      <c r="J144">
        <f ca="1">IF($A144&lt;$B$5,0,IF($A144&gt;$B$6,0,Fwd_curves!Q174))</f>
        <v>0</v>
      </c>
      <c r="K144">
        <f t="shared" ca="1" si="12"/>
        <v>0</v>
      </c>
      <c r="L144" s="15">
        <f ca="1">external_curves!AB104</f>
        <v>22</v>
      </c>
      <c r="M144" s="15">
        <f ca="1">external_curves!AA104</f>
        <v>8</v>
      </c>
      <c r="N144" s="71">
        <f t="shared" ca="1" si="13"/>
        <v>0</v>
      </c>
      <c r="O144" s="71">
        <f t="shared" ca="1" si="14"/>
        <v>0</v>
      </c>
      <c r="P144" s="71">
        <f t="shared" ca="1" si="15"/>
        <v>0</v>
      </c>
      <c r="Q144" s="71">
        <f t="shared" ca="1" si="16"/>
        <v>0</v>
      </c>
      <c r="R144">
        <f t="shared" ca="1" si="17"/>
        <v>0</v>
      </c>
      <c r="T144">
        <f t="shared" ca="1" si="18"/>
        <v>0</v>
      </c>
      <c r="U144">
        <f t="shared" ca="1" si="19"/>
        <v>0</v>
      </c>
      <c r="V144">
        <f t="shared" ca="1" si="20"/>
        <v>0</v>
      </c>
      <c r="W144">
        <f t="shared" ca="1" si="21"/>
        <v>0</v>
      </c>
      <c r="X144">
        <f t="shared" ca="1" si="22"/>
        <v>0</v>
      </c>
    </row>
    <row r="145" spans="1:24" x14ac:dyDescent="0.2">
      <c r="A145" s="26">
        <f ca="1">Fwd_curves!A175</f>
        <v>39356</v>
      </c>
      <c r="B145">
        <f ca="1">IF($A145&lt;$B$5,0,IF($A145&gt;$B$6,0,Fwd_curves!H175))</f>
        <v>0</v>
      </c>
      <c r="C145">
        <f ca="1">IF($A145&lt;$B$5,0,IF($A145&gt;$B$6,0,Fwd_curves!J175))</f>
        <v>0</v>
      </c>
      <c r="D145">
        <f ca="1">IF($A145&lt;$B$5,0,IF($A145&gt;$B$6,0,Fwd_curves!K175))</f>
        <v>0</v>
      </c>
      <c r="E145">
        <f ca="1">IF($A145&lt;$B$5,0,IF($A145&gt;$B$6,0,Fwd_curves!L175))</f>
        <v>0</v>
      </c>
      <c r="F145">
        <f ca="1">IF($A145&lt;$B$5,0,IF($A145&gt;$B$6,0,Fwd_curves!M175))</f>
        <v>0</v>
      </c>
      <c r="G145">
        <f ca="1">IF($A145&lt;$B$5,0,IF($A145&gt;$B$6,0,Fwd_curves!N175))</f>
        <v>0</v>
      </c>
      <c r="H145" s="12">
        <f ca="1">IF($A145&lt;$B$5,0,IF($A145&gt;$B$6,0,Fwd_curves!O175))</f>
        <v>0</v>
      </c>
      <c r="I145" s="12">
        <f ca="1">IF($A145&lt;$B$5,0,IF($A145&gt;$B$6,0,Fwd_curves!P175))</f>
        <v>0</v>
      </c>
      <c r="J145">
        <f ca="1">IF($A145&lt;$B$5,0,IF($A145&gt;$B$6,0,Fwd_curves!Q175))</f>
        <v>0</v>
      </c>
      <c r="K145">
        <f t="shared" ca="1" si="12"/>
        <v>0</v>
      </c>
      <c r="L145" s="15">
        <f ca="1">external_curves!AB105</f>
        <v>21</v>
      </c>
      <c r="M145" s="15">
        <f ca="1">external_curves!AA105</f>
        <v>10</v>
      </c>
      <c r="N145" s="71">
        <f t="shared" ca="1" si="13"/>
        <v>0</v>
      </c>
      <c r="O145" s="71">
        <f t="shared" ca="1" si="14"/>
        <v>0</v>
      </c>
      <c r="P145" s="71">
        <f t="shared" ca="1" si="15"/>
        <v>0</v>
      </c>
      <c r="Q145" s="71">
        <f t="shared" ca="1" si="16"/>
        <v>0</v>
      </c>
      <c r="R145">
        <f t="shared" ca="1" si="17"/>
        <v>0</v>
      </c>
      <c r="T145">
        <f t="shared" ca="1" si="18"/>
        <v>0</v>
      </c>
      <c r="U145">
        <f t="shared" ca="1" si="19"/>
        <v>0</v>
      </c>
      <c r="V145">
        <f t="shared" ca="1" si="20"/>
        <v>0</v>
      </c>
      <c r="W145">
        <f t="shared" ca="1" si="21"/>
        <v>0</v>
      </c>
      <c r="X145">
        <f t="shared" ca="1" si="22"/>
        <v>0</v>
      </c>
    </row>
    <row r="146" spans="1:24" x14ac:dyDescent="0.2">
      <c r="A146" s="26">
        <f ca="1">Fwd_curves!A176</f>
        <v>39387</v>
      </c>
      <c r="B146">
        <f ca="1">IF($A146&lt;$B$5,0,IF($A146&gt;$B$6,0,Fwd_curves!H176))</f>
        <v>0</v>
      </c>
      <c r="C146">
        <f ca="1">IF($A146&lt;$B$5,0,IF($A146&gt;$B$6,0,Fwd_curves!J176))</f>
        <v>0</v>
      </c>
      <c r="D146">
        <f ca="1">IF($A146&lt;$B$5,0,IF($A146&gt;$B$6,0,Fwd_curves!K176))</f>
        <v>0</v>
      </c>
      <c r="E146">
        <f ca="1">IF($A146&lt;$B$5,0,IF($A146&gt;$B$6,0,Fwd_curves!L176))</f>
        <v>0</v>
      </c>
      <c r="F146">
        <f ca="1">IF($A146&lt;$B$5,0,IF($A146&gt;$B$6,0,Fwd_curves!M176))</f>
        <v>0</v>
      </c>
      <c r="G146">
        <f ca="1">IF($A146&lt;$B$5,0,IF($A146&gt;$B$6,0,Fwd_curves!N176))</f>
        <v>0</v>
      </c>
      <c r="H146" s="12">
        <f ca="1">IF($A146&lt;$B$5,0,IF($A146&gt;$B$6,0,Fwd_curves!O176))</f>
        <v>0</v>
      </c>
      <c r="I146" s="12">
        <f ca="1">IF($A146&lt;$B$5,0,IF($A146&gt;$B$6,0,Fwd_curves!P176))</f>
        <v>0</v>
      </c>
      <c r="J146">
        <f ca="1">IF($A146&lt;$B$5,0,IF($A146&gt;$B$6,0,Fwd_curves!Q176))</f>
        <v>0</v>
      </c>
      <c r="K146">
        <f t="shared" ca="1" si="12"/>
        <v>0</v>
      </c>
      <c r="L146" s="15">
        <f ca="1">external_curves!AB106</f>
        <v>22</v>
      </c>
      <c r="M146" s="15">
        <f ca="1">external_curves!AA106</f>
        <v>8</v>
      </c>
      <c r="N146" s="71">
        <f t="shared" ca="1" si="13"/>
        <v>0</v>
      </c>
      <c r="O146" s="71">
        <f t="shared" ca="1" si="14"/>
        <v>0</v>
      </c>
      <c r="P146" s="71">
        <f t="shared" ca="1" si="15"/>
        <v>0</v>
      </c>
      <c r="Q146" s="71">
        <f t="shared" ca="1" si="16"/>
        <v>0</v>
      </c>
      <c r="R146">
        <f t="shared" ca="1" si="17"/>
        <v>0</v>
      </c>
      <c r="T146">
        <f t="shared" ca="1" si="18"/>
        <v>0</v>
      </c>
      <c r="U146">
        <f t="shared" ca="1" si="19"/>
        <v>0</v>
      </c>
      <c r="V146">
        <f t="shared" ca="1" si="20"/>
        <v>0</v>
      </c>
      <c r="W146">
        <f t="shared" ca="1" si="21"/>
        <v>0</v>
      </c>
      <c r="X146">
        <f t="shared" ca="1" si="22"/>
        <v>0</v>
      </c>
    </row>
    <row r="147" spans="1:24" x14ac:dyDescent="0.2">
      <c r="A147" s="26">
        <f ca="1">Fwd_curves!A177</f>
        <v>39417</v>
      </c>
      <c r="B147">
        <f ca="1">IF($A147&lt;$B$5,0,IF($A147&gt;$B$6,0,Fwd_curves!H177))</f>
        <v>0</v>
      </c>
      <c r="C147">
        <f ca="1">IF($A147&lt;$B$5,0,IF($A147&gt;$B$6,0,Fwd_curves!J177))</f>
        <v>0</v>
      </c>
      <c r="D147">
        <f ca="1">IF($A147&lt;$B$5,0,IF($A147&gt;$B$6,0,Fwd_curves!K177))</f>
        <v>0</v>
      </c>
      <c r="E147">
        <f ca="1">IF($A147&lt;$B$5,0,IF($A147&gt;$B$6,0,Fwd_curves!L177))</f>
        <v>0</v>
      </c>
      <c r="F147">
        <f ca="1">IF($A147&lt;$B$5,0,IF($A147&gt;$B$6,0,Fwd_curves!M177))</f>
        <v>0</v>
      </c>
      <c r="G147">
        <f ca="1">IF($A147&lt;$B$5,0,IF($A147&gt;$B$6,0,Fwd_curves!N177))</f>
        <v>0</v>
      </c>
      <c r="H147" s="12">
        <f ca="1">IF($A147&lt;$B$5,0,IF($A147&gt;$B$6,0,Fwd_curves!O177))</f>
        <v>0</v>
      </c>
      <c r="I147" s="12">
        <f ca="1">IF($A147&lt;$B$5,0,IF($A147&gt;$B$6,0,Fwd_curves!P177))</f>
        <v>0</v>
      </c>
      <c r="J147">
        <f ca="1">IF($A147&lt;$B$5,0,IF($A147&gt;$B$6,0,Fwd_curves!Q177))</f>
        <v>0</v>
      </c>
      <c r="K147">
        <f t="shared" ca="1" si="12"/>
        <v>0</v>
      </c>
      <c r="L147" s="15">
        <f ca="1">external_curves!AB107</f>
        <v>22</v>
      </c>
      <c r="M147" s="15">
        <f ca="1">external_curves!AA107</f>
        <v>9</v>
      </c>
      <c r="N147" s="71">
        <f t="shared" ca="1" si="13"/>
        <v>0</v>
      </c>
      <c r="O147" s="71">
        <f t="shared" ca="1" si="14"/>
        <v>0</v>
      </c>
      <c r="P147" s="71">
        <f t="shared" ca="1" si="15"/>
        <v>0</v>
      </c>
      <c r="Q147" s="71">
        <f t="shared" ca="1" si="16"/>
        <v>0</v>
      </c>
      <c r="R147">
        <f t="shared" ca="1" si="17"/>
        <v>0</v>
      </c>
      <c r="T147">
        <f t="shared" ca="1" si="18"/>
        <v>0</v>
      </c>
      <c r="U147">
        <f t="shared" ca="1" si="19"/>
        <v>0</v>
      </c>
      <c r="V147">
        <f t="shared" ca="1" si="20"/>
        <v>0</v>
      </c>
      <c r="W147">
        <f t="shared" ca="1" si="21"/>
        <v>0</v>
      </c>
      <c r="X147">
        <f t="shared" ca="1" si="22"/>
        <v>0</v>
      </c>
    </row>
    <row r="148" spans="1:24" x14ac:dyDescent="0.2">
      <c r="A148" s="26">
        <f ca="1">Fwd_curves!A178</f>
        <v>39448</v>
      </c>
      <c r="B148">
        <f ca="1">IF($A148&lt;$B$5,0,IF($A148&gt;$B$6,0,Fwd_curves!H178))</f>
        <v>0</v>
      </c>
      <c r="C148">
        <f ca="1">IF($A148&lt;$B$5,0,IF($A148&gt;$B$6,0,Fwd_curves!J178))</f>
        <v>0</v>
      </c>
      <c r="D148">
        <f ca="1">IF($A148&lt;$B$5,0,IF($A148&gt;$B$6,0,Fwd_curves!K178))</f>
        <v>0</v>
      </c>
      <c r="E148">
        <f ca="1">IF($A148&lt;$B$5,0,IF($A148&gt;$B$6,0,Fwd_curves!L178))</f>
        <v>0</v>
      </c>
      <c r="F148">
        <f ca="1">IF($A148&lt;$B$5,0,IF($A148&gt;$B$6,0,Fwd_curves!M178))</f>
        <v>0</v>
      </c>
      <c r="G148">
        <f ca="1">IF($A148&lt;$B$5,0,IF($A148&gt;$B$6,0,Fwd_curves!N178))</f>
        <v>0</v>
      </c>
      <c r="H148" s="12">
        <f ca="1">IF($A148&lt;$B$5,0,IF($A148&gt;$B$6,0,Fwd_curves!O178))</f>
        <v>0</v>
      </c>
      <c r="I148" s="12">
        <f ca="1">IF($A148&lt;$B$5,0,IF($A148&gt;$B$6,0,Fwd_curves!P178))</f>
        <v>0</v>
      </c>
      <c r="J148">
        <f ca="1">IF($A148&lt;$B$5,0,IF($A148&gt;$B$6,0,Fwd_curves!Q178))</f>
        <v>0</v>
      </c>
      <c r="K148">
        <f t="shared" ca="1" si="12"/>
        <v>0</v>
      </c>
      <c r="L148" s="15">
        <f ca="1">external_curves!AB108</f>
        <v>21</v>
      </c>
      <c r="M148" s="15">
        <f ca="1">external_curves!AA108</f>
        <v>10</v>
      </c>
      <c r="N148" s="71">
        <f t="shared" ca="1" si="13"/>
        <v>0</v>
      </c>
      <c r="O148" s="71">
        <f t="shared" ca="1" si="14"/>
        <v>0</v>
      </c>
      <c r="P148" s="71">
        <f t="shared" ca="1" si="15"/>
        <v>0</v>
      </c>
      <c r="Q148" s="71">
        <f t="shared" ca="1" si="16"/>
        <v>0</v>
      </c>
      <c r="R148">
        <f t="shared" ca="1" si="17"/>
        <v>0</v>
      </c>
      <c r="T148">
        <f t="shared" ca="1" si="18"/>
        <v>0</v>
      </c>
      <c r="U148">
        <f t="shared" ca="1" si="19"/>
        <v>0</v>
      </c>
      <c r="V148">
        <f t="shared" ca="1" si="20"/>
        <v>0</v>
      </c>
      <c r="W148">
        <f t="shared" ca="1" si="21"/>
        <v>0</v>
      </c>
      <c r="X148">
        <f t="shared" ca="1" si="22"/>
        <v>0</v>
      </c>
    </row>
    <row r="149" spans="1:24" x14ac:dyDescent="0.2">
      <c r="A149" s="26">
        <f ca="1">Fwd_curves!A179</f>
        <v>39479</v>
      </c>
      <c r="B149">
        <f ca="1">IF($A149&lt;$B$5,0,IF($A149&gt;$B$6,0,Fwd_curves!H179))</f>
        <v>0</v>
      </c>
      <c r="C149">
        <f ca="1">IF($A149&lt;$B$5,0,IF($A149&gt;$B$6,0,Fwd_curves!J179))</f>
        <v>0</v>
      </c>
      <c r="D149">
        <f ca="1">IF($A149&lt;$B$5,0,IF($A149&gt;$B$6,0,Fwd_curves!K179))</f>
        <v>0</v>
      </c>
      <c r="E149">
        <f ca="1">IF($A149&lt;$B$5,0,IF($A149&gt;$B$6,0,Fwd_curves!L179))</f>
        <v>0</v>
      </c>
      <c r="F149">
        <f ca="1">IF($A149&lt;$B$5,0,IF($A149&gt;$B$6,0,Fwd_curves!M179))</f>
        <v>0</v>
      </c>
      <c r="G149">
        <f ca="1">IF($A149&lt;$B$5,0,IF($A149&gt;$B$6,0,Fwd_curves!N179))</f>
        <v>0</v>
      </c>
      <c r="H149" s="12">
        <f ca="1">IF($A149&lt;$B$5,0,IF($A149&gt;$B$6,0,Fwd_curves!O179))</f>
        <v>0</v>
      </c>
      <c r="I149" s="12">
        <f ca="1">IF($A149&lt;$B$5,0,IF($A149&gt;$B$6,0,Fwd_curves!P179))</f>
        <v>0</v>
      </c>
      <c r="J149">
        <f ca="1">IF($A149&lt;$B$5,0,IF($A149&gt;$B$6,0,Fwd_curves!Q179))</f>
        <v>0</v>
      </c>
      <c r="K149">
        <f t="shared" ca="1" si="12"/>
        <v>0</v>
      </c>
      <c r="L149" s="15">
        <f ca="1">external_curves!AB109</f>
        <v>20</v>
      </c>
      <c r="M149" s="15">
        <f ca="1">external_curves!AA109</f>
        <v>8</v>
      </c>
      <c r="N149" s="71">
        <f t="shared" ca="1" si="13"/>
        <v>0</v>
      </c>
      <c r="O149" s="71">
        <f t="shared" ca="1" si="14"/>
        <v>0</v>
      </c>
      <c r="P149" s="71">
        <f t="shared" ca="1" si="15"/>
        <v>0</v>
      </c>
      <c r="Q149" s="71">
        <f t="shared" ca="1" si="16"/>
        <v>0</v>
      </c>
      <c r="R149">
        <f t="shared" ca="1" si="17"/>
        <v>0</v>
      </c>
      <c r="T149">
        <f t="shared" ca="1" si="18"/>
        <v>0</v>
      </c>
      <c r="U149">
        <f t="shared" ca="1" si="19"/>
        <v>0</v>
      </c>
      <c r="V149">
        <f t="shared" ca="1" si="20"/>
        <v>0</v>
      </c>
      <c r="W149">
        <f t="shared" ca="1" si="21"/>
        <v>0</v>
      </c>
      <c r="X149">
        <f t="shared" ca="1" si="22"/>
        <v>0</v>
      </c>
    </row>
    <row r="150" spans="1:24" x14ac:dyDescent="0.2">
      <c r="A150" s="26">
        <f ca="1">Fwd_curves!A180</f>
        <v>39508</v>
      </c>
      <c r="B150">
        <f ca="1">IF($A150&lt;$B$5,0,IF($A150&gt;$B$6,0,Fwd_curves!H180))</f>
        <v>0</v>
      </c>
      <c r="C150">
        <f ca="1">IF($A150&lt;$B$5,0,IF($A150&gt;$B$6,0,Fwd_curves!J180))</f>
        <v>0</v>
      </c>
      <c r="D150">
        <f ca="1">IF($A150&lt;$B$5,0,IF($A150&gt;$B$6,0,Fwd_curves!K180))</f>
        <v>0</v>
      </c>
      <c r="E150">
        <f ca="1">IF($A150&lt;$B$5,0,IF($A150&gt;$B$6,0,Fwd_curves!L180))</f>
        <v>0</v>
      </c>
      <c r="F150">
        <f ca="1">IF($A150&lt;$B$5,0,IF($A150&gt;$B$6,0,Fwd_curves!M180))</f>
        <v>0</v>
      </c>
      <c r="G150">
        <f ca="1">IF($A150&lt;$B$5,0,IF($A150&gt;$B$6,0,Fwd_curves!N180))</f>
        <v>0</v>
      </c>
      <c r="H150" s="12">
        <f ca="1">IF($A150&lt;$B$5,0,IF($A150&gt;$B$6,0,Fwd_curves!O180))</f>
        <v>0</v>
      </c>
      <c r="I150" s="12">
        <f ca="1">IF($A150&lt;$B$5,0,IF($A150&gt;$B$6,0,Fwd_curves!P180))</f>
        <v>0</v>
      </c>
      <c r="J150">
        <f ca="1">IF($A150&lt;$B$5,0,IF($A150&gt;$B$6,0,Fwd_curves!Q180))</f>
        <v>0</v>
      </c>
      <c r="K150">
        <f t="shared" ca="1" si="12"/>
        <v>0</v>
      </c>
      <c r="L150" s="15">
        <f ca="1">external_curves!AB110</f>
        <v>23</v>
      </c>
      <c r="M150" s="15">
        <f ca="1">external_curves!AA110</f>
        <v>8</v>
      </c>
      <c r="N150" s="71">
        <f t="shared" ca="1" si="13"/>
        <v>0</v>
      </c>
      <c r="O150" s="71">
        <f t="shared" ca="1" si="14"/>
        <v>0</v>
      </c>
      <c r="P150" s="71">
        <f t="shared" ca="1" si="15"/>
        <v>0</v>
      </c>
      <c r="Q150" s="71">
        <f t="shared" ca="1" si="16"/>
        <v>0</v>
      </c>
      <c r="R150">
        <f t="shared" ca="1" si="17"/>
        <v>0</v>
      </c>
      <c r="T150">
        <f t="shared" ca="1" si="18"/>
        <v>0</v>
      </c>
      <c r="U150">
        <f t="shared" ca="1" si="19"/>
        <v>0</v>
      </c>
      <c r="V150">
        <f t="shared" ca="1" si="20"/>
        <v>0</v>
      </c>
      <c r="W150">
        <f t="shared" ca="1" si="21"/>
        <v>0</v>
      </c>
      <c r="X150">
        <f t="shared" ca="1" si="22"/>
        <v>0</v>
      </c>
    </row>
    <row r="151" spans="1:24" x14ac:dyDescent="0.2">
      <c r="A151" s="26">
        <f ca="1">Fwd_curves!A181</f>
        <v>39539</v>
      </c>
      <c r="B151">
        <f ca="1">IF($A151&lt;$B$5,0,IF($A151&gt;$B$6,0,Fwd_curves!H181))</f>
        <v>0</v>
      </c>
      <c r="C151">
        <f ca="1">IF($A151&lt;$B$5,0,IF($A151&gt;$B$6,0,Fwd_curves!J181))</f>
        <v>0</v>
      </c>
      <c r="D151">
        <f ca="1">IF($A151&lt;$B$5,0,IF($A151&gt;$B$6,0,Fwd_curves!K181))</f>
        <v>0</v>
      </c>
      <c r="E151">
        <f ca="1">IF($A151&lt;$B$5,0,IF($A151&gt;$B$6,0,Fwd_curves!L181))</f>
        <v>0</v>
      </c>
      <c r="F151">
        <f ca="1">IF($A151&lt;$B$5,0,IF($A151&gt;$B$6,0,Fwd_curves!M181))</f>
        <v>0</v>
      </c>
      <c r="G151">
        <f ca="1">IF($A151&lt;$B$5,0,IF($A151&gt;$B$6,0,Fwd_curves!N181))</f>
        <v>0</v>
      </c>
      <c r="H151" s="12">
        <f ca="1">IF($A151&lt;$B$5,0,IF($A151&gt;$B$6,0,Fwd_curves!O181))</f>
        <v>0</v>
      </c>
      <c r="I151" s="12">
        <f ca="1">IF($A151&lt;$B$5,0,IF($A151&gt;$B$6,0,Fwd_curves!P181))</f>
        <v>0</v>
      </c>
      <c r="J151">
        <f ca="1">IF($A151&lt;$B$5,0,IF($A151&gt;$B$6,0,Fwd_curves!Q181))</f>
        <v>0</v>
      </c>
      <c r="K151">
        <f t="shared" ca="1" si="12"/>
        <v>0</v>
      </c>
      <c r="L151" s="15">
        <f ca="1">external_curves!AB111</f>
        <v>21</v>
      </c>
      <c r="M151" s="15">
        <f ca="1">external_curves!AA111</f>
        <v>9</v>
      </c>
      <c r="N151" s="71">
        <f t="shared" ca="1" si="13"/>
        <v>0</v>
      </c>
      <c r="O151" s="71">
        <f t="shared" ca="1" si="14"/>
        <v>0</v>
      </c>
      <c r="P151" s="71">
        <f t="shared" ca="1" si="15"/>
        <v>0</v>
      </c>
      <c r="Q151" s="71">
        <f t="shared" ca="1" si="16"/>
        <v>0</v>
      </c>
      <c r="R151">
        <f t="shared" ca="1" si="17"/>
        <v>0</v>
      </c>
      <c r="T151">
        <f t="shared" ca="1" si="18"/>
        <v>0</v>
      </c>
      <c r="U151">
        <f t="shared" ca="1" si="19"/>
        <v>0</v>
      </c>
      <c r="V151">
        <f t="shared" ca="1" si="20"/>
        <v>0</v>
      </c>
      <c r="W151">
        <f t="shared" ca="1" si="21"/>
        <v>0</v>
      </c>
      <c r="X151">
        <f t="shared" ca="1" si="22"/>
        <v>0</v>
      </c>
    </row>
    <row r="152" spans="1:24" x14ac:dyDescent="0.2">
      <c r="A152" s="26">
        <f ca="1">Fwd_curves!A182</f>
        <v>39569</v>
      </c>
      <c r="B152">
        <f ca="1">IF($A152&lt;$B$5,0,IF($A152&gt;$B$6,0,Fwd_curves!H182))</f>
        <v>0</v>
      </c>
      <c r="C152">
        <f ca="1">IF($A152&lt;$B$5,0,IF($A152&gt;$B$6,0,Fwd_curves!J182))</f>
        <v>0</v>
      </c>
      <c r="D152">
        <f ca="1">IF($A152&lt;$B$5,0,IF($A152&gt;$B$6,0,Fwd_curves!K182))</f>
        <v>0</v>
      </c>
      <c r="E152">
        <f ca="1">IF($A152&lt;$B$5,0,IF($A152&gt;$B$6,0,Fwd_curves!L182))</f>
        <v>0</v>
      </c>
      <c r="F152">
        <f ca="1">IF($A152&lt;$B$5,0,IF($A152&gt;$B$6,0,Fwd_curves!M182))</f>
        <v>0</v>
      </c>
      <c r="G152">
        <f ca="1">IF($A152&lt;$B$5,0,IF($A152&gt;$B$6,0,Fwd_curves!N182))</f>
        <v>0</v>
      </c>
      <c r="H152" s="12">
        <f ca="1">IF($A152&lt;$B$5,0,IF($A152&gt;$B$6,0,Fwd_curves!O182))</f>
        <v>0</v>
      </c>
      <c r="I152" s="12">
        <f ca="1">IF($A152&lt;$B$5,0,IF($A152&gt;$B$6,0,Fwd_curves!P182))</f>
        <v>0</v>
      </c>
      <c r="J152">
        <f ca="1">IF($A152&lt;$B$5,0,IF($A152&gt;$B$6,0,Fwd_curves!Q182))</f>
        <v>0</v>
      </c>
      <c r="K152">
        <f t="shared" ca="1" si="12"/>
        <v>0</v>
      </c>
      <c r="L152" s="15">
        <f ca="1">external_curves!AB112</f>
        <v>22</v>
      </c>
      <c r="M152" s="15">
        <f ca="1">external_curves!AA112</f>
        <v>9</v>
      </c>
      <c r="N152" s="71">
        <f t="shared" ca="1" si="13"/>
        <v>0</v>
      </c>
      <c r="O152" s="71">
        <f t="shared" ca="1" si="14"/>
        <v>0</v>
      </c>
      <c r="P152" s="71">
        <f t="shared" ca="1" si="15"/>
        <v>0</v>
      </c>
      <c r="Q152" s="71">
        <f t="shared" ca="1" si="16"/>
        <v>0</v>
      </c>
      <c r="R152">
        <f t="shared" ca="1" si="17"/>
        <v>0</v>
      </c>
      <c r="T152">
        <f t="shared" ca="1" si="18"/>
        <v>0</v>
      </c>
      <c r="U152">
        <f t="shared" ca="1" si="19"/>
        <v>0</v>
      </c>
      <c r="V152">
        <f t="shared" ca="1" si="20"/>
        <v>0</v>
      </c>
      <c r="W152">
        <f t="shared" ca="1" si="21"/>
        <v>0</v>
      </c>
      <c r="X152">
        <f t="shared" ca="1" si="22"/>
        <v>0</v>
      </c>
    </row>
    <row r="153" spans="1:24" x14ac:dyDescent="0.2">
      <c r="A153" s="26">
        <f ca="1">Fwd_curves!A183</f>
        <v>39600</v>
      </c>
      <c r="B153">
        <f ca="1">IF($A153&lt;$B$5,0,IF($A153&gt;$B$6,0,Fwd_curves!H183))</f>
        <v>0</v>
      </c>
      <c r="C153">
        <f ca="1">IF($A153&lt;$B$5,0,IF($A153&gt;$B$6,0,Fwd_curves!J183))</f>
        <v>0</v>
      </c>
      <c r="D153">
        <f ca="1">IF($A153&lt;$B$5,0,IF($A153&gt;$B$6,0,Fwd_curves!K183))</f>
        <v>0</v>
      </c>
      <c r="E153">
        <f ca="1">IF($A153&lt;$B$5,0,IF($A153&gt;$B$6,0,Fwd_curves!L183))</f>
        <v>0</v>
      </c>
      <c r="F153">
        <f ca="1">IF($A153&lt;$B$5,0,IF($A153&gt;$B$6,0,Fwd_curves!M183))</f>
        <v>0</v>
      </c>
      <c r="G153">
        <f ca="1">IF($A153&lt;$B$5,0,IF($A153&gt;$B$6,0,Fwd_curves!N183))</f>
        <v>0</v>
      </c>
      <c r="H153" s="12">
        <f ca="1">IF($A153&lt;$B$5,0,IF($A153&gt;$B$6,0,Fwd_curves!O183))</f>
        <v>0</v>
      </c>
      <c r="I153" s="12">
        <f ca="1">IF($A153&lt;$B$5,0,IF($A153&gt;$B$6,0,Fwd_curves!P183))</f>
        <v>0</v>
      </c>
      <c r="J153">
        <f ca="1">IF($A153&lt;$B$5,0,IF($A153&gt;$B$6,0,Fwd_curves!Q183))</f>
        <v>0</v>
      </c>
      <c r="K153">
        <f t="shared" ca="1" si="12"/>
        <v>0</v>
      </c>
      <c r="L153" s="15">
        <f ca="1">external_curves!AB113</f>
        <v>22</v>
      </c>
      <c r="M153" s="15">
        <f ca="1">external_curves!AA113</f>
        <v>8</v>
      </c>
      <c r="N153" s="71">
        <f t="shared" ca="1" si="13"/>
        <v>0</v>
      </c>
      <c r="O153" s="71">
        <f t="shared" ca="1" si="14"/>
        <v>0</v>
      </c>
      <c r="P153" s="71">
        <f t="shared" ca="1" si="15"/>
        <v>0</v>
      </c>
      <c r="Q153" s="71">
        <f t="shared" ca="1" si="16"/>
        <v>0</v>
      </c>
      <c r="R153">
        <f t="shared" ca="1" si="17"/>
        <v>0</v>
      </c>
      <c r="T153">
        <f t="shared" ca="1" si="18"/>
        <v>0</v>
      </c>
      <c r="U153">
        <f t="shared" ca="1" si="19"/>
        <v>0</v>
      </c>
      <c r="V153">
        <f t="shared" ca="1" si="20"/>
        <v>0</v>
      </c>
      <c r="W153">
        <f t="shared" ca="1" si="21"/>
        <v>0</v>
      </c>
      <c r="X153">
        <f t="shared" ca="1" si="22"/>
        <v>0</v>
      </c>
    </row>
    <row r="154" spans="1:24" x14ac:dyDescent="0.2">
      <c r="A154" s="26">
        <f ca="1">Fwd_curves!A184</f>
        <v>39630</v>
      </c>
      <c r="B154">
        <f ca="1">IF($A154&lt;$B$5,0,IF($A154&gt;$B$6,0,Fwd_curves!H184))</f>
        <v>0</v>
      </c>
      <c r="C154">
        <f ca="1">IF($A154&lt;$B$5,0,IF($A154&gt;$B$6,0,Fwd_curves!J184))</f>
        <v>0</v>
      </c>
      <c r="D154">
        <f ca="1">IF($A154&lt;$B$5,0,IF($A154&gt;$B$6,0,Fwd_curves!K184))</f>
        <v>0</v>
      </c>
      <c r="E154">
        <f ca="1">IF($A154&lt;$B$5,0,IF($A154&gt;$B$6,0,Fwd_curves!L184))</f>
        <v>0</v>
      </c>
      <c r="F154">
        <f ca="1">IF($A154&lt;$B$5,0,IF($A154&gt;$B$6,0,Fwd_curves!M184))</f>
        <v>0</v>
      </c>
      <c r="G154">
        <f ca="1">IF($A154&lt;$B$5,0,IF($A154&gt;$B$6,0,Fwd_curves!N184))</f>
        <v>0</v>
      </c>
      <c r="H154" s="12">
        <f ca="1">IF($A154&lt;$B$5,0,IF($A154&gt;$B$6,0,Fwd_curves!O184))</f>
        <v>0</v>
      </c>
      <c r="I154" s="12">
        <f ca="1">IF($A154&lt;$B$5,0,IF($A154&gt;$B$6,0,Fwd_curves!P184))</f>
        <v>0</v>
      </c>
      <c r="J154">
        <f ca="1">IF($A154&lt;$B$5,0,IF($A154&gt;$B$6,0,Fwd_curves!Q184))</f>
        <v>0</v>
      </c>
      <c r="K154">
        <f t="shared" ca="1" si="12"/>
        <v>0</v>
      </c>
      <c r="L154" s="15">
        <f ca="1">external_curves!AB114</f>
        <v>21</v>
      </c>
      <c r="M154" s="15">
        <f ca="1">external_curves!AA114</f>
        <v>10</v>
      </c>
      <c r="N154" s="71">
        <f t="shared" ca="1" si="13"/>
        <v>0</v>
      </c>
      <c r="O154" s="71">
        <f t="shared" ca="1" si="14"/>
        <v>0</v>
      </c>
      <c r="P154" s="71">
        <f t="shared" ca="1" si="15"/>
        <v>0</v>
      </c>
      <c r="Q154" s="71">
        <f t="shared" ca="1" si="16"/>
        <v>0</v>
      </c>
      <c r="R154">
        <f t="shared" ca="1" si="17"/>
        <v>0</v>
      </c>
      <c r="T154">
        <f t="shared" ca="1" si="18"/>
        <v>0</v>
      </c>
      <c r="U154">
        <f t="shared" ca="1" si="19"/>
        <v>0</v>
      </c>
      <c r="V154">
        <f t="shared" ca="1" si="20"/>
        <v>0</v>
      </c>
      <c r="W154">
        <f t="shared" ca="1" si="21"/>
        <v>0</v>
      </c>
      <c r="X154">
        <f t="shared" ca="1" si="22"/>
        <v>0</v>
      </c>
    </row>
    <row r="155" spans="1:24" x14ac:dyDescent="0.2">
      <c r="A155" s="26">
        <f ca="1">Fwd_curves!A185</f>
        <v>39661</v>
      </c>
      <c r="B155">
        <f ca="1">IF($A155&lt;$B$5,0,IF($A155&gt;$B$6,0,Fwd_curves!H185))</f>
        <v>0</v>
      </c>
      <c r="C155">
        <f ca="1">IF($A155&lt;$B$5,0,IF($A155&gt;$B$6,0,Fwd_curves!J185))</f>
        <v>0</v>
      </c>
      <c r="D155">
        <f ca="1">IF($A155&lt;$B$5,0,IF($A155&gt;$B$6,0,Fwd_curves!K185))</f>
        <v>0</v>
      </c>
      <c r="E155">
        <f ca="1">IF($A155&lt;$B$5,0,IF($A155&gt;$B$6,0,Fwd_curves!L185))</f>
        <v>0</v>
      </c>
      <c r="F155">
        <f ca="1">IF($A155&lt;$B$5,0,IF($A155&gt;$B$6,0,Fwd_curves!M185))</f>
        <v>0</v>
      </c>
      <c r="G155">
        <f ca="1">IF($A155&lt;$B$5,0,IF($A155&gt;$B$6,0,Fwd_curves!N185))</f>
        <v>0</v>
      </c>
      <c r="H155" s="12">
        <f ca="1">IF($A155&lt;$B$5,0,IF($A155&gt;$B$6,0,Fwd_curves!O185))</f>
        <v>0</v>
      </c>
      <c r="I155" s="12">
        <f ca="1">IF($A155&lt;$B$5,0,IF($A155&gt;$B$6,0,Fwd_curves!P185))</f>
        <v>0</v>
      </c>
      <c r="J155">
        <f ca="1">IF($A155&lt;$B$5,0,IF($A155&gt;$B$6,0,Fwd_curves!Q185))</f>
        <v>0</v>
      </c>
      <c r="K155">
        <f t="shared" ca="1" si="12"/>
        <v>0</v>
      </c>
      <c r="L155" s="15">
        <f ca="1">external_curves!AB115</f>
        <v>23</v>
      </c>
      <c r="M155" s="15">
        <f ca="1">external_curves!AA115</f>
        <v>8</v>
      </c>
      <c r="N155" s="71">
        <f t="shared" ca="1" si="13"/>
        <v>0</v>
      </c>
      <c r="O155" s="71">
        <f t="shared" ca="1" si="14"/>
        <v>0</v>
      </c>
      <c r="P155" s="71">
        <f t="shared" ca="1" si="15"/>
        <v>0</v>
      </c>
      <c r="Q155" s="71">
        <f t="shared" ca="1" si="16"/>
        <v>0</v>
      </c>
      <c r="R155">
        <f t="shared" ca="1" si="17"/>
        <v>0</v>
      </c>
      <c r="T155">
        <f t="shared" ca="1" si="18"/>
        <v>0</v>
      </c>
      <c r="U155">
        <f t="shared" ca="1" si="19"/>
        <v>0</v>
      </c>
      <c r="V155">
        <f t="shared" ca="1" si="20"/>
        <v>0</v>
      </c>
      <c r="W155">
        <f t="shared" ca="1" si="21"/>
        <v>0</v>
      </c>
      <c r="X155">
        <f t="shared" ca="1" si="22"/>
        <v>0</v>
      </c>
    </row>
    <row r="156" spans="1:24" x14ac:dyDescent="0.2">
      <c r="A156" s="26">
        <f ca="1">Fwd_curves!A186</f>
        <v>39692</v>
      </c>
      <c r="B156">
        <f ca="1">IF($A156&lt;$B$5,0,IF($A156&gt;$B$6,0,Fwd_curves!H186))</f>
        <v>0</v>
      </c>
      <c r="C156">
        <f ca="1">IF($A156&lt;$B$5,0,IF($A156&gt;$B$6,0,Fwd_curves!J186))</f>
        <v>0</v>
      </c>
      <c r="D156">
        <f ca="1">IF($A156&lt;$B$5,0,IF($A156&gt;$B$6,0,Fwd_curves!K186))</f>
        <v>0</v>
      </c>
      <c r="E156">
        <f ca="1">IF($A156&lt;$B$5,0,IF($A156&gt;$B$6,0,Fwd_curves!L186))</f>
        <v>0</v>
      </c>
      <c r="F156">
        <f ca="1">IF($A156&lt;$B$5,0,IF($A156&gt;$B$6,0,Fwd_curves!M186))</f>
        <v>0</v>
      </c>
      <c r="G156">
        <f ca="1">IF($A156&lt;$B$5,0,IF($A156&gt;$B$6,0,Fwd_curves!N186))</f>
        <v>0</v>
      </c>
      <c r="H156" s="12">
        <f ca="1">IF($A156&lt;$B$5,0,IF($A156&gt;$B$6,0,Fwd_curves!O186))</f>
        <v>0</v>
      </c>
      <c r="I156" s="12">
        <f ca="1">IF($A156&lt;$B$5,0,IF($A156&gt;$B$6,0,Fwd_curves!P186))</f>
        <v>0</v>
      </c>
      <c r="J156">
        <f ca="1">IF($A156&lt;$B$5,0,IF($A156&gt;$B$6,0,Fwd_curves!Q186))</f>
        <v>0</v>
      </c>
      <c r="K156">
        <f t="shared" ca="1" si="12"/>
        <v>0</v>
      </c>
      <c r="L156" s="15">
        <f ca="1">external_curves!AB116</f>
        <v>22</v>
      </c>
      <c r="M156" s="15">
        <f ca="1">external_curves!AA116</f>
        <v>8</v>
      </c>
      <c r="N156" s="71">
        <f t="shared" ca="1" si="13"/>
        <v>0</v>
      </c>
      <c r="O156" s="71">
        <f t="shared" ca="1" si="14"/>
        <v>0</v>
      </c>
      <c r="P156" s="71">
        <f t="shared" ca="1" si="15"/>
        <v>0</v>
      </c>
      <c r="Q156" s="71">
        <f t="shared" ca="1" si="16"/>
        <v>0</v>
      </c>
      <c r="R156">
        <f t="shared" ca="1" si="17"/>
        <v>0</v>
      </c>
      <c r="T156">
        <f t="shared" ca="1" si="18"/>
        <v>0</v>
      </c>
      <c r="U156">
        <f t="shared" ca="1" si="19"/>
        <v>0</v>
      </c>
      <c r="V156">
        <f t="shared" ca="1" si="20"/>
        <v>0</v>
      </c>
      <c r="W156">
        <f t="shared" ca="1" si="21"/>
        <v>0</v>
      </c>
      <c r="X156">
        <f t="shared" ca="1" si="22"/>
        <v>0</v>
      </c>
    </row>
    <row r="157" spans="1:24" x14ac:dyDescent="0.2">
      <c r="A157" s="26">
        <f ca="1">Fwd_curves!A187</f>
        <v>39722</v>
      </c>
      <c r="B157">
        <f ca="1">IF($A157&lt;$B$5,0,IF($A157&gt;$B$6,0,Fwd_curves!H187))</f>
        <v>0</v>
      </c>
      <c r="C157">
        <f ca="1">IF($A157&lt;$B$5,0,IF($A157&gt;$B$6,0,Fwd_curves!J187))</f>
        <v>0</v>
      </c>
      <c r="D157">
        <f ca="1">IF($A157&lt;$B$5,0,IF($A157&gt;$B$6,0,Fwd_curves!K187))</f>
        <v>0</v>
      </c>
      <c r="E157">
        <f ca="1">IF($A157&lt;$B$5,0,IF($A157&gt;$B$6,0,Fwd_curves!L187))</f>
        <v>0</v>
      </c>
      <c r="F157">
        <f ca="1">IF($A157&lt;$B$5,0,IF($A157&gt;$B$6,0,Fwd_curves!M187))</f>
        <v>0</v>
      </c>
      <c r="G157">
        <f ca="1">IF($A157&lt;$B$5,0,IF($A157&gt;$B$6,0,Fwd_curves!N187))</f>
        <v>0</v>
      </c>
      <c r="H157" s="12">
        <f ca="1">IF($A157&lt;$B$5,0,IF($A157&gt;$B$6,0,Fwd_curves!O187))</f>
        <v>0</v>
      </c>
      <c r="I157" s="12">
        <f ca="1">IF($A157&lt;$B$5,0,IF($A157&gt;$B$6,0,Fwd_curves!P187))</f>
        <v>0</v>
      </c>
      <c r="J157">
        <f ca="1">IF($A157&lt;$B$5,0,IF($A157&gt;$B$6,0,Fwd_curves!Q187))</f>
        <v>0</v>
      </c>
      <c r="K157">
        <f t="shared" ca="1" si="12"/>
        <v>0</v>
      </c>
      <c r="L157" s="15">
        <f ca="1">external_curves!AB117</f>
        <v>21</v>
      </c>
      <c r="M157" s="15">
        <f ca="1">external_curves!AA117</f>
        <v>10</v>
      </c>
      <c r="N157" s="71">
        <f t="shared" ca="1" si="13"/>
        <v>0</v>
      </c>
      <c r="O157" s="71">
        <f t="shared" ca="1" si="14"/>
        <v>0</v>
      </c>
      <c r="P157" s="71">
        <f t="shared" ca="1" si="15"/>
        <v>0</v>
      </c>
      <c r="Q157" s="71">
        <f t="shared" ca="1" si="16"/>
        <v>0</v>
      </c>
      <c r="R157">
        <f t="shared" ca="1" si="17"/>
        <v>0</v>
      </c>
      <c r="T157">
        <f t="shared" ca="1" si="18"/>
        <v>0</v>
      </c>
      <c r="U157">
        <f t="shared" ca="1" si="19"/>
        <v>0</v>
      </c>
      <c r="V157">
        <f t="shared" ca="1" si="20"/>
        <v>0</v>
      </c>
      <c r="W157">
        <f t="shared" ca="1" si="21"/>
        <v>0</v>
      </c>
      <c r="X157">
        <f t="shared" ca="1" si="22"/>
        <v>0</v>
      </c>
    </row>
    <row r="158" spans="1:24" x14ac:dyDescent="0.2">
      <c r="A158" s="26">
        <f ca="1">Fwd_curves!A188</f>
        <v>39753</v>
      </c>
      <c r="B158">
        <f ca="1">IF($A158&lt;$B$5,0,IF($A158&gt;$B$6,0,Fwd_curves!H188))</f>
        <v>0</v>
      </c>
      <c r="C158">
        <f ca="1">IF($A158&lt;$B$5,0,IF($A158&gt;$B$6,0,Fwd_curves!J188))</f>
        <v>0</v>
      </c>
      <c r="D158">
        <f ca="1">IF($A158&lt;$B$5,0,IF($A158&gt;$B$6,0,Fwd_curves!K188))</f>
        <v>0</v>
      </c>
      <c r="E158">
        <f ca="1">IF($A158&lt;$B$5,0,IF($A158&gt;$B$6,0,Fwd_curves!L188))</f>
        <v>0</v>
      </c>
      <c r="F158">
        <f ca="1">IF($A158&lt;$B$5,0,IF($A158&gt;$B$6,0,Fwd_curves!M188))</f>
        <v>0</v>
      </c>
      <c r="G158">
        <f ca="1">IF($A158&lt;$B$5,0,IF($A158&gt;$B$6,0,Fwd_curves!N188))</f>
        <v>0</v>
      </c>
      <c r="H158" s="12">
        <f ca="1">IF($A158&lt;$B$5,0,IF($A158&gt;$B$6,0,Fwd_curves!O188))</f>
        <v>0</v>
      </c>
      <c r="I158" s="12">
        <f ca="1">IF($A158&lt;$B$5,0,IF($A158&gt;$B$6,0,Fwd_curves!P188))</f>
        <v>0</v>
      </c>
      <c r="J158">
        <f ca="1">IF($A158&lt;$B$5,0,IF($A158&gt;$B$6,0,Fwd_curves!Q188))</f>
        <v>0</v>
      </c>
      <c r="K158">
        <f t="shared" ca="1" si="12"/>
        <v>0</v>
      </c>
      <c r="L158" s="15">
        <f ca="1">external_curves!AB118</f>
        <v>22</v>
      </c>
      <c r="M158" s="15">
        <f ca="1">external_curves!AA118</f>
        <v>8</v>
      </c>
      <c r="N158" s="71">
        <f t="shared" ca="1" si="13"/>
        <v>0</v>
      </c>
      <c r="O158" s="71">
        <f t="shared" ca="1" si="14"/>
        <v>0</v>
      </c>
      <c r="P158" s="71">
        <f t="shared" ca="1" si="15"/>
        <v>0</v>
      </c>
      <c r="Q158" s="71">
        <f t="shared" ca="1" si="16"/>
        <v>0</v>
      </c>
      <c r="R158">
        <f t="shared" ca="1" si="17"/>
        <v>0</v>
      </c>
      <c r="T158">
        <f t="shared" ca="1" si="18"/>
        <v>0</v>
      </c>
      <c r="U158">
        <f t="shared" ca="1" si="19"/>
        <v>0</v>
      </c>
      <c r="V158">
        <f t="shared" ca="1" si="20"/>
        <v>0</v>
      </c>
      <c r="W158">
        <f t="shared" ca="1" si="21"/>
        <v>0</v>
      </c>
      <c r="X158">
        <f t="shared" ca="1" si="22"/>
        <v>0</v>
      </c>
    </row>
    <row r="159" spans="1:24" x14ac:dyDescent="0.2">
      <c r="A159" s="26">
        <f ca="1">Fwd_curves!A189</f>
        <v>39783</v>
      </c>
      <c r="B159">
        <f ca="1">IF($A159&lt;$B$5,0,IF($A159&gt;$B$6,0,Fwd_curves!H189))</f>
        <v>0</v>
      </c>
      <c r="C159">
        <f ca="1">IF($A159&lt;$B$5,0,IF($A159&gt;$B$6,0,Fwd_curves!J189))</f>
        <v>0</v>
      </c>
      <c r="D159">
        <f ca="1">IF($A159&lt;$B$5,0,IF($A159&gt;$B$6,0,Fwd_curves!K189))</f>
        <v>0</v>
      </c>
      <c r="E159">
        <f ca="1">IF($A159&lt;$B$5,0,IF($A159&gt;$B$6,0,Fwd_curves!L189))</f>
        <v>0</v>
      </c>
      <c r="F159">
        <f ca="1">IF($A159&lt;$B$5,0,IF($A159&gt;$B$6,0,Fwd_curves!M189))</f>
        <v>0</v>
      </c>
      <c r="G159">
        <f ca="1">IF($A159&lt;$B$5,0,IF($A159&gt;$B$6,0,Fwd_curves!N189))</f>
        <v>0</v>
      </c>
      <c r="H159" s="12">
        <f ca="1">IF($A159&lt;$B$5,0,IF($A159&gt;$B$6,0,Fwd_curves!O189))</f>
        <v>0</v>
      </c>
      <c r="I159" s="12">
        <f ca="1">IF($A159&lt;$B$5,0,IF($A159&gt;$B$6,0,Fwd_curves!P189))</f>
        <v>0</v>
      </c>
      <c r="J159">
        <f ca="1">IF($A159&lt;$B$5,0,IF($A159&gt;$B$6,0,Fwd_curves!Q189))</f>
        <v>0</v>
      </c>
      <c r="K159">
        <f t="shared" ca="1" si="12"/>
        <v>0</v>
      </c>
      <c r="L159" s="15">
        <f ca="1">external_curves!AB119</f>
        <v>22</v>
      </c>
      <c r="M159" s="15">
        <f ca="1">external_curves!AA119</f>
        <v>9</v>
      </c>
      <c r="N159" s="71">
        <f t="shared" ca="1" si="13"/>
        <v>0</v>
      </c>
      <c r="O159" s="71">
        <f t="shared" ca="1" si="14"/>
        <v>0</v>
      </c>
      <c r="P159" s="71">
        <f t="shared" ca="1" si="15"/>
        <v>0</v>
      </c>
      <c r="Q159" s="71">
        <f t="shared" ca="1" si="16"/>
        <v>0</v>
      </c>
      <c r="R159">
        <f t="shared" ca="1" si="17"/>
        <v>0</v>
      </c>
      <c r="T159">
        <f t="shared" ca="1" si="18"/>
        <v>0</v>
      </c>
      <c r="U159">
        <f t="shared" ca="1" si="19"/>
        <v>0</v>
      </c>
      <c r="V159">
        <f t="shared" ca="1" si="20"/>
        <v>0</v>
      </c>
      <c r="W159">
        <f t="shared" ca="1" si="21"/>
        <v>0</v>
      </c>
      <c r="X159">
        <f t="shared" ca="1" si="22"/>
        <v>0</v>
      </c>
    </row>
    <row r="160" spans="1:24" x14ac:dyDescent="0.2">
      <c r="A160" s="26">
        <f ca="1">Fwd_curves!A190</f>
        <v>39814</v>
      </c>
      <c r="B160">
        <f ca="1">IF($A160&lt;$B$5,0,IF($A160&gt;$B$6,0,Fwd_curves!H190))</f>
        <v>0</v>
      </c>
      <c r="C160">
        <f ca="1">IF($A160&lt;$B$5,0,IF($A160&gt;$B$6,0,Fwd_curves!J190))</f>
        <v>0</v>
      </c>
      <c r="D160">
        <f ca="1">IF($A160&lt;$B$5,0,IF($A160&gt;$B$6,0,Fwd_curves!K190))</f>
        <v>0</v>
      </c>
      <c r="E160">
        <f ca="1">IF($A160&lt;$B$5,0,IF($A160&gt;$B$6,0,Fwd_curves!L190))</f>
        <v>0</v>
      </c>
      <c r="F160">
        <f ca="1">IF($A160&lt;$B$5,0,IF($A160&gt;$B$6,0,Fwd_curves!M190))</f>
        <v>0</v>
      </c>
      <c r="G160">
        <f ca="1">IF($A160&lt;$B$5,0,IF($A160&gt;$B$6,0,Fwd_curves!N190))</f>
        <v>0</v>
      </c>
      <c r="H160" s="12">
        <f ca="1">IF($A160&lt;$B$5,0,IF($A160&gt;$B$6,0,Fwd_curves!O190))</f>
        <v>0</v>
      </c>
      <c r="I160" s="12">
        <f ca="1">IF($A160&lt;$B$5,0,IF($A160&gt;$B$6,0,Fwd_curves!P190))</f>
        <v>0</v>
      </c>
      <c r="J160">
        <f ca="1">IF($A160&lt;$B$5,0,IF($A160&gt;$B$6,0,Fwd_curves!Q190))</f>
        <v>0</v>
      </c>
      <c r="K160">
        <f t="shared" ca="1" si="12"/>
        <v>0</v>
      </c>
      <c r="L160" s="15">
        <f ca="1">external_curves!AB120</f>
        <v>21</v>
      </c>
      <c r="M160" s="15">
        <f ca="1">external_curves!AA120</f>
        <v>10</v>
      </c>
      <c r="N160" s="71">
        <f t="shared" ca="1" si="13"/>
        <v>0</v>
      </c>
      <c r="O160" s="71">
        <f t="shared" ca="1" si="14"/>
        <v>0</v>
      </c>
      <c r="P160" s="71">
        <f t="shared" ca="1" si="15"/>
        <v>0</v>
      </c>
      <c r="Q160" s="71">
        <f t="shared" ca="1" si="16"/>
        <v>0</v>
      </c>
      <c r="R160">
        <f t="shared" ca="1" si="17"/>
        <v>0</v>
      </c>
      <c r="T160">
        <f t="shared" ca="1" si="18"/>
        <v>0</v>
      </c>
      <c r="U160">
        <f t="shared" ca="1" si="19"/>
        <v>0</v>
      </c>
      <c r="V160">
        <f t="shared" ca="1" si="20"/>
        <v>0</v>
      </c>
      <c r="W160">
        <f t="shared" ca="1" si="21"/>
        <v>0</v>
      </c>
      <c r="X160">
        <f t="shared" ca="1" si="22"/>
        <v>0</v>
      </c>
    </row>
    <row r="161" spans="1:24" x14ac:dyDescent="0.2">
      <c r="A161" s="26">
        <f ca="1">Fwd_curves!A191</f>
        <v>39845</v>
      </c>
      <c r="B161">
        <f ca="1">IF($A161&lt;$B$5,0,IF($A161&gt;$B$6,0,Fwd_curves!H191))</f>
        <v>0</v>
      </c>
      <c r="C161">
        <f ca="1">IF($A161&lt;$B$5,0,IF($A161&gt;$B$6,0,Fwd_curves!J191))</f>
        <v>0</v>
      </c>
      <c r="D161">
        <f ca="1">IF($A161&lt;$B$5,0,IF($A161&gt;$B$6,0,Fwd_curves!K191))</f>
        <v>0</v>
      </c>
      <c r="E161">
        <f ca="1">IF($A161&lt;$B$5,0,IF($A161&gt;$B$6,0,Fwd_curves!L191))</f>
        <v>0</v>
      </c>
      <c r="F161">
        <f ca="1">IF($A161&lt;$B$5,0,IF($A161&gt;$B$6,0,Fwd_curves!M191))</f>
        <v>0</v>
      </c>
      <c r="G161">
        <f ca="1">IF($A161&lt;$B$5,0,IF($A161&gt;$B$6,0,Fwd_curves!N191))</f>
        <v>0</v>
      </c>
      <c r="H161" s="12">
        <f ca="1">IF($A161&lt;$B$5,0,IF($A161&gt;$B$6,0,Fwd_curves!O191))</f>
        <v>0</v>
      </c>
      <c r="I161" s="12">
        <f ca="1">IF($A161&lt;$B$5,0,IF($A161&gt;$B$6,0,Fwd_curves!P191))</f>
        <v>0</v>
      </c>
      <c r="J161">
        <f ca="1">IF($A161&lt;$B$5,0,IF($A161&gt;$B$6,0,Fwd_curves!Q191))</f>
        <v>0</v>
      </c>
      <c r="K161">
        <f t="shared" ca="1" si="12"/>
        <v>0</v>
      </c>
      <c r="L161" s="15">
        <f ca="1">external_curves!AB121</f>
        <v>20</v>
      </c>
      <c r="M161" s="15">
        <f ca="1">external_curves!AA121</f>
        <v>8</v>
      </c>
      <c r="N161" s="71">
        <f t="shared" ca="1" si="13"/>
        <v>0</v>
      </c>
      <c r="O161" s="71">
        <f t="shared" ca="1" si="14"/>
        <v>0</v>
      </c>
      <c r="P161" s="71">
        <f t="shared" ca="1" si="15"/>
        <v>0</v>
      </c>
      <c r="Q161" s="71">
        <f t="shared" ca="1" si="16"/>
        <v>0</v>
      </c>
      <c r="R161">
        <f t="shared" ca="1" si="17"/>
        <v>0</v>
      </c>
      <c r="T161">
        <f t="shared" ca="1" si="18"/>
        <v>0</v>
      </c>
      <c r="U161">
        <f t="shared" ca="1" si="19"/>
        <v>0</v>
      </c>
      <c r="V161">
        <f t="shared" ca="1" si="20"/>
        <v>0</v>
      </c>
      <c r="W161">
        <f t="shared" ca="1" si="21"/>
        <v>0</v>
      </c>
      <c r="X161">
        <f t="shared" ca="1" si="22"/>
        <v>0</v>
      </c>
    </row>
    <row r="162" spans="1:24" x14ac:dyDescent="0.2">
      <c r="A162" s="26">
        <f ca="1">Fwd_curves!A192</f>
        <v>39873</v>
      </c>
      <c r="B162">
        <f ca="1">IF($A162&lt;$B$5,0,IF($A162&gt;$B$6,0,Fwd_curves!H192))</f>
        <v>0</v>
      </c>
      <c r="C162">
        <f ca="1">IF($A162&lt;$B$5,0,IF($A162&gt;$B$6,0,Fwd_curves!J192))</f>
        <v>0</v>
      </c>
      <c r="D162">
        <f ca="1">IF($A162&lt;$B$5,0,IF($A162&gt;$B$6,0,Fwd_curves!K192))</f>
        <v>0</v>
      </c>
      <c r="E162">
        <f ca="1">IF($A162&lt;$B$5,0,IF($A162&gt;$B$6,0,Fwd_curves!L192))</f>
        <v>0</v>
      </c>
      <c r="F162">
        <f ca="1">IF($A162&lt;$B$5,0,IF($A162&gt;$B$6,0,Fwd_curves!M192))</f>
        <v>0</v>
      </c>
      <c r="G162">
        <f ca="1">IF($A162&lt;$B$5,0,IF($A162&gt;$B$6,0,Fwd_curves!N192))</f>
        <v>0</v>
      </c>
      <c r="H162" s="12">
        <f ca="1">IF($A162&lt;$B$5,0,IF($A162&gt;$B$6,0,Fwd_curves!O192))</f>
        <v>0</v>
      </c>
      <c r="I162" s="12">
        <f ca="1">IF($A162&lt;$B$5,0,IF($A162&gt;$B$6,0,Fwd_curves!P192))</f>
        <v>0</v>
      </c>
      <c r="J162">
        <f ca="1">IF($A162&lt;$B$5,0,IF($A162&gt;$B$6,0,Fwd_curves!Q192))</f>
        <v>0</v>
      </c>
      <c r="K162">
        <f t="shared" ca="1" si="12"/>
        <v>0</v>
      </c>
      <c r="L162" s="15">
        <f ca="1">external_curves!AB122</f>
        <v>23</v>
      </c>
      <c r="M162" s="15">
        <f ca="1">external_curves!AA122</f>
        <v>8</v>
      </c>
      <c r="N162" s="71">
        <f t="shared" ca="1" si="13"/>
        <v>0</v>
      </c>
      <c r="O162" s="71">
        <f t="shared" ca="1" si="14"/>
        <v>0</v>
      </c>
      <c r="P162" s="71">
        <f t="shared" ca="1" si="15"/>
        <v>0</v>
      </c>
      <c r="Q162" s="71">
        <f t="shared" ca="1" si="16"/>
        <v>0</v>
      </c>
      <c r="R162">
        <f t="shared" ca="1" si="17"/>
        <v>0</v>
      </c>
      <c r="T162">
        <f t="shared" ca="1" si="18"/>
        <v>0</v>
      </c>
      <c r="U162">
        <f t="shared" ca="1" si="19"/>
        <v>0</v>
      </c>
      <c r="V162">
        <f t="shared" ca="1" si="20"/>
        <v>0</v>
      </c>
      <c r="W162">
        <f t="shared" ca="1" si="21"/>
        <v>0</v>
      </c>
      <c r="X162">
        <f t="shared" ca="1" si="22"/>
        <v>0</v>
      </c>
    </row>
    <row r="163" spans="1:24" x14ac:dyDescent="0.2">
      <c r="A163" s="26">
        <f ca="1">Fwd_curves!A193</f>
        <v>39904</v>
      </c>
      <c r="B163">
        <f ca="1">IF($A163&lt;$B$5,0,IF($A163&gt;$B$6,0,Fwd_curves!H193))</f>
        <v>0</v>
      </c>
      <c r="C163">
        <f ca="1">IF($A163&lt;$B$5,0,IF($A163&gt;$B$6,0,Fwd_curves!J193))</f>
        <v>0</v>
      </c>
      <c r="D163">
        <f ca="1">IF($A163&lt;$B$5,0,IF($A163&gt;$B$6,0,Fwd_curves!K193))</f>
        <v>0</v>
      </c>
      <c r="E163">
        <f ca="1">IF($A163&lt;$B$5,0,IF($A163&gt;$B$6,0,Fwd_curves!L193))</f>
        <v>0</v>
      </c>
      <c r="F163">
        <f ca="1">IF($A163&lt;$B$5,0,IF($A163&gt;$B$6,0,Fwd_curves!M193))</f>
        <v>0</v>
      </c>
      <c r="G163">
        <f ca="1">IF($A163&lt;$B$5,0,IF($A163&gt;$B$6,0,Fwd_curves!N193))</f>
        <v>0</v>
      </c>
      <c r="H163" s="12">
        <f ca="1">IF($A163&lt;$B$5,0,IF($A163&gt;$B$6,0,Fwd_curves!O193))</f>
        <v>0</v>
      </c>
      <c r="I163" s="12">
        <f ca="1">IF($A163&lt;$B$5,0,IF($A163&gt;$B$6,0,Fwd_curves!P193))</f>
        <v>0</v>
      </c>
      <c r="J163">
        <f ca="1">IF($A163&lt;$B$5,0,IF($A163&gt;$B$6,0,Fwd_curves!Q193))</f>
        <v>0</v>
      </c>
      <c r="K163">
        <f t="shared" ca="1" si="12"/>
        <v>0</v>
      </c>
      <c r="L163" s="15">
        <f ca="1">external_curves!AB123</f>
        <v>21</v>
      </c>
      <c r="M163" s="15">
        <f ca="1">external_curves!AA123</f>
        <v>9</v>
      </c>
      <c r="N163" s="71">
        <f t="shared" ca="1" si="13"/>
        <v>0</v>
      </c>
      <c r="O163" s="71">
        <f t="shared" ca="1" si="14"/>
        <v>0</v>
      </c>
      <c r="P163" s="71">
        <f t="shared" ca="1" si="15"/>
        <v>0</v>
      </c>
      <c r="Q163" s="71">
        <f t="shared" ca="1" si="16"/>
        <v>0</v>
      </c>
      <c r="R163">
        <f t="shared" ca="1" si="17"/>
        <v>0</v>
      </c>
      <c r="T163">
        <f t="shared" ca="1" si="18"/>
        <v>0</v>
      </c>
      <c r="U163">
        <f t="shared" ca="1" si="19"/>
        <v>0</v>
      </c>
      <c r="V163">
        <f t="shared" ca="1" si="20"/>
        <v>0</v>
      </c>
      <c r="W163">
        <f t="shared" ca="1" si="21"/>
        <v>0</v>
      </c>
      <c r="X163">
        <f t="shared" ca="1" si="22"/>
        <v>0</v>
      </c>
    </row>
    <row r="164" spans="1:24" x14ac:dyDescent="0.2">
      <c r="A164" s="26">
        <f ca="1">Fwd_curves!A194</f>
        <v>39934</v>
      </c>
      <c r="B164">
        <f ca="1">IF($A164&lt;$B$5,0,IF($A164&gt;$B$6,0,Fwd_curves!H194))</f>
        <v>0</v>
      </c>
      <c r="C164">
        <f ca="1">IF($A164&lt;$B$5,0,IF($A164&gt;$B$6,0,Fwd_curves!J194))</f>
        <v>0</v>
      </c>
      <c r="D164">
        <f ca="1">IF($A164&lt;$B$5,0,IF($A164&gt;$B$6,0,Fwd_curves!K194))</f>
        <v>0</v>
      </c>
      <c r="E164">
        <f ca="1">IF($A164&lt;$B$5,0,IF($A164&gt;$B$6,0,Fwd_curves!L194))</f>
        <v>0</v>
      </c>
      <c r="F164">
        <f ca="1">IF($A164&lt;$B$5,0,IF($A164&gt;$B$6,0,Fwd_curves!M194))</f>
        <v>0</v>
      </c>
      <c r="G164">
        <f ca="1">IF($A164&lt;$B$5,0,IF($A164&gt;$B$6,0,Fwd_curves!N194))</f>
        <v>0</v>
      </c>
      <c r="H164" s="12">
        <f ca="1">IF($A164&lt;$B$5,0,IF($A164&gt;$B$6,0,Fwd_curves!O194))</f>
        <v>0</v>
      </c>
      <c r="I164" s="12">
        <f ca="1">IF($A164&lt;$B$5,0,IF($A164&gt;$B$6,0,Fwd_curves!P194))</f>
        <v>0</v>
      </c>
      <c r="J164">
        <f ca="1">IF($A164&lt;$B$5,0,IF($A164&gt;$B$6,0,Fwd_curves!Q194))</f>
        <v>0</v>
      </c>
      <c r="K164">
        <f t="shared" ca="1" si="12"/>
        <v>0</v>
      </c>
      <c r="L164" s="15">
        <f ca="1">external_curves!AB124</f>
        <v>22</v>
      </c>
      <c r="M164" s="15">
        <f ca="1">external_curves!AA124</f>
        <v>9</v>
      </c>
      <c r="N164" s="71">
        <f t="shared" ca="1" si="13"/>
        <v>0</v>
      </c>
      <c r="O164" s="71">
        <f t="shared" ca="1" si="14"/>
        <v>0</v>
      </c>
      <c r="P164" s="71">
        <f t="shared" ca="1" si="15"/>
        <v>0</v>
      </c>
      <c r="Q164" s="71">
        <f t="shared" ca="1" si="16"/>
        <v>0</v>
      </c>
      <c r="R164">
        <f t="shared" ca="1" si="17"/>
        <v>0</v>
      </c>
      <c r="T164">
        <f t="shared" ca="1" si="18"/>
        <v>0</v>
      </c>
      <c r="U164">
        <f t="shared" ca="1" si="19"/>
        <v>0</v>
      </c>
      <c r="V164">
        <f t="shared" ca="1" si="20"/>
        <v>0</v>
      </c>
      <c r="W164">
        <f t="shared" ca="1" si="21"/>
        <v>0</v>
      </c>
      <c r="X164">
        <f t="shared" ca="1" si="22"/>
        <v>0</v>
      </c>
    </row>
    <row r="165" spans="1:24" x14ac:dyDescent="0.2">
      <c r="A165" s="26">
        <f ca="1">Fwd_curves!A195</f>
        <v>39965</v>
      </c>
      <c r="B165">
        <f ca="1">IF($A165&lt;$B$5,0,IF($A165&gt;$B$6,0,Fwd_curves!H195))</f>
        <v>0</v>
      </c>
      <c r="C165">
        <f ca="1">IF($A165&lt;$B$5,0,IF($A165&gt;$B$6,0,Fwd_curves!J195))</f>
        <v>0</v>
      </c>
      <c r="D165">
        <f ca="1">IF($A165&lt;$B$5,0,IF($A165&gt;$B$6,0,Fwd_curves!K195))</f>
        <v>0</v>
      </c>
      <c r="E165">
        <f ca="1">IF($A165&lt;$B$5,0,IF($A165&gt;$B$6,0,Fwd_curves!L195))</f>
        <v>0</v>
      </c>
      <c r="F165">
        <f ca="1">IF($A165&lt;$B$5,0,IF($A165&gt;$B$6,0,Fwd_curves!M195))</f>
        <v>0</v>
      </c>
      <c r="G165">
        <f ca="1">IF($A165&lt;$B$5,0,IF($A165&gt;$B$6,0,Fwd_curves!N195))</f>
        <v>0</v>
      </c>
      <c r="H165" s="12">
        <f ca="1">IF($A165&lt;$B$5,0,IF($A165&gt;$B$6,0,Fwd_curves!O195))</f>
        <v>0</v>
      </c>
      <c r="I165" s="12">
        <f ca="1">IF($A165&lt;$B$5,0,IF($A165&gt;$B$6,0,Fwd_curves!P195))</f>
        <v>0</v>
      </c>
      <c r="J165">
        <f ca="1">IF($A165&lt;$B$5,0,IF($A165&gt;$B$6,0,Fwd_curves!Q195))</f>
        <v>0</v>
      </c>
      <c r="K165">
        <f t="shared" ca="1" si="12"/>
        <v>0</v>
      </c>
      <c r="L165" s="15">
        <f ca="1">external_curves!AB125</f>
        <v>22</v>
      </c>
      <c r="M165" s="15">
        <f ca="1">external_curves!AA125</f>
        <v>8</v>
      </c>
      <c r="N165" s="71">
        <f t="shared" ca="1" si="13"/>
        <v>0</v>
      </c>
      <c r="O165" s="71">
        <f t="shared" ca="1" si="14"/>
        <v>0</v>
      </c>
      <c r="P165" s="71">
        <f t="shared" ca="1" si="15"/>
        <v>0</v>
      </c>
      <c r="Q165" s="71">
        <f t="shared" ca="1" si="16"/>
        <v>0</v>
      </c>
      <c r="R165">
        <f t="shared" ca="1" si="17"/>
        <v>0</v>
      </c>
      <c r="T165">
        <f t="shared" ca="1" si="18"/>
        <v>0</v>
      </c>
      <c r="U165">
        <f t="shared" ca="1" si="19"/>
        <v>0</v>
      </c>
      <c r="V165">
        <f t="shared" ca="1" si="20"/>
        <v>0</v>
      </c>
      <c r="W165">
        <f t="shared" ca="1" si="21"/>
        <v>0</v>
      </c>
      <c r="X165">
        <f t="shared" ca="1" si="22"/>
        <v>0</v>
      </c>
    </row>
    <row r="166" spans="1:24" x14ac:dyDescent="0.2">
      <c r="A166" s="26">
        <f ca="1">Fwd_curves!A196</f>
        <v>39995</v>
      </c>
      <c r="B166">
        <f ca="1">IF($A166&lt;$B$5,0,IF($A166&gt;$B$6,0,Fwd_curves!H196))</f>
        <v>0</v>
      </c>
      <c r="C166">
        <f ca="1">IF($A166&lt;$B$5,0,IF($A166&gt;$B$6,0,Fwd_curves!J196))</f>
        <v>0</v>
      </c>
      <c r="D166">
        <f ca="1">IF($A166&lt;$B$5,0,IF($A166&gt;$B$6,0,Fwd_curves!K196))</f>
        <v>0</v>
      </c>
      <c r="E166">
        <f ca="1">IF($A166&lt;$B$5,0,IF($A166&gt;$B$6,0,Fwd_curves!L196))</f>
        <v>0</v>
      </c>
      <c r="F166">
        <f ca="1">IF($A166&lt;$B$5,0,IF($A166&gt;$B$6,0,Fwd_curves!M196))</f>
        <v>0</v>
      </c>
      <c r="G166">
        <f ca="1">IF($A166&lt;$B$5,0,IF($A166&gt;$B$6,0,Fwd_curves!N196))</f>
        <v>0</v>
      </c>
      <c r="H166" s="12">
        <f ca="1">IF($A166&lt;$B$5,0,IF($A166&gt;$B$6,0,Fwd_curves!O196))</f>
        <v>0</v>
      </c>
      <c r="I166" s="12">
        <f ca="1">IF($A166&lt;$B$5,0,IF($A166&gt;$B$6,0,Fwd_curves!P196))</f>
        <v>0</v>
      </c>
      <c r="J166">
        <f ca="1">IF($A166&lt;$B$5,0,IF($A166&gt;$B$6,0,Fwd_curves!Q196))</f>
        <v>0</v>
      </c>
      <c r="K166">
        <f t="shared" ca="1" si="12"/>
        <v>0</v>
      </c>
      <c r="L166" s="15">
        <f ca="1">external_curves!AB126</f>
        <v>21</v>
      </c>
      <c r="M166" s="15">
        <f ca="1">external_curves!AA126</f>
        <v>10</v>
      </c>
      <c r="N166" s="71">
        <f t="shared" ca="1" si="13"/>
        <v>0</v>
      </c>
      <c r="O166" s="71">
        <f t="shared" ca="1" si="14"/>
        <v>0</v>
      </c>
      <c r="P166" s="71">
        <f t="shared" ca="1" si="15"/>
        <v>0</v>
      </c>
      <c r="Q166" s="71">
        <f t="shared" ca="1" si="16"/>
        <v>0</v>
      </c>
      <c r="R166">
        <f t="shared" ca="1" si="17"/>
        <v>0</v>
      </c>
      <c r="T166">
        <f t="shared" ca="1" si="18"/>
        <v>0</v>
      </c>
      <c r="U166">
        <f t="shared" ca="1" si="19"/>
        <v>0</v>
      </c>
      <c r="V166">
        <f t="shared" ca="1" si="20"/>
        <v>0</v>
      </c>
      <c r="W166">
        <f t="shared" ca="1" si="21"/>
        <v>0</v>
      </c>
      <c r="X166">
        <f t="shared" ca="1" si="22"/>
        <v>0</v>
      </c>
    </row>
    <row r="167" spans="1:24" x14ac:dyDescent="0.2">
      <c r="A167" s="26">
        <f ca="1">Fwd_curves!A197</f>
        <v>40026</v>
      </c>
      <c r="B167">
        <f ca="1">IF($A167&lt;$B$5,0,IF($A167&gt;$B$6,0,Fwd_curves!H197))</f>
        <v>0</v>
      </c>
      <c r="C167">
        <f ca="1">IF($A167&lt;$B$5,0,IF($A167&gt;$B$6,0,Fwd_curves!J197))</f>
        <v>0</v>
      </c>
      <c r="D167">
        <f ca="1">IF($A167&lt;$B$5,0,IF($A167&gt;$B$6,0,Fwd_curves!K197))</f>
        <v>0</v>
      </c>
      <c r="E167">
        <f ca="1">IF($A167&lt;$B$5,0,IF($A167&gt;$B$6,0,Fwd_curves!L197))</f>
        <v>0</v>
      </c>
      <c r="F167">
        <f ca="1">IF($A167&lt;$B$5,0,IF($A167&gt;$B$6,0,Fwd_curves!M197))</f>
        <v>0</v>
      </c>
      <c r="G167">
        <f ca="1">IF($A167&lt;$B$5,0,IF($A167&gt;$B$6,0,Fwd_curves!N197))</f>
        <v>0</v>
      </c>
      <c r="H167" s="12">
        <f ca="1">IF($A167&lt;$B$5,0,IF($A167&gt;$B$6,0,Fwd_curves!O197))</f>
        <v>0</v>
      </c>
      <c r="I167" s="12">
        <f ca="1">IF($A167&lt;$B$5,0,IF($A167&gt;$B$6,0,Fwd_curves!P197))</f>
        <v>0</v>
      </c>
      <c r="J167">
        <f ca="1">IF($A167&lt;$B$5,0,IF($A167&gt;$B$6,0,Fwd_curves!Q197))</f>
        <v>0</v>
      </c>
      <c r="K167">
        <f t="shared" ca="1" si="12"/>
        <v>0</v>
      </c>
      <c r="L167" s="15">
        <f ca="1">external_curves!AB127</f>
        <v>23</v>
      </c>
      <c r="M167" s="15">
        <f ca="1">external_curves!AA127</f>
        <v>8</v>
      </c>
      <c r="N167" s="71">
        <f t="shared" ca="1" si="13"/>
        <v>0</v>
      </c>
      <c r="O167" s="71">
        <f t="shared" ca="1" si="14"/>
        <v>0</v>
      </c>
      <c r="P167" s="71">
        <f t="shared" ca="1" si="15"/>
        <v>0</v>
      </c>
      <c r="Q167" s="71">
        <f t="shared" ca="1" si="16"/>
        <v>0</v>
      </c>
      <c r="R167">
        <f t="shared" ca="1" si="17"/>
        <v>0</v>
      </c>
      <c r="T167">
        <f t="shared" ca="1" si="18"/>
        <v>0</v>
      </c>
      <c r="U167">
        <f t="shared" ca="1" si="19"/>
        <v>0</v>
      </c>
      <c r="V167">
        <f t="shared" ca="1" si="20"/>
        <v>0</v>
      </c>
      <c r="W167">
        <f t="shared" ca="1" si="21"/>
        <v>0</v>
      </c>
      <c r="X167">
        <f t="shared" ca="1" si="22"/>
        <v>0</v>
      </c>
    </row>
    <row r="168" spans="1:24" x14ac:dyDescent="0.2">
      <c r="A168" s="26">
        <f ca="1">Fwd_curves!A198</f>
        <v>40057</v>
      </c>
      <c r="B168">
        <f ca="1">IF($A168&lt;$B$5,0,IF($A168&gt;$B$6,0,Fwd_curves!H198))</f>
        <v>0</v>
      </c>
      <c r="C168">
        <f ca="1">IF($A168&lt;$B$5,0,IF($A168&gt;$B$6,0,Fwd_curves!J198))</f>
        <v>0</v>
      </c>
      <c r="D168">
        <f ca="1">IF($A168&lt;$B$5,0,IF($A168&gt;$B$6,0,Fwd_curves!K198))</f>
        <v>0</v>
      </c>
      <c r="E168">
        <f ca="1">IF($A168&lt;$B$5,0,IF($A168&gt;$B$6,0,Fwd_curves!L198))</f>
        <v>0</v>
      </c>
      <c r="F168">
        <f ca="1">IF($A168&lt;$B$5,0,IF($A168&gt;$B$6,0,Fwd_curves!M198))</f>
        <v>0</v>
      </c>
      <c r="G168">
        <f ca="1">IF($A168&lt;$B$5,0,IF($A168&gt;$B$6,0,Fwd_curves!N198))</f>
        <v>0</v>
      </c>
      <c r="H168" s="12">
        <f ca="1">IF($A168&lt;$B$5,0,IF($A168&gt;$B$6,0,Fwd_curves!O198))</f>
        <v>0</v>
      </c>
      <c r="I168" s="12">
        <f ca="1">IF($A168&lt;$B$5,0,IF($A168&gt;$B$6,0,Fwd_curves!P198))</f>
        <v>0</v>
      </c>
      <c r="J168">
        <f ca="1">IF($A168&lt;$B$5,0,IF($A168&gt;$B$6,0,Fwd_curves!Q198))</f>
        <v>0</v>
      </c>
      <c r="K168">
        <f t="shared" ca="1" si="12"/>
        <v>0</v>
      </c>
      <c r="L168" s="15">
        <f ca="1">external_curves!AB128</f>
        <v>22</v>
      </c>
      <c r="M168" s="15">
        <f ca="1">external_curves!AA128</f>
        <v>8</v>
      </c>
      <c r="N168" s="71">
        <f t="shared" ca="1" si="13"/>
        <v>0</v>
      </c>
      <c r="O168" s="71">
        <f t="shared" ca="1" si="14"/>
        <v>0</v>
      </c>
      <c r="P168" s="71">
        <f t="shared" ca="1" si="15"/>
        <v>0</v>
      </c>
      <c r="Q168" s="71">
        <f t="shared" ca="1" si="16"/>
        <v>0</v>
      </c>
      <c r="R168">
        <f t="shared" ca="1" si="17"/>
        <v>0</v>
      </c>
      <c r="T168">
        <f t="shared" ca="1" si="18"/>
        <v>0</v>
      </c>
      <c r="U168">
        <f t="shared" ca="1" si="19"/>
        <v>0</v>
      </c>
      <c r="V168">
        <f t="shared" ca="1" si="20"/>
        <v>0</v>
      </c>
      <c r="W168">
        <f t="shared" ca="1" si="21"/>
        <v>0</v>
      </c>
      <c r="X168">
        <f t="shared" ca="1" si="22"/>
        <v>0</v>
      </c>
    </row>
    <row r="169" spans="1:24" x14ac:dyDescent="0.2">
      <c r="A169" s="26">
        <f ca="1">Fwd_curves!A199</f>
        <v>40087</v>
      </c>
      <c r="B169">
        <f ca="1">IF($A169&lt;$B$5,0,IF($A169&gt;$B$6,0,Fwd_curves!H199))</f>
        <v>0</v>
      </c>
      <c r="C169">
        <f ca="1">IF($A169&lt;$B$5,0,IF($A169&gt;$B$6,0,Fwd_curves!J199))</f>
        <v>0</v>
      </c>
      <c r="D169">
        <f ca="1">IF($A169&lt;$B$5,0,IF($A169&gt;$B$6,0,Fwd_curves!K199))</f>
        <v>0</v>
      </c>
      <c r="E169">
        <f ca="1">IF($A169&lt;$B$5,0,IF($A169&gt;$B$6,0,Fwd_curves!L199))</f>
        <v>0</v>
      </c>
      <c r="F169">
        <f ca="1">IF($A169&lt;$B$5,0,IF($A169&gt;$B$6,0,Fwd_curves!M199))</f>
        <v>0</v>
      </c>
      <c r="G169">
        <f ca="1">IF($A169&lt;$B$5,0,IF($A169&gt;$B$6,0,Fwd_curves!N199))</f>
        <v>0</v>
      </c>
      <c r="H169" s="12">
        <f ca="1">IF($A169&lt;$B$5,0,IF($A169&gt;$B$6,0,Fwd_curves!O199))</f>
        <v>0</v>
      </c>
      <c r="I169" s="12">
        <f ca="1">IF($A169&lt;$B$5,0,IF($A169&gt;$B$6,0,Fwd_curves!P199))</f>
        <v>0</v>
      </c>
      <c r="J169">
        <f ca="1">IF($A169&lt;$B$5,0,IF($A169&gt;$B$6,0,Fwd_curves!Q199))</f>
        <v>0</v>
      </c>
      <c r="K169">
        <f t="shared" ca="1" si="12"/>
        <v>0</v>
      </c>
      <c r="L169" s="15">
        <f ca="1">external_curves!AB129</f>
        <v>21</v>
      </c>
      <c r="M169" s="15">
        <f ca="1">external_curves!AA129</f>
        <v>10</v>
      </c>
      <c r="N169" s="71">
        <f t="shared" ca="1" si="13"/>
        <v>0</v>
      </c>
      <c r="O169" s="71">
        <f t="shared" ca="1" si="14"/>
        <v>0</v>
      </c>
      <c r="P169" s="71">
        <f t="shared" ca="1" si="15"/>
        <v>0</v>
      </c>
      <c r="Q169" s="71">
        <f t="shared" ca="1" si="16"/>
        <v>0</v>
      </c>
      <c r="R169">
        <f t="shared" ca="1" si="17"/>
        <v>0</v>
      </c>
      <c r="T169">
        <f t="shared" ca="1" si="18"/>
        <v>0</v>
      </c>
      <c r="U169">
        <f t="shared" ca="1" si="19"/>
        <v>0</v>
      </c>
      <c r="V169">
        <f t="shared" ca="1" si="20"/>
        <v>0</v>
      </c>
      <c r="W169">
        <f t="shared" ca="1" si="21"/>
        <v>0</v>
      </c>
      <c r="X169">
        <f t="shared" ca="1" si="22"/>
        <v>0</v>
      </c>
    </row>
    <row r="170" spans="1:24" x14ac:dyDescent="0.2">
      <c r="A170" s="26">
        <f ca="1">Fwd_curves!A200</f>
        <v>40118</v>
      </c>
      <c r="B170">
        <f ca="1">IF($A170&lt;$B$5,0,IF($A170&gt;$B$6,0,Fwd_curves!H200))</f>
        <v>0</v>
      </c>
      <c r="C170">
        <f ca="1">IF($A170&lt;$B$5,0,IF($A170&gt;$B$6,0,Fwd_curves!J200))</f>
        <v>0</v>
      </c>
      <c r="D170">
        <f ca="1">IF($A170&lt;$B$5,0,IF($A170&gt;$B$6,0,Fwd_curves!K200))</f>
        <v>0</v>
      </c>
      <c r="E170">
        <f ca="1">IF($A170&lt;$B$5,0,IF($A170&gt;$B$6,0,Fwd_curves!L200))</f>
        <v>0</v>
      </c>
      <c r="F170">
        <f ca="1">IF($A170&lt;$B$5,0,IF($A170&gt;$B$6,0,Fwd_curves!M200))</f>
        <v>0</v>
      </c>
      <c r="G170">
        <f ca="1">IF($A170&lt;$B$5,0,IF($A170&gt;$B$6,0,Fwd_curves!N200))</f>
        <v>0</v>
      </c>
      <c r="H170" s="12">
        <f ca="1">IF($A170&lt;$B$5,0,IF($A170&gt;$B$6,0,Fwd_curves!O200))</f>
        <v>0</v>
      </c>
      <c r="I170" s="12">
        <f ca="1">IF($A170&lt;$B$5,0,IF($A170&gt;$B$6,0,Fwd_curves!P200))</f>
        <v>0</v>
      </c>
      <c r="J170">
        <f ca="1">IF($A170&lt;$B$5,0,IF($A170&gt;$B$6,0,Fwd_curves!Q200))</f>
        <v>0</v>
      </c>
      <c r="K170">
        <f t="shared" ca="1" si="12"/>
        <v>0</v>
      </c>
      <c r="L170" s="15">
        <f ca="1">external_curves!AB130</f>
        <v>22</v>
      </c>
      <c r="M170" s="15">
        <f ca="1">external_curves!AA130</f>
        <v>8</v>
      </c>
      <c r="N170" s="71">
        <f t="shared" ca="1" si="13"/>
        <v>0</v>
      </c>
      <c r="O170" s="71">
        <f t="shared" ca="1" si="14"/>
        <v>0</v>
      </c>
      <c r="P170" s="71">
        <f t="shared" ca="1" si="15"/>
        <v>0</v>
      </c>
      <c r="Q170" s="71">
        <f t="shared" ca="1" si="16"/>
        <v>0</v>
      </c>
      <c r="R170">
        <f t="shared" ca="1" si="17"/>
        <v>0</v>
      </c>
      <c r="T170">
        <f t="shared" ca="1" si="18"/>
        <v>0</v>
      </c>
      <c r="U170">
        <f t="shared" ca="1" si="19"/>
        <v>0</v>
      </c>
      <c r="V170">
        <f t="shared" ca="1" si="20"/>
        <v>0</v>
      </c>
      <c r="W170">
        <f t="shared" ca="1" si="21"/>
        <v>0</v>
      </c>
      <c r="X170">
        <f t="shared" ca="1" si="22"/>
        <v>0</v>
      </c>
    </row>
    <row r="171" spans="1:24" x14ac:dyDescent="0.2">
      <c r="A171" s="26">
        <f ca="1">Fwd_curves!A201</f>
        <v>40148</v>
      </c>
      <c r="B171">
        <f ca="1">IF($A171&lt;$B$5,0,IF($A171&gt;$B$6,0,Fwd_curves!H201))</f>
        <v>0</v>
      </c>
      <c r="C171">
        <f ca="1">IF($A171&lt;$B$5,0,IF($A171&gt;$B$6,0,Fwd_curves!J201))</f>
        <v>0</v>
      </c>
      <c r="D171">
        <f ca="1">IF($A171&lt;$B$5,0,IF($A171&gt;$B$6,0,Fwd_curves!K201))</f>
        <v>0</v>
      </c>
      <c r="E171">
        <f ca="1">IF($A171&lt;$B$5,0,IF($A171&gt;$B$6,0,Fwd_curves!L201))</f>
        <v>0</v>
      </c>
      <c r="F171">
        <f ca="1">IF($A171&lt;$B$5,0,IF($A171&gt;$B$6,0,Fwd_curves!M201))</f>
        <v>0</v>
      </c>
      <c r="G171">
        <f ca="1">IF($A171&lt;$B$5,0,IF($A171&gt;$B$6,0,Fwd_curves!N201))</f>
        <v>0</v>
      </c>
      <c r="H171" s="12">
        <f ca="1">IF($A171&lt;$B$5,0,IF($A171&gt;$B$6,0,Fwd_curves!O201))</f>
        <v>0</v>
      </c>
      <c r="I171" s="12">
        <f ca="1">IF($A171&lt;$B$5,0,IF($A171&gt;$B$6,0,Fwd_curves!P201))</f>
        <v>0</v>
      </c>
      <c r="J171">
        <f ca="1">IF($A171&lt;$B$5,0,IF($A171&gt;$B$6,0,Fwd_curves!Q201))</f>
        <v>0</v>
      </c>
      <c r="K171">
        <f t="shared" ca="1" si="12"/>
        <v>0</v>
      </c>
      <c r="L171" s="15">
        <f ca="1">external_curves!AB131</f>
        <v>22</v>
      </c>
      <c r="M171" s="15">
        <f ca="1">external_curves!AA131</f>
        <v>9</v>
      </c>
      <c r="N171" s="71">
        <f t="shared" ca="1" si="13"/>
        <v>0</v>
      </c>
      <c r="O171" s="71">
        <f t="shared" ca="1" si="14"/>
        <v>0</v>
      </c>
      <c r="P171" s="71">
        <f t="shared" ca="1" si="15"/>
        <v>0</v>
      </c>
      <c r="Q171" s="71">
        <f t="shared" ca="1" si="16"/>
        <v>0</v>
      </c>
      <c r="R171">
        <f t="shared" ca="1" si="17"/>
        <v>0</v>
      </c>
      <c r="T171">
        <f t="shared" ca="1" si="18"/>
        <v>0</v>
      </c>
      <c r="U171">
        <f t="shared" ca="1" si="19"/>
        <v>0</v>
      </c>
      <c r="V171">
        <f t="shared" ca="1" si="20"/>
        <v>0</v>
      </c>
      <c r="W171">
        <f t="shared" ca="1" si="21"/>
        <v>0</v>
      </c>
      <c r="X171">
        <f t="shared" ca="1" si="22"/>
        <v>0</v>
      </c>
    </row>
    <row r="172" spans="1:24" x14ac:dyDescent="0.2">
      <c r="A172" s="26">
        <f ca="1">Fwd_curves!A202</f>
        <v>40179</v>
      </c>
      <c r="B172">
        <f ca="1">IF($A172&lt;$B$5,0,IF($A172&gt;$B$6,0,Fwd_curves!H202))</f>
        <v>0</v>
      </c>
      <c r="C172">
        <f ca="1">IF($A172&lt;$B$5,0,IF($A172&gt;$B$6,0,Fwd_curves!J202))</f>
        <v>0</v>
      </c>
      <c r="D172">
        <f ca="1">IF($A172&lt;$B$5,0,IF($A172&gt;$B$6,0,Fwd_curves!K202))</f>
        <v>0</v>
      </c>
      <c r="E172">
        <f ca="1">IF($A172&lt;$B$5,0,IF($A172&gt;$B$6,0,Fwd_curves!L202))</f>
        <v>0</v>
      </c>
      <c r="F172">
        <f ca="1">IF($A172&lt;$B$5,0,IF($A172&gt;$B$6,0,Fwd_curves!M202))</f>
        <v>0</v>
      </c>
      <c r="G172">
        <f ca="1">IF($A172&lt;$B$5,0,IF($A172&gt;$B$6,0,Fwd_curves!N202))</f>
        <v>0</v>
      </c>
      <c r="H172" s="12">
        <f ca="1">IF($A172&lt;$B$5,0,IF($A172&gt;$B$6,0,Fwd_curves!O202))</f>
        <v>0</v>
      </c>
      <c r="I172" s="12">
        <f ca="1">IF($A172&lt;$B$5,0,IF($A172&gt;$B$6,0,Fwd_curves!P202))</f>
        <v>0</v>
      </c>
      <c r="J172">
        <f ca="1">IF($A172&lt;$B$5,0,IF($A172&gt;$B$6,0,Fwd_curves!Q202))</f>
        <v>0</v>
      </c>
      <c r="K172">
        <f t="shared" ca="1" si="12"/>
        <v>0</v>
      </c>
      <c r="L172" s="15">
        <f ca="1">external_curves!AB132</f>
        <v>21</v>
      </c>
      <c r="M172" s="15">
        <f ca="1">external_curves!AA132</f>
        <v>10</v>
      </c>
      <c r="N172" s="71">
        <f t="shared" ca="1" si="13"/>
        <v>0</v>
      </c>
      <c r="O172" s="71">
        <f t="shared" ca="1" si="14"/>
        <v>0</v>
      </c>
      <c r="P172" s="71">
        <f t="shared" ca="1" si="15"/>
        <v>0</v>
      </c>
      <c r="Q172" s="71">
        <f t="shared" ca="1" si="16"/>
        <v>0</v>
      </c>
      <c r="R172">
        <f t="shared" ca="1" si="17"/>
        <v>0</v>
      </c>
      <c r="T172">
        <f t="shared" ca="1" si="18"/>
        <v>0</v>
      </c>
      <c r="U172">
        <f t="shared" ca="1" si="19"/>
        <v>0</v>
      </c>
      <c r="V172">
        <f t="shared" ca="1" si="20"/>
        <v>0</v>
      </c>
      <c r="W172">
        <f t="shared" ca="1" si="21"/>
        <v>0</v>
      </c>
      <c r="X172">
        <f t="shared" ca="1" si="22"/>
        <v>0</v>
      </c>
    </row>
    <row r="173" spans="1:24" x14ac:dyDescent="0.2">
      <c r="A173" s="26">
        <f ca="1">Fwd_curves!A203</f>
        <v>40210</v>
      </c>
      <c r="B173">
        <f ca="1">IF($A173&lt;$B$5,0,IF($A173&gt;$B$6,0,Fwd_curves!H203))</f>
        <v>0</v>
      </c>
      <c r="C173">
        <f ca="1">IF($A173&lt;$B$5,0,IF($A173&gt;$B$6,0,Fwd_curves!J203))</f>
        <v>0</v>
      </c>
      <c r="D173">
        <f ca="1">IF($A173&lt;$B$5,0,IF($A173&gt;$B$6,0,Fwd_curves!K203))</f>
        <v>0</v>
      </c>
      <c r="E173">
        <f ca="1">IF($A173&lt;$B$5,0,IF($A173&gt;$B$6,0,Fwd_curves!L203))</f>
        <v>0</v>
      </c>
      <c r="F173">
        <f ca="1">IF($A173&lt;$B$5,0,IF($A173&gt;$B$6,0,Fwd_curves!M203))</f>
        <v>0</v>
      </c>
      <c r="G173">
        <f ca="1">IF($A173&lt;$B$5,0,IF($A173&gt;$B$6,0,Fwd_curves!N203))</f>
        <v>0</v>
      </c>
      <c r="H173" s="12">
        <f ca="1">IF($A173&lt;$B$5,0,IF($A173&gt;$B$6,0,Fwd_curves!O203))</f>
        <v>0</v>
      </c>
      <c r="I173" s="12">
        <f ca="1">IF($A173&lt;$B$5,0,IF($A173&gt;$B$6,0,Fwd_curves!P203))</f>
        <v>0</v>
      </c>
      <c r="J173">
        <f ca="1">IF($A173&lt;$B$5,0,IF($A173&gt;$B$6,0,Fwd_curves!Q203))</f>
        <v>0</v>
      </c>
      <c r="K173">
        <f t="shared" ca="1" si="12"/>
        <v>0</v>
      </c>
      <c r="L173" s="15">
        <f ca="1">external_curves!AB133</f>
        <v>20</v>
      </c>
      <c r="M173" s="15">
        <f ca="1">external_curves!AA133</f>
        <v>8</v>
      </c>
      <c r="N173" s="71">
        <f t="shared" ca="1" si="13"/>
        <v>0</v>
      </c>
      <c r="O173" s="71">
        <f t="shared" ca="1" si="14"/>
        <v>0</v>
      </c>
      <c r="P173" s="71">
        <f t="shared" ca="1" si="15"/>
        <v>0</v>
      </c>
      <c r="Q173" s="71">
        <f t="shared" ca="1" si="16"/>
        <v>0</v>
      </c>
      <c r="R173">
        <f t="shared" ca="1" si="17"/>
        <v>0</v>
      </c>
      <c r="T173">
        <f t="shared" ca="1" si="18"/>
        <v>0</v>
      </c>
      <c r="U173">
        <f t="shared" ca="1" si="19"/>
        <v>0</v>
      </c>
      <c r="V173">
        <f t="shared" ca="1" si="20"/>
        <v>0</v>
      </c>
      <c r="W173">
        <f t="shared" ca="1" si="21"/>
        <v>0</v>
      </c>
      <c r="X173">
        <f t="shared" ca="1" si="22"/>
        <v>0</v>
      </c>
    </row>
    <row r="174" spans="1:24" x14ac:dyDescent="0.2">
      <c r="A174" s="26">
        <f ca="1">Fwd_curves!A204</f>
        <v>40238</v>
      </c>
      <c r="B174">
        <f ca="1">IF($A174&lt;$B$5,0,IF($A174&gt;$B$6,0,Fwd_curves!H204))</f>
        <v>0</v>
      </c>
      <c r="C174">
        <f ca="1">IF($A174&lt;$B$5,0,IF($A174&gt;$B$6,0,Fwd_curves!J204))</f>
        <v>0</v>
      </c>
      <c r="D174">
        <f ca="1">IF($A174&lt;$B$5,0,IF($A174&gt;$B$6,0,Fwd_curves!K204))</f>
        <v>0</v>
      </c>
      <c r="E174">
        <f ca="1">IF($A174&lt;$B$5,0,IF($A174&gt;$B$6,0,Fwd_curves!L204))</f>
        <v>0</v>
      </c>
      <c r="F174">
        <f ca="1">IF($A174&lt;$B$5,0,IF($A174&gt;$B$6,0,Fwd_curves!M204))</f>
        <v>0</v>
      </c>
      <c r="G174">
        <f ca="1">IF($A174&lt;$B$5,0,IF($A174&gt;$B$6,0,Fwd_curves!N204))</f>
        <v>0</v>
      </c>
      <c r="H174" s="12">
        <f ca="1">IF($A174&lt;$B$5,0,IF($A174&gt;$B$6,0,Fwd_curves!O204))</f>
        <v>0</v>
      </c>
      <c r="I174" s="12">
        <f ca="1">IF($A174&lt;$B$5,0,IF($A174&gt;$B$6,0,Fwd_curves!P204))</f>
        <v>0</v>
      </c>
      <c r="J174">
        <f ca="1">IF($A174&lt;$B$5,0,IF($A174&gt;$B$6,0,Fwd_curves!Q204))</f>
        <v>0</v>
      </c>
      <c r="K174">
        <f t="shared" ca="1" si="12"/>
        <v>0</v>
      </c>
      <c r="L174" s="15">
        <f ca="1">external_curves!AB134</f>
        <v>23</v>
      </c>
      <c r="M174" s="15">
        <f ca="1">external_curves!AA134</f>
        <v>8</v>
      </c>
      <c r="N174" s="71">
        <f t="shared" ca="1" si="13"/>
        <v>0</v>
      </c>
      <c r="O174" s="71">
        <f t="shared" ca="1" si="14"/>
        <v>0</v>
      </c>
      <c r="P174" s="71">
        <f t="shared" ca="1" si="15"/>
        <v>0</v>
      </c>
      <c r="Q174" s="71">
        <f t="shared" ca="1" si="16"/>
        <v>0</v>
      </c>
      <c r="R174">
        <f t="shared" ca="1" si="17"/>
        <v>0</v>
      </c>
      <c r="T174">
        <f t="shared" ca="1" si="18"/>
        <v>0</v>
      </c>
      <c r="U174">
        <f t="shared" ca="1" si="19"/>
        <v>0</v>
      </c>
      <c r="V174">
        <f t="shared" ca="1" si="20"/>
        <v>0</v>
      </c>
      <c r="W174">
        <f t="shared" ca="1" si="21"/>
        <v>0</v>
      </c>
      <c r="X174">
        <f t="shared" ca="1" si="22"/>
        <v>0</v>
      </c>
    </row>
    <row r="175" spans="1:24" x14ac:dyDescent="0.2">
      <c r="A175" s="26">
        <f ca="1">Fwd_curves!A205</f>
        <v>40269</v>
      </c>
      <c r="B175">
        <f ca="1">IF($A175&lt;$B$5,0,IF($A175&gt;$B$6,0,Fwd_curves!H205))</f>
        <v>0</v>
      </c>
      <c r="C175">
        <f ca="1">IF($A175&lt;$B$5,0,IF($A175&gt;$B$6,0,Fwd_curves!J205))</f>
        <v>0</v>
      </c>
      <c r="D175">
        <f ca="1">IF($A175&lt;$B$5,0,IF($A175&gt;$B$6,0,Fwd_curves!K205))</f>
        <v>0</v>
      </c>
      <c r="E175">
        <f ca="1">IF($A175&lt;$B$5,0,IF($A175&gt;$B$6,0,Fwd_curves!L205))</f>
        <v>0</v>
      </c>
      <c r="F175">
        <f ca="1">IF($A175&lt;$B$5,0,IF($A175&gt;$B$6,0,Fwd_curves!M205))</f>
        <v>0</v>
      </c>
      <c r="G175">
        <f ca="1">IF($A175&lt;$B$5,0,IF($A175&gt;$B$6,0,Fwd_curves!N205))</f>
        <v>0</v>
      </c>
      <c r="H175" s="12">
        <f ca="1">IF($A175&lt;$B$5,0,IF($A175&gt;$B$6,0,Fwd_curves!O205))</f>
        <v>0</v>
      </c>
      <c r="I175" s="12">
        <f ca="1">IF($A175&lt;$B$5,0,IF($A175&gt;$B$6,0,Fwd_curves!P205))</f>
        <v>0</v>
      </c>
      <c r="J175">
        <f ca="1">IF($A175&lt;$B$5,0,IF($A175&gt;$B$6,0,Fwd_curves!Q205))</f>
        <v>0</v>
      </c>
      <c r="K175">
        <f t="shared" ca="1" si="12"/>
        <v>0</v>
      </c>
      <c r="L175" s="15">
        <f ca="1">external_curves!AB135</f>
        <v>21</v>
      </c>
      <c r="M175" s="15">
        <f ca="1">external_curves!AA135</f>
        <v>9</v>
      </c>
      <c r="N175" s="71">
        <f t="shared" ca="1" si="13"/>
        <v>0</v>
      </c>
      <c r="O175" s="71">
        <f t="shared" ca="1" si="14"/>
        <v>0</v>
      </c>
      <c r="P175" s="71">
        <f t="shared" ca="1" si="15"/>
        <v>0</v>
      </c>
      <c r="Q175" s="71">
        <f t="shared" ca="1" si="16"/>
        <v>0</v>
      </c>
      <c r="R175">
        <f t="shared" ca="1" si="17"/>
        <v>0</v>
      </c>
      <c r="T175">
        <f t="shared" ca="1" si="18"/>
        <v>0</v>
      </c>
      <c r="U175">
        <f t="shared" ca="1" si="19"/>
        <v>0</v>
      </c>
      <c r="V175">
        <f t="shared" ca="1" si="20"/>
        <v>0</v>
      </c>
      <c r="W175">
        <f t="shared" ca="1" si="21"/>
        <v>0</v>
      </c>
      <c r="X175">
        <f t="shared" ca="1" si="22"/>
        <v>0</v>
      </c>
    </row>
    <row r="176" spans="1:24" x14ac:dyDescent="0.2">
      <c r="A176" s="26">
        <f ca="1">Fwd_curves!A206</f>
        <v>40299</v>
      </c>
      <c r="B176">
        <f ca="1">IF($A176&lt;$B$5,0,IF($A176&gt;$B$6,0,Fwd_curves!H206))</f>
        <v>0</v>
      </c>
      <c r="C176">
        <f ca="1">IF($A176&lt;$B$5,0,IF($A176&gt;$B$6,0,Fwd_curves!J206))</f>
        <v>0</v>
      </c>
      <c r="D176">
        <f ca="1">IF($A176&lt;$B$5,0,IF($A176&gt;$B$6,0,Fwd_curves!K206))</f>
        <v>0</v>
      </c>
      <c r="E176">
        <f ca="1">IF($A176&lt;$B$5,0,IF($A176&gt;$B$6,0,Fwd_curves!L206))</f>
        <v>0</v>
      </c>
      <c r="F176">
        <f ca="1">IF($A176&lt;$B$5,0,IF($A176&gt;$B$6,0,Fwd_curves!M206))</f>
        <v>0</v>
      </c>
      <c r="G176">
        <f ca="1">IF($A176&lt;$B$5,0,IF($A176&gt;$B$6,0,Fwd_curves!N206))</f>
        <v>0</v>
      </c>
      <c r="H176" s="12">
        <f ca="1">IF($A176&lt;$B$5,0,IF($A176&gt;$B$6,0,Fwd_curves!O206))</f>
        <v>0</v>
      </c>
      <c r="I176" s="12">
        <f ca="1">IF($A176&lt;$B$5,0,IF($A176&gt;$B$6,0,Fwd_curves!P206))</f>
        <v>0</v>
      </c>
      <c r="J176">
        <f ca="1">IF($A176&lt;$B$5,0,IF($A176&gt;$B$6,0,Fwd_curves!Q206))</f>
        <v>0</v>
      </c>
      <c r="K176">
        <f t="shared" ca="1" si="12"/>
        <v>0</v>
      </c>
      <c r="L176" s="15">
        <f ca="1">external_curves!AB136</f>
        <v>22</v>
      </c>
      <c r="M176" s="15">
        <f ca="1">external_curves!AA136</f>
        <v>9</v>
      </c>
      <c r="N176" s="71">
        <f t="shared" ca="1" si="13"/>
        <v>0</v>
      </c>
      <c r="O176" s="71">
        <f t="shared" ca="1" si="14"/>
        <v>0</v>
      </c>
      <c r="P176" s="71">
        <f t="shared" ca="1" si="15"/>
        <v>0</v>
      </c>
      <c r="Q176" s="71">
        <f t="shared" ca="1" si="16"/>
        <v>0</v>
      </c>
      <c r="R176">
        <f t="shared" ca="1" si="17"/>
        <v>0</v>
      </c>
      <c r="T176">
        <f t="shared" ca="1" si="18"/>
        <v>0</v>
      </c>
      <c r="U176">
        <f t="shared" ca="1" si="19"/>
        <v>0</v>
      </c>
      <c r="V176">
        <f t="shared" ca="1" si="20"/>
        <v>0</v>
      </c>
      <c r="W176">
        <f t="shared" ca="1" si="21"/>
        <v>0</v>
      </c>
      <c r="X176">
        <f t="shared" ca="1" si="22"/>
        <v>0</v>
      </c>
    </row>
    <row r="177" spans="1:24" x14ac:dyDescent="0.2">
      <c r="A177" s="26">
        <f ca="1">Fwd_curves!A207</f>
        <v>40330</v>
      </c>
      <c r="B177">
        <f ca="1">IF($A177&lt;$B$5,0,IF($A177&gt;$B$6,0,Fwd_curves!H207))</f>
        <v>0</v>
      </c>
      <c r="C177">
        <f ca="1">IF($A177&lt;$B$5,0,IF($A177&gt;$B$6,0,Fwd_curves!J207))</f>
        <v>0</v>
      </c>
      <c r="D177">
        <f ca="1">IF($A177&lt;$B$5,0,IF($A177&gt;$B$6,0,Fwd_curves!K207))</f>
        <v>0</v>
      </c>
      <c r="E177">
        <f ca="1">IF($A177&lt;$B$5,0,IF($A177&gt;$B$6,0,Fwd_curves!L207))</f>
        <v>0</v>
      </c>
      <c r="F177">
        <f ca="1">IF($A177&lt;$B$5,0,IF($A177&gt;$B$6,0,Fwd_curves!M207))</f>
        <v>0</v>
      </c>
      <c r="G177">
        <f ca="1">IF($A177&lt;$B$5,0,IF($A177&gt;$B$6,0,Fwd_curves!N207))</f>
        <v>0</v>
      </c>
      <c r="H177" s="12">
        <f ca="1">IF($A177&lt;$B$5,0,IF($A177&gt;$B$6,0,Fwd_curves!O207))</f>
        <v>0</v>
      </c>
      <c r="I177" s="12">
        <f ca="1">IF($A177&lt;$B$5,0,IF($A177&gt;$B$6,0,Fwd_curves!P207))</f>
        <v>0</v>
      </c>
      <c r="J177">
        <f ca="1">IF($A177&lt;$B$5,0,IF($A177&gt;$B$6,0,Fwd_curves!Q207))</f>
        <v>0</v>
      </c>
      <c r="K177">
        <f t="shared" ca="1" si="12"/>
        <v>0</v>
      </c>
      <c r="L177" s="15">
        <f ca="1">external_curves!AB137</f>
        <v>22</v>
      </c>
      <c r="M177" s="15">
        <f ca="1">external_curves!AA137</f>
        <v>8</v>
      </c>
      <c r="N177" s="71">
        <f t="shared" ca="1" si="13"/>
        <v>0</v>
      </c>
      <c r="O177" s="71">
        <f t="shared" ca="1" si="14"/>
        <v>0</v>
      </c>
      <c r="P177" s="71">
        <f t="shared" ca="1" si="15"/>
        <v>0</v>
      </c>
      <c r="Q177" s="71">
        <f t="shared" ca="1" si="16"/>
        <v>0</v>
      </c>
      <c r="R177">
        <f t="shared" ca="1" si="17"/>
        <v>0</v>
      </c>
      <c r="T177">
        <f t="shared" ca="1" si="18"/>
        <v>0</v>
      </c>
      <c r="U177">
        <f t="shared" ca="1" si="19"/>
        <v>0</v>
      </c>
      <c r="V177">
        <f t="shared" ca="1" si="20"/>
        <v>0</v>
      </c>
      <c r="W177">
        <f t="shared" ca="1" si="21"/>
        <v>0</v>
      </c>
      <c r="X177">
        <f t="shared" ca="1" si="22"/>
        <v>0</v>
      </c>
    </row>
    <row r="178" spans="1:24" x14ac:dyDescent="0.2">
      <c r="A178" s="26">
        <f ca="1">Fwd_curves!A208</f>
        <v>40360</v>
      </c>
      <c r="B178">
        <f ca="1">IF($A178&lt;$B$5,0,IF($A178&gt;$B$6,0,Fwd_curves!H208))</f>
        <v>0</v>
      </c>
      <c r="C178">
        <f ca="1">IF($A178&lt;$B$5,0,IF($A178&gt;$B$6,0,Fwd_curves!J208))</f>
        <v>0</v>
      </c>
      <c r="D178">
        <f ca="1">IF($A178&lt;$B$5,0,IF($A178&gt;$B$6,0,Fwd_curves!K208))</f>
        <v>0</v>
      </c>
      <c r="E178">
        <f ca="1">IF($A178&lt;$B$5,0,IF($A178&gt;$B$6,0,Fwd_curves!L208))</f>
        <v>0</v>
      </c>
      <c r="F178">
        <f ca="1">IF($A178&lt;$B$5,0,IF($A178&gt;$B$6,0,Fwd_curves!M208))</f>
        <v>0</v>
      </c>
      <c r="G178">
        <f ca="1">IF($A178&lt;$B$5,0,IF($A178&gt;$B$6,0,Fwd_curves!N208))</f>
        <v>0</v>
      </c>
      <c r="H178" s="12">
        <f ca="1">IF($A178&lt;$B$5,0,IF($A178&gt;$B$6,0,Fwd_curves!O208))</f>
        <v>0</v>
      </c>
      <c r="I178" s="12">
        <f ca="1">IF($A178&lt;$B$5,0,IF($A178&gt;$B$6,0,Fwd_curves!P208))</f>
        <v>0</v>
      </c>
      <c r="J178">
        <f ca="1">IF($A178&lt;$B$5,0,IF($A178&gt;$B$6,0,Fwd_curves!Q208))</f>
        <v>0</v>
      </c>
      <c r="K178">
        <f t="shared" ca="1" si="12"/>
        <v>0</v>
      </c>
      <c r="L178" s="15">
        <f ca="1">external_curves!AB138</f>
        <v>21</v>
      </c>
      <c r="M178" s="15">
        <f ca="1">external_curves!AA138</f>
        <v>10</v>
      </c>
      <c r="N178" s="71">
        <f t="shared" ca="1" si="13"/>
        <v>0</v>
      </c>
      <c r="O178" s="71">
        <f t="shared" ca="1" si="14"/>
        <v>0</v>
      </c>
      <c r="P178" s="71">
        <f t="shared" ca="1" si="15"/>
        <v>0</v>
      </c>
      <c r="Q178" s="71">
        <f t="shared" ca="1" si="16"/>
        <v>0</v>
      </c>
      <c r="R178">
        <f t="shared" ca="1" si="17"/>
        <v>0</v>
      </c>
      <c r="T178">
        <f t="shared" ca="1" si="18"/>
        <v>0</v>
      </c>
      <c r="U178">
        <f t="shared" ca="1" si="19"/>
        <v>0</v>
      </c>
      <c r="V178">
        <f t="shared" ca="1" si="20"/>
        <v>0</v>
      </c>
      <c r="W178">
        <f t="shared" ca="1" si="21"/>
        <v>0</v>
      </c>
      <c r="X178">
        <f t="shared" ca="1" si="22"/>
        <v>0</v>
      </c>
    </row>
    <row r="179" spans="1:24" x14ac:dyDescent="0.2">
      <c r="A179" s="26">
        <f ca="1">Fwd_curves!A209</f>
        <v>40391</v>
      </c>
      <c r="B179">
        <f ca="1">IF($A179&lt;$B$5,0,IF($A179&gt;$B$6,0,Fwd_curves!H209))</f>
        <v>0</v>
      </c>
      <c r="C179">
        <f ca="1">IF($A179&lt;$B$5,0,IF($A179&gt;$B$6,0,Fwd_curves!J209))</f>
        <v>0</v>
      </c>
      <c r="D179">
        <f ca="1">IF($A179&lt;$B$5,0,IF($A179&gt;$B$6,0,Fwd_curves!K209))</f>
        <v>0</v>
      </c>
      <c r="E179">
        <f ca="1">IF($A179&lt;$B$5,0,IF($A179&gt;$B$6,0,Fwd_curves!L209))</f>
        <v>0</v>
      </c>
      <c r="F179">
        <f ca="1">IF($A179&lt;$B$5,0,IF($A179&gt;$B$6,0,Fwd_curves!M209))</f>
        <v>0</v>
      </c>
      <c r="G179">
        <f ca="1">IF($A179&lt;$B$5,0,IF($A179&gt;$B$6,0,Fwd_curves!N209))</f>
        <v>0</v>
      </c>
      <c r="H179" s="12">
        <f ca="1">IF($A179&lt;$B$5,0,IF($A179&gt;$B$6,0,Fwd_curves!O209))</f>
        <v>0</v>
      </c>
      <c r="I179" s="12">
        <f ca="1">IF($A179&lt;$B$5,0,IF($A179&gt;$B$6,0,Fwd_curves!P209))</f>
        <v>0</v>
      </c>
      <c r="J179">
        <f ca="1">IF($A179&lt;$B$5,0,IF($A179&gt;$B$6,0,Fwd_curves!Q209))</f>
        <v>0</v>
      </c>
      <c r="K179">
        <f t="shared" ca="1" si="12"/>
        <v>0</v>
      </c>
      <c r="L179" s="15">
        <f ca="1">external_curves!AB139</f>
        <v>23</v>
      </c>
      <c r="M179" s="15">
        <f ca="1">external_curves!AA139</f>
        <v>8</v>
      </c>
      <c r="N179" s="71">
        <f t="shared" ca="1" si="13"/>
        <v>0</v>
      </c>
      <c r="O179" s="71">
        <f t="shared" ca="1" si="14"/>
        <v>0</v>
      </c>
      <c r="P179" s="71">
        <f t="shared" ca="1" si="15"/>
        <v>0</v>
      </c>
      <c r="Q179" s="71">
        <f t="shared" ca="1" si="16"/>
        <v>0</v>
      </c>
      <c r="R179">
        <f t="shared" ca="1" si="17"/>
        <v>0</v>
      </c>
      <c r="T179">
        <f t="shared" ca="1" si="18"/>
        <v>0</v>
      </c>
      <c r="U179">
        <f t="shared" ca="1" si="19"/>
        <v>0</v>
      </c>
      <c r="V179">
        <f t="shared" ca="1" si="20"/>
        <v>0</v>
      </c>
      <c r="W179">
        <f t="shared" ca="1" si="21"/>
        <v>0</v>
      </c>
      <c r="X179">
        <f t="shared" ca="1" si="22"/>
        <v>0</v>
      </c>
    </row>
    <row r="180" spans="1:24" x14ac:dyDescent="0.2">
      <c r="A180" s="26">
        <f ca="1">Fwd_curves!A210</f>
        <v>40422</v>
      </c>
      <c r="B180">
        <f ca="1">IF($A180&lt;$B$5,0,IF($A180&gt;$B$6,0,Fwd_curves!H210))</f>
        <v>0</v>
      </c>
      <c r="C180">
        <f ca="1">IF($A180&lt;$B$5,0,IF($A180&gt;$B$6,0,Fwd_curves!J210))</f>
        <v>0</v>
      </c>
      <c r="D180">
        <f ca="1">IF($A180&lt;$B$5,0,IF($A180&gt;$B$6,0,Fwd_curves!K210))</f>
        <v>0</v>
      </c>
      <c r="E180">
        <f ca="1">IF($A180&lt;$B$5,0,IF($A180&gt;$B$6,0,Fwd_curves!L210))</f>
        <v>0</v>
      </c>
      <c r="F180">
        <f ca="1">IF($A180&lt;$B$5,0,IF($A180&gt;$B$6,0,Fwd_curves!M210))</f>
        <v>0</v>
      </c>
      <c r="G180">
        <f ca="1">IF($A180&lt;$B$5,0,IF($A180&gt;$B$6,0,Fwd_curves!N210))</f>
        <v>0</v>
      </c>
      <c r="H180" s="12">
        <f ca="1">IF($A180&lt;$B$5,0,IF($A180&gt;$B$6,0,Fwd_curves!O210))</f>
        <v>0</v>
      </c>
      <c r="I180" s="12">
        <f ca="1">IF($A180&lt;$B$5,0,IF($A180&gt;$B$6,0,Fwd_curves!P210))</f>
        <v>0</v>
      </c>
      <c r="J180">
        <f ca="1">IF($A180&lt;$B$5,0,IF($A180&gt;$B$6,0,Fwd_curves!Q210))</f>
        <v>0</v>
      </c>
      <c r="K180">
        <f t="shared" ca="1" si="12"/>
        <v>0</v>
      </c>
      <c r="L180" s="15">
        <f ca="1">external_curves!AB140</f>
        <v>22</v>
      </c>
      <c r="M180" s="15">
        <f ca="1">external_curves!AA140</f>
        <v>8</v>
      </c>
      <c r="N180" s="71">
        <f t="shared" ca="1" si="13"/>
        <v>0</v>
      </c>
      <c r="O180" s="71">
        <f t="shared" ca="1" si="14"/>
        <v>0</v>
      </c>
      <c r="P180" s="71">
        <f t="shared" ca="1" si="15"/>
        <v>0</v>
      </c>
      <c r="Q180" s="71">
        <f t="shared" ca="1" si="16"/>
        <v>0</v>
      </c>
      <c r="R180">
        <f t="shared" ca="1" si="17"/>
        <v>0</v>
      </c>
      <c r="T180">
        <f t="shared" ca="1" si="18"/>
        <v>0</v>
      </c>
      <c r="U180">
        <f t="shared" ca="1" si="19"/>
        <v>0</v>
      </c>
      <c r="V180">
        <f t="shared" ca="1" si="20"/>
        <v>0</v>
      </c>
      <c r="W180">
        <f t="shared" ca="1" si="21"/>
        <v>0</v>
      </c>
      <c r="X180">
        <f t="shared" ca="1" si="22"/>
        <v>0</v>
      </c>
    </row>
    <row r="181" spans="1:24" x14ac:dyDescent="0.2">
      <c r="A181" s="26">
        <f ca="1">Fwd_curves!A211</f>
        <v>40452</v>
      </c>
      <c r="B181">
        <f ca="1">IF($A181&lt;$B$5,0,IF($A181&gt;$B$6,0,Fwd_curves!H211))</f>
        <v>0</v>
      </c>
      <c r="C181">
        <f ca="1">IF($A181&lt;$B$5,0,IF($A181&gt;$B$6,0,Fwd_curves!J211))</f>
        <v>0</v>
      </c>
      <c r="D181">
        <f ca="1">IF($A181&lt;$B$5,0,IF($A181&gt;$B$6,0,Fwd_curves!K211))</f>
        <v>0</v>
      </c>
      <c r="E181">
        <f ca="1">IF($A181&lt;$B$5,0,IF($A181&gt;$B$6,0,Fwd_curves!L211))</f>
        <v>0</v>
      </c>
      <c r="F181">
        <f ca="1">IF($A181&lt;$B$5,0,IF($A181&gt;$B$6,0,Fwd_curves!M211))</f>
        <v>0</v>
      </c>
      <c r="G181">
        <f ca="1">IF($A181&lt;$B$5,0,IF($A181&gt;$B$6,0,Fwd_curves!N211))</f>
        <v>0</v>
      </c>
      <c r="H181" s="12">
        <f ca="1">IF($A181&lt;$B$5,0,IF($A181&gt;$B$6,0,Fwd_curves!O211))</f>
        <v>0</v>
      </c>
      <c r="I181" s="12">
        <f ca="1">IF($A181&lt;$B$5,0,IF($A181&gt;$B$6,0,Fwd_curves!P211))</f>
        <v>0</v>
      </c>
      <c r="J181">
        <f ca="1">IF($A181&lt;$B$5,0,IF($A181&gt;$B$6,0,Fwd_curves!Q211))</f>
        <v>0</v>
      </c>
      <c r="K181">
        <f t="shared" ref="K181:K207" ca="1" si="23">IF(B181=0,0,$B$9*B181)</f>
        <v>0</v>
      </c>
      <c r="L181" s="15">
        <f ca="1">external_curves!AB141</f>
        <v>21</v>
      </c>
      <c r="M181" s="15">
        <f ca="1">external_curves!AA141</f>
        <v>10</v>
      </c>
      <c r="N181" s="71">
        <f t="shared" ca="1" si="13"/>
        <v>0</v>
      </c>
      <c r="O181" s="71">
        <f t="shared" ca="1" si="14"/>
        <v>0</v>
      </c>
      <c r="P181" s="71">
        <f t="shared" ca="1" si="15"/>
        <v>0</v>
      </c>
      <c r="Q181" s="71">
        <f t="shared" ca="1" si="16"/>
        <v>0</v>
      </c>
      <c r="R181">
        <f t="shared" ca="1" si="17"/>
        <v>0</v>
      </c>
      <c r="T181">
        <f t="shared" ca="1" si="18"/>
        <v>0</v>
      </c>
      <c r="U181">
        <f t="shared" ca="1" si="19"/>
        <v>0</v>
      </c>
      <c r="V181">
        <f t="shared" ca="1" si="20"/>
        <v>0</v>
      </c>
      <c r="W181">
        <f t="shared" ca="1" si="21"/>
        <v>0</v>
      </c>
      <c r="X181">
        <f t="shared" ca="1" si="22"/>
        <v>0</v>
      </c>
    </row>
    <row r="182" spans="1:24" x14ac:dyDescent="0.2">
      <c r="A182" s="26">
        <f ca="1">Fwd_curves!A212</f>
        <v>40483</v>
      </c>
      <c r="B182">
        <f ca="1">IF($A182&lt;$B$5,0,IF($A182&gt;$B$6,0,Fwd_curves!H212))</f>
        <v>0</v>
      </c>
      <c r="C182">
        <f ca="1">IF($A182&lt;$B$5,0,IF($A182&gt;$B$6,0,Fwd_curves!J212))</f>
        <v>0</v>
      </c>
      <c r="D182">
        <f ca="1">IF($A182&lt;$B$5,0,IF($A182&gt;$B$6,0,Fwd_curves!K212))</f>
        <v>0</v>
      </c>
      <c r="E182">
        <f ca="1">IF($A182&lt;$B$5,0,IF($A182&gt;$B$6,0,Fwd_curves!L212))</f>
        <v>0</v>
      </c>
      <c r="F182">
        <f ca="1">IF($A182&lt;$B$5,0,IF($A182&gt;$B$6,0,Fwd_curves!M212))</f>
        <v>0</v>
      </c>
      <c r="G182">
        <f ca="1">IF($A182&lt;$B$5,0,IF($A182&gt;$B$6,0,Fwd_curves!N212))</f>
        <v>0</v>
      </c>
      <c r="H182" s="12">
        <f ca="1">IF($A182&lt;$B$5,0,IF($A182&gt;$B$6,0,Fwd_curves!O212))</f>
        <v>0</v>
      </c>
      <c r="I182" s="12">
        <f ca="1">IF($A182&lt;$B$5,0,IF($A182&gt;$B$6,0,Fwd_curves!P212))</f>
        <v>0</v>
      </c>
      <c r="J182">
        <f ca="1">IF($A182&lt;$B$5,0,IF($A182&gt;$B$6,0,Fwd_curves!Q212))</f>
        <v>0</v>
      </c>
      <c r="K182">
        <f t="shared" ca="1" si="23"/>
        <v>0</v>
      </c>
      <c r="L182" s="15">
        <f ca="1">external_curves!AB142</f>
        <v>22</v>
      </c>
      <c r="M182" s="15">
        <f ca="1">external_curves!AA142</f>
        <v>8</v>
      </c>
      <c r="N182" s="71">
        <f t="shared" ca="1" si="13"/>
        <v>0</v>
      </c>
      <c r="O182" s="71">
        <f t="shared" ca="1" si="14"/>
        <v>0</v>
      </c>
      <c r="P182" s="71">
        <f t="shared" ca="1" si="15"/>
        <v>0</v>
      </c>
      <c r="Q182" s="71">
        <f t="shared" ca="1" si="16"/>
        <v>0</v>
      </c>
      <c r="R182">
        <f t="shared" ca="1" si="17"/>
        <v>0</v>
      </c>
      <c r="T182">
        <f t="shared" ca="1" si="18"/>
        <v>0</v>
      </c>
      <c r="U182">
        <f t="shared" ca="1" si="19"/>
        <v>0</v>
      </c>
      <c r="V182">
        <f t="shared" ca="1" si="20"/>
        <v>0</v>
      </c>
      <c r="W182">
        <f t="shared" ca="1" si="21"/>
        <v>0</v>
      </c>
      <c r="X182">
        <f t="shared" ca="1" si="22"/>
        <v>0</v>
      </c>
    </row>
    <row r="183" spans="1:24" x14ac:dyDescent="0.2">
      <c r="A183" s="26">
        <f ca="1">Fwd_curves!A213</f>
        <v>40513</v>
      </c>
      <c r="B183">
        <f ca="1">IF($A183&lt;$B$5,0,IF($A183&gt;$B$6,0,Fwd_curves!H213))</f>
        <v>0</v>
      </c>
      <c r="C183">
        <f ca="1">IF($A183&lt;$B$5,0,IF($A183&gt;$B$6,0,Fwd_curves!J213))</f>
        <v>0</v>
      </c>
      <c r="D183">
        <f ca="1">IF($A183&lt;$B$5,0,IF($A183&gt;$B$6,0,Fwd_curves!K213))</f>
        <v>0</v>
      </c>
      <c r="E183">
        <f ca="1">IF($A183&lt;$B$5,0,IF($A183&gt;$B$6,0,Fwd_curves!L213))</f>
        <v>0</v>
      </c>
      <c r="F183">
        <f ca="1">IF($A183&lt;$B$5,0,IF($A183&gt;$B$6,0,Fwd_curves!M213))</f>
        <v>0</v>
      </c>
      <c r="G183">
        <f ca="1">IF($A183&lt;$B$5,0,IF($A183&gt;$B$6,0,Fwd_curves!N213))</f>
        <v>0</v>
      </c>
      <c r="H183" s="12">
        <f ca="1">IF($A183&lt;$B$5,0,IF($A183&gt;$B$6,0,Fwd_curves!O213))</f>
        <v>0</v>
      </c>
      <c r="I183" s="12">
        <f ca="1">IF($A183&lt;$B$5,0,IF($A183&gt;$B$6,0,Fwd_curves!P213))</f>
        <v>0</v>
      </c>
      <c r="J183">
        <f ca="1">IF($A183&lt;$B$5,0,IF($A183&gt;$B$6,0,Fwd_curves!Q213))</f>
        <v>0</v>
      </c>
      <c r="K183">
        <f t="shared" ca="1" si="23"/>
        <v>0</v>
      </c>
      <c r="L183" s="15">
        <f ca="1">external_curves!AB143</f>
        <v>22</v>
      </c>
      <c r="M183" s="15">
        <f ca="1">external_curves!AA143</f>
        <v>9</v>
      </c>
      <c r="N183" s="71">
        <f t="shared" ca="1" si="13"/>
        <v>0</v>
      </c>
      <c r="O183" s="71">
        <f t="shared" ca="1" si="14"/>
        <v>0</v>
      </c>
      <c r="P183" s="71">
        <f t="shared" ca="1" si="15"/>
        <v>0</v>
      </c>
      <c r="Q183" s="71">
        <f t="shared" ca="1" si="16"/>
        <v>0</v>
      </c>
      <c r="R183">
        <f t="shared" ca="1" si="17"/>
        <v>0</v>
      </c>
      <c r="T183">
        <f t="shared" ca="1" si="18"/>
        <v>0</v>
      </c>
      <c r="U183">
        <f t="shared" ca="1" si="19"/>
        <v>0</v>
      </c>
      <c r="V183">
        <f t="shared" ca="1" si="20"/>
        <v>0</v>
      </c>
      <c r="W183">
        <f t="shared" ca="1" si="21"/>
        <v>0</v>
      </c>
      <c r="X183">
        <f t="shared" ca="1" si="22"/>
        <v>0</v>
      </c>
    </row>
    <row r="184" spans="1:24" x14ac:dyDescent="0.2">
      <c r="A184" s="26">
        <f ca="1">Fwd_curves!A214</f>
        <v>40544</v>
      </c>
      <c r="B184">
        <f ca="1">IF($A184&lt;$B$5,0,IF($A184&gt;$B$6,0,Fwd_curves!H214))</f>
        <v>0</v>
      </c>
      <c r="C184">
        <f ca="1">IF($A184&lt;$B$5,0,IF($A184&gt;$B$6,0,Fwd_curves!J214))</f>
        <v>0</v>
      </c>
      <c r="D184">
        <f ca="1">IF($A184&lt;$B$5,0,IF($A184&gt;$B$6,0,Fwd_curves!K214))</f>
        <v>0</v>
      </c>
      <c r="E184">
        <f ca="1">IF($A184&lt;$B$5,0,IF($A184&gt;$B$6,0,Fwd_curves!L214))</f>
        <v>0</v>
      </c>
      <c r="F184">
        <f ca="1">IF($A184&lt;$B$5,0,IF($A184&gt;$B$6,0,Fwd_curves!M214))</f>
        <v>0</v>
      </c>
      <c r="G184">
        <f ca="1">IF($A184&lt;$B$5,0,IF($A184&gt;$B$6,0,Fwd_curves!N214))</f>
        <v>0</v>
      </c>
      <c r="H184" s="12">
        <f ca="1">IF($A184&lt;$B$5,0,IF($A184&gt;$B$6,0,Fwd_curves!O214))</f>
        <v>0</v>
      </c>
      <c r="I184" s="12">
        <f ca="1">IF($A184&lt;$B$5,0,IF($A184&gt;$B$6,0,Fwd_curves!P214))</f>
        <v>0</v>
      </c>
      <c r="J184">
        <f ca="1">IF($A184&lt;$B$5,0,IF($A184&gt;$B$6,0,Fwd_curves!Q214))</f>
        <v>0</v>
      </c>
      <c r="K184">
        <f t="shared" ca="1" si="23"/>
        <v>0</v>
      </c>
      <c r="L184" s="15">
        <f ca="1">external_curves!AB144</f>
        <v>21</v>
      </c>
      <c r="M184" s="15">
        <f ca="1">external_curves!AA144</f>
        <v>10</v>
      </c>
      <c r="N184" s="71">
        <f t="shared" ca="1" si="13"/>
        <v>0</v>
      </c>
      <c r="O184" s="71">
        <f t="shared" ca="1" si="14"/>
        <v>0</v>
      </c>
      <c r="P184" s="71">
        <f t="shared" ca="1" si="15"/>
        <v>0</v>
      </c>
      <c r="Q184" s="71">
        <f t="shared" ca="1" si="16"/>
        <v>0</v>
      </c>
      <c r="R184">
        <f t="shared" ca="1" si="17"/>
        <v>0</v>
      </c>
      <c r="T184">
        <f t="shared" ca="1" si="18"/>
        <v>0</v>
      </c>
      <c r="U184">
        <f t="shared" ca="1" si="19"/>
        <v>0</v>
      </c>
      <c r="V184">
        <f t="shared" ca="1" si="20"/>
        <v>0</v>
      </c>
      <c r="W184">
        <f t="shared" ca="1" si="21"/>
        <v>0</v>
      </c>
      <c r="X184">
        <f t="shared" ca="1" si="22"/>
        <v>0</v>
      </c>
    </row>
    <row r="185" spans="1:24" x14ac:dyDescent="0.2">
      <c r="A185" s="26">
        <f ca="1">Fwd_curves!A215</f>
        <v>40575</v>
      </c>
      <c r="B185">
        <f ca="1">IF($A185&lt;$B$5,0,IF($A185&gt;$B$6,0,Fwd_curves!H215))</f>
        <v>0</v>
      </c>
      <c r="C185">
        <f ca="1">IF($A185&lt;$B$5,0,IF($A185&gt;$B$6,0,Fwd_curves!J215))</f>
        <v>0</v>
      </c>
      <c r="D185">
        <f ca="1">IF($A185&lt;$B$5,0,IF($A185&gt;$B$6,0,Fwd_curves!K215))</f>
        <v>0</v>
      </c>
      <c r="E185">
        <f ca="1">IF($A185&lt;$B$5,0,IF($A185&gt;$B$6,0,Fwd_curves!L215))</f>
        <v>0</v>
      </c>
      <c r="F185">
        <f ca="1">IF($A185&lt;$B$5,0,IF($A185&gt;$B$6,0,Fwd_curves!M215))</f>
        <v>0</v>
      </c>
      <c r="G185">
        <f ca="1">IF($A185&lt;$B$5,0,IF($A185&gt;$B$6,0,Fwd_curves!N215))</f>
        <v>0</v>
      </c>
      <c r="H185" s="12">
        <f ca="1">IF($A185&lt;$B$5,0,IF($A185&gt;$B$6,0,Fwd_curves!O215))</f>
        <v>0</v>
      </c>
      <c r="I185" s="12">
        <f ca="1">IF($A185&lt;$B$5,0,IF($A185&gt;$B$6,0,Fwd_curves!P215))</f>
        <v>0</v>
      </c>
      <c r="J185">
        <f ca="1">IF($A185&lt;$B$5,0,IF($A185&gt;$B$6,0,Fwd_curves!Q215))</f>
        <v>0</v>
      </c>
      <c r="K185">
        <f t="shared" ca="1" si="23"/>
        <v>0</v>
      </c>
      <c r="L185" s="15">
        <f ca="1">external_curves!AB145</f>
        <v>20</v>
      </c>
      <c r="M185" s="15">
        <f ca="1">external_curves!AA145</f>
        <v>8</v>
      </c>
      <c r="N185" s="71">
        <f t="shared" ref="N185:N207" ca="1" si="24">(L185*16*$K185)</f>
        <v>0</v>
      </c>
      <c r="O185" s="71">
        <f t="shared" ref="O185:O207" ca="1" si="25">(L185*13*$K185)</f>
        <v>0</v>
      </c>
      <c r="P185" s="71">
        <f t="shared" ref="P185:P207" ca="1" si="26">(M185*24*$K185)</f>
        <v>0</v>
      </c>
      <c r="Q185" s="71">
        <f t="shared" ref="Q185:Q207" ca="1" si="27">((L185+M185)*K185)*24</f>
        <v>0</v>
      </c>
      <c r="R185">
        <f t="shared" ref="R185:R207" ca="1" si="28">L185*8*K185</f>
        <v>0</v>
      </c>
      <c r="T185">
        <f t="shared" ref="T185:T207" ca="1" si="29">IF(N185=0,0,$L185*16)*$B$9</f>
        <v>0</v>
      </c>
      <c r="U185">
        <f t="shared" ref="U185:U207" ca="1" si="30">IF(O185=0,0,$L185*13)*$B$9</f>
        <v>0</v>
      </c>
      <c r="V185">
        <f t="shared" ref="V185:V207" ca="1" si="31">IF(P185=0,0,$M185*24)*$B$9</f>
        <v>0</v>
      </c>
      <c r="W185">
        <f t="shared" ref="W185:W207" ca="1" si="32">IF(Q185=0,0,($L185+$M185)*24)*$B$9</f>
        <v>0</v>
      </c>
      <c r="X185">
        <f t="shared" ref="X185:X207" ca="1" si="33">IF(R185=0,0,$L185*8)*$B$9</f>
        <v>0</v>
      </c>
    </row>
    <row r="186" spans="1:24" x14ac:dyDescent="0.2">
      <c r="A186" s="26">
        <f ca="1">Fwd_curves!A216</f>
        <v>40603</v>
      </c>
      <c r="B186">
        <f ca="1">IF($A186&lt;$B$5,0,IF($A186&gt;$B$6,0,Fwd_curves!H216))</f>
        <v>0</v>
      </c>
      <c r="C186">
        <f ca="1">IF($A186&lt;$B$5,0,IF($A186&gt;$B$6,0,Fwd_curves!J216))</f>
        <v>0</v>
      </c>
      <c r="D186">
        <f ca="1">IF($A186&lt;$B$5,0,IF($A186&gt;$B$6,0,Fwd_curves!K216))</f>
        <v>0</v>
      </c>
      <c r="E186">
        <f ca="1">IF($A186&lt;$B$5,0,IF($A186&gt;$B$6,0,Fwd_curves!L216))</f>
        <v>0</v>
      </c>
      <c r="F186">
        <f ca="1">IF($A186&lt;$B$5,0,IF($A186&gt;$B$6,0,Fwd_curves!M216))</f>
        <v>0</v>
      </c>
      <c r="G186">
        <f ca="1">IF($A186&lt;$B$5,0,IF($A186&gt;$B$6,0,Fwd_curves!N216))</f>
        <v>0</v>
      </c>
      <c r="H186" s="12">
        <f ca="1">IF($A186&lt;$B$5,0,IF($A186&gt;$B$6,0,Fwd_curves!O216))</f>
        <v>0</v>
      </c>
      <c r="I186" s="12">
        <f ca="1">IF($A186&lt;$B$5,0,IF($A186&gt;$B$6,0,Fwd_curves!P216))</f>
        <v>0</v>
      </c>
      <c r="J186">
        <f ca="1">IF($A186&lt;$B$5,0,IF($A186&gt;$B$6,0,Fwd_curves!Q216))</f>
        <v>0</v>
      </c>
      <c r="K186">
        <f t="shared" ca="1" si="23"/>
        <v>0</v>
      </c>
      <c r="L186" s="15">
        <f ca="1">external_curves!AB146</f>
        <v>23</v>
      </c>
      <c r="M186" s="15">
        <f ca="1">external_curves!AA146</f>
        <v>8</v>
      </c>
      <c r="N186" s="71">
        <f t="shared" ca="1" si="24"/>
        <v>0</v>
      </c>
      <c r="O186" s="71">
        <f t="shared" ca="1" si="25"/>
        <v>0</v>
      </c>
      <c r="P186" s="71">
        <f t="shared" ca="1" si="26"/>
        <v>0</v>
      </c>
      <c r="Q186" s="71">
        <f t="shared" ca="1" si="27"/>
        <v>0</v>
      </c>
      <c r="R186">
        <f t="shared" ca="1" si="28"/>
        <v>0</v>
      </c>
      <c r="T186">
        <f t="shared" ca="1" si="29"/>
        <v>0</v>
      </c>
      <c r="U186">
        <f t="shared" ca="1" si="30"/>
        <v>0</v>
      </c>
      <c r="V186">
        <f t="shared" ca="1" si="31"/>
        <v>0</v>
      </c>
      <c r="W186">
        <f t="shared" ca="1" si="32"/>
        <v>0</v>
      </c>
      <c r="X186">
        <f t="shared" ca="1" si="33"/>
        <v>0</v>
      </c>
    </row>
    <row r="187" spans="1:24" x14ac:dyDescent="0.2">
      <c r="A187" s="26">
        <f ca="1">Fwd_curves!A217</f>
        <v>40634</v>
      </c>
      <c r="B187">
        <f ca="1">IF($A187&lt;$B$5,0,IF($A187&gt;$B$6,0,Fwd_curves!H217))</f>
        <v>0</v>
      </c>
      <c r="C187">
        <f ca="1">IF($A187&lt;$B$5,0,IF($A187&gt;$B$6,0,Fwd_curves!J217))</f>
        <v>0</v>
      </c>
      <c r="D187">
        <f ca="1">IF($A187&lt;$B$5,0,IF($A187&gt;$B$6,0,Fwd_curves!K217))</f>
        <v>0</v>
      </c>
      <c r="E187">
        <f ca="1">IF($A187&lt;$B$5,0,IF($A187&gt;$B$6,0,Fwd_curves!L217))</f>
        <v>0</v>
      </c>
      <c r="F187">
        <f ca="1">IF($A187&lt;$B$5,0,IF($A187&gt;$B$6,0,Fwd_curves!M217))</f>
        <v>0</v>
      </c>
      <c r="G187">
        <f ca="1">IF($A187&lt;$B$5,0,IF($A187&gt;$B$6,0,Fwd_curves!N217))</f>
        <v>0</v>
      </c>
      <c r="H187" s="12">
        <f ca="1">IF($A187&lt;$B$5,0,IF($A187&gt;$B$6,0,Fwd_curves!O217))</f>
        <v>0</v>
      </c>
      <c r="I187" s="12">
        <f ca="1">IF($A187&lt;$B$5,0,IF($A187&gt;$B$6,0,Fwd_curves!P217))</f>
        <v>0</v>
      </c>
      <c r="J187">
        <f ca="1">IF($A187&lt;$B$5,0,IF($A187&gt;$B$6,0,Fwd_curves!Q217))</f>
        <v>0</v>
      </c>
      <c r="K187">
        <f t="shared" ca="1" si="23"/>
        <v>0</v>
      </c>
      <c r="L187" s="15">
        <f ca="1">external_curves!AB147</f>
        <v>21</v>
      </c>
      <c r="M187" s="15">
        <f ca="1">external_curves!AA147</f>
        <v>9</v>
      </c>
      <c r="N187" s="71">
        <f t="shared" ca="1" si="24"/>
        <v>0</v>
      </c>
      <c r="O187" s="71">
        <f t="shared" ca="1" si="25"/>
        <v>0</v>
      </c>
      <c r="P187" s="71">
        <f t="shared" ca="1" si="26"/>
        <v>0</v>
      </c>
      <c r="Q187" s="71">
        <f t="shared" ca="1" si="27"/>
        <v>0</v>
      </c>
      <c r="R187">
        <f t="shared" ca="1" si="28"/>
        <v>0</v>
      </c>
      <c r="T187">
        <f t="shared" ca="1" si="29"/>
        <v>0</v>
      </c>
      <c r="U187">
        <f t="shared" ca="1" si="30"/>
        <v>0</v>
      </c>
      <c r="V187">
        <f t="shared" ca="1" si="31"/>
        <v>0</v>
      </c>
      <c r="W187">
        <f t="shared" ca="1" si="32"/>
        <v>0</v>
      </c>
      <c r="X187">
        <f t="shared" ca="1" si="33"/>
        <v>0</v>
      </c>
    </row>
    <row r="188" spans="1:24" x14ac:dyDescent="0.2">
      <c r="A188" s="26">
        <f ca="1">Fwd_curves!A218</f>
        <v>40664</v>
      </c>
      <c r="B188">
        <f ca="1">IF($A188&lt;$B$5,0,IF($A188&gt;$B$6,0,Fwd_curves!H218))</f>
        <v>0</v>
      </c>
      <c r="C188">
        <f ca="1">IF($A188&lt;$B$5,0,IF($A188&gt;$B$6,0,Fwd_curves!J218))</f>
        <v>0</v>
      </c>
      <c r="D188">
        <f ca="1">IF($A188&lt;$B$5,0,IF($A188&gt;$B$6,0,Fwd_curves!K218))</f>
        <v>0</v>
      </c>
      <c r="E188">
        <f ca="1">IF($A188&lt;$B$5,0,IF($A188&gt;$B$6,0,Fwd_curves!L218))</f>
        <v>0</v>
      </c>
      <c r="F188">
        <f ca="1">IF($A188&lt;$B$5,0,IF($A188&gt;$B$6,0,Fwd_curves!M218))</f>
        <v>0</v>
      </c>
      <c r="G188">
        <f ca="1">IF($A188&lt;$B$5,0,IF($A188&gt;$B$6,0,Fwd_curves!N218))</f>
        <v>0</v>
      </c>
      <c r="H188" s="12">
        <f ca="1">IF($A188&lt;$B$5,0,IF($A188&gt;$B$6,0,Fwd_curves!O218))</f>
        <v>0</v>
      </c>
      <c r="I188" s="12">
        <f ca="1">IF($A188&lt;$B$5,0,IF($A188&gt;$B$6,0,Fwd_curves!P218))</f>
        <v>0</v>
      </c>
      <c r="J188">
        <f ca="1">IF($A188&lt;$B$5,0,IF($A188&gt;$B$6,0,Fwd_curves!Q218))</f>
        <v>0</v>
      </c>
      <c r="K188">
        <f t="shared" ca="1" si="23"/>
        <v>0</v>
      </c>
      <c r="L188" s="15">
        <f ca="1">external_curves!AB148</f>
        <v>22</v>
      </c>
      <c r="M188" s="15">
        <f ca="1">external_curves!AA148</f>
        <v>9</v>
      </c>
      <c r="N188" s="71">
        <f t="shared" ca="1" si="24"/>
        <v>0</v>
      </c>
      <c r="O188" s="71">
        <f t="shared" ca="1" si="25"/>
        <v>0</v>
      </c>
      <c r="P188" s="71">
        <f t="shared" ca="1" si="26"/>
        <v>0</v>
      </c>
      <c r="Q188" s="71">
        <f t="shared" ca="1" si="27"/>
        <v>0</v>
      </c>
      <c r="R188">
        <f t="shared" ca="1" si="28"/>
        <v>0</v>
      </c>
      <c r="T188">
        <f t="shared" ca="1" si="29"/>
        <v>0</v>
      </c>
      <c r="U188">
        <f t="shared" ca="1" si="30"/>
        <v>0</v>
      </c>
      <c r="V188">
        <f t="shared" ca="1" si="31"/>
        <v>0</v>
      </c>
      <c r="W188">
        <f t="shared" ca="1" si="32"/>
        <v>0</v>
      </c>
      <c r="X188">
        <f t="shared" ca="1" si="33"/>
        <v>0</v>
      </c>
    </row>
    <row r="189" spans="1:24" x14ac:dyDescent="0.2">
      <c r="A189" s="26">
        <f ca="1">Fwd_curves!A219</f>
        <v>40695</v>
      </c>
      <c r="B189">
        <f ca="1">IF($A189&lt;$B$5,0,IF($A189&gt;$B$6,0,Fwd_curves!H219))</f>
        <v>0</v>
      </c>
      <c r="C189">
        <f ca="1">IF($A189&lt;$B$5,0,IF($A189&gt;$B$6,0,Fwd_curves!J219))</f>
        <v>0</v>
      </c>
      <c r="D189">
        <f ca="1">IF($A189&lt;$B$5,0,IF($A189&gt;$B$6,0,Fwd_curves!K219))</f>
        <v>0</v>
      </c>
      <c r="E189">
        <f ca="1">IF($A189&lt;$B$5,0,IF($A189&gt;$B$6,0,Fwd_curves!L219))</f>
        <v>0</v>
      </c>
      <c r="F189">
        <f ca="1">IF($A189&lt;$B$5,0,IF($A189&gt;$B$6,0,Fwd_curves!M219))</f>
        <v>0</v>
      </c>
      <c r="G189">
        <f ca="1">IF($A189&lt;$B$5,0,IF($A189&gt;$B$6,0,Fwd_curves!N219))</f>
        <v>0</v>
      </c>
      <c r="H189" s="12">
        <f ca="1">IF($A189&lt;$B$5,0,IF($A189&gt;$B$6,0,Fwd_curves!O219))</f>
        <v>0</v>
      </c>
      <c r="I189" s="12">
        <f ca="1">IF($A189&lt;$B$5,0,IF($A189&gt;$B$6,0,Fwd_curves!P219))</f>
        <v>0</v>
      </c>
      <c r="J189">
        <f ca="1">IF($A189&lt;$B$5,0,IF($A189&gt;$B$6,0,Fwd_curves!Q219))</f>
        <v>0</v>
      </c>
      <c r="K189">
        <f t="shared" ca="1" si="23"/>
        <v>0</v>
      </c>
      <c r="L189" s="15">
        <f ca="1">external_curves!AB149</f>
        <v>22</v>
      </c>
      <c r="M189" s="15">
        <f ca="1">external_curves!AA149</f>
        <v>8</v>
      </c>
      <c r="N189" s="71">
        <f t="shared" ca="1" si="24"/>
        <v>0</v>
      </c>
      <c r="O189" s="71">
        <f t="shared" ca="1" si="25"/>
        <v>0</v>
      </c>
      <c r="P189" s="71">
        <f t="shared" ca="1" si="26"/>
        <v>0</v>
      </c>
      <c r="Q189" s="71">
        <f t="shared" ca="1" si="27"/>
        <v>0</v>
      </c>
      <c r="R189">
        <f t="shared" ca="1" si="28"/>
        <v>0</v>
      </c>
      <c r="T189">
        <f t="shared" ca="1" si="29"/>
        <v>0</v>
      </c>
      <c r="U189">
        <f t="shared" ca="1" si="30"/>
        <v>0</v>
      </c>
      <c r="V189">
        <f t="shared" ca="1" si="31"/>
        <v>0</v>
      </c>
      <c r="W189">
        <f t="shared" ca="1" si="32"/>
        <v>0</v>
      </c>
      <c r="X189">
        <f t="shared" ca="1" si="33"/>
        <v>0</v>
      </c>
    </row>
    <row r="190" spans="1:24" x14ac:dyDescent="0.2">
      <c r="A190" s="26">
        <f ca="1">Fwd_curves!A220</f>
        <v>40725</v>
      </c>
      <c r="B190">
        <f ca="1">IF($A190&lt;$B$5,0,IF($A190&gt;$B$6,0,Fwd_curves!H220))</f>
        <v>0</v>
      </c>
      <c r="C190">
        <f ca="1">IF($A190&lt;$B$5,0,IF($A190&gt;$B$6,0,Fwd_curves!J220))</f>
        <v>0</v>
      </c>
      <c r="D190">
        <f ca="1">IF($A190&lt;$B$5,0,IF($A190&gt;$B$6,0,Fwd_curves!K220))</f>
        <v>0</v>
      </c>
      <c r="E190">
        <f ca="1">IF($A190&lt;$B$5,0,IF($A190&gt;$B$6,0,Fwd_curves!L220))</f>
        <v>0</v>
      </c>
      <c r="F190">
        <f ca="1">IF($A190&lt;$B$5,0,IF($A190&gt;$B$6,0,Fwd_curves!M220))</f>
        <v>0</v>
      </c>
      <c r="G190">
        <f ca="1">IF($A190&lt;$B$5,0,IF($A190&gt;$B$6,0,Fwd_curves!N220))</f>
        <v>0</v>
      </c>
      <c r="H190" s="12">
        <f ca="1">IF($A190&lt;$B$5,0,IF($A190&gt;$B$6,0,Fwd_curves!O220))</f>
        <v>0</v>
      </c>
      <c r="I190" s="12">
        <f ca="1">IF($A190&lt;$B$5,0,IF($A190&gt;$B$6,0,Fwd_curves!P220))</f>
        <v>0</v>
      </c>
      <c r="J190">
        <f ca="1">IF($A190&lt;$B$5,0,IF($A190&gt;$B$6,0,Fwd_curves!Q220))</f>
        <v>0</v>
      </c>
      <c r="K190">
        <f t="shared" ca="1" si="23"/>
        <v>0</v>
      </c>
      <c r="L190" s="15">
        <f ca="1">external_curves!AB150</f>
        <v>21</v>
      </c>
      <c r="M190" s="15">
        <f ca="1">external_curves!AA150</f>
        <v>10</v>
      </c>
      <c r="N190" s="71">
        <f t="shared" ca="1" si="24"/>
        <v>0</v>
      </c>
      <c r="O190" s="71">
        <f t="shared" ca="1" si="25"/>
        <v>0</v>
      </c>
      <c r="P190" s="71">
        <f t="shared" ca="1" si="26"/>
        <v>0</v>
      </c>
      <c r="Q190" s="71">
        <f t="shared" ca="1" si="27"/>
        <v>0</v>
      </c>
      <c r="R190">
        <f t="shared" ca="1" si="28"/>
        <v>0</v>
      </c>
      <c r="T190">
        <f t="shared" ca="1" si="29"/>
        <v>0</v>
      </c>
      <c r="U190">
        <f t="shared" ca="1" si="30"/>
        <v>0</v>
      </c>
      <c r="V190">
        <f t="shared" ca="1" si="31"/>
        <v>0</v>
      </c>
      <c r="W190">
        <f t="shared" ca="1" si="32"/>
        <v>0</v>
      </c>
      <c r="X190">
        <f t="shared" ca="1" si="33"/>
        <v>0</v>
      </c>
    </row>
    <row r="191" spans="1:24" x14ac:dyDescent="0.2">
      <c r="A191" s="26">
        <f ca="1">Fwd_curves!A221</f>
        <v>40756</v>
      </c>
      <c r="B191">
        <f ca="1">IF($A191&lt;$B$5,0,IF($A191&gt;$B$6,0,Fwd_curves!H221))</f>
        <v>0</v>
      </c>
      <c r="C191">
        <f ca="1">IF($A191&lt;$B$5,0,IF($A191&gt;$B$6,0,Fwd_curves!J221))</f>
        <v>0</v>
      </c>
      <c r="D191">
        <f ca="1">IF($A191&lt;$B$5,0,IF($A191&gt;$B$6,0,Fwd_curves!K221))</f>
        <v>0</v>
      </c>
      <c r="E191">
        <f ca="1">IF($A191&lt;$B$5,0,IF($A191&gt;$B$6,0,Fwd_curves!L221))</f>
        <v>0</v>
      </c>
      <c r="F191">
        <f ca="1">IF($A191&lt;$B$5,0,IF($A191&gt;$B$6,0,Fwd_curves!M221))</f>
        <v>0</v>
      </c>
      <c r="G191">
        <f ca="1">IF($A191&lt;$B$5,0,IF($A191&gt;$B$6,0,Fwd_curves!N221))</f>
        <v>0</v>
      </c>
      <c r="H191" s="12">
        <f ca="1">IF($A191&lt;$B$5,0,IF($A191&gt;$B$6,0,Fwd_curves!O221))</f>
        <v>0</v>
      </c>
      <c r="I191" s="12">
        <f ca="1">IF($A191&lt;$B$5,0,IF($A191&gt;$B$6,0,Fwd_curves!P221))</f>
        <v>0</v>
      </c>
      <c r="J191">
        <f ca="1">IF($A191&lt;$B$5,0,IF($A191&gt;$B$6,0,Fwd_curves!Q221))</f>
        <v>0</v>
      </c>
      <c r="K191">
        <f t="shared" ca="1" si="23"/>
        <v>0</v>
      </c>
      <c r="L191" s="15">
        <f ca="1">external_curves!AB151</f>
        <v>23</v>
      </c>
      <c r="M191" s="15">
        <f ca="1">external_curves!AA151</f>
        <v>8</v>
      </c>
      <c r="N191" s="71">
        <f t="shared" ca="1" si="24"/>
        <v>0</v>
      </c>
      <c r="O191" s="71">
        <f t="shared" ca="1" si="25"/>
        <v>0</v>
      </c>
      <c r="P191" s="71">
        <f t="shared" ca="1" si="26"/>
        <v>0</v>
      </c>
      <c r="Q191" s="71">
        <f t="shared" ca="1" si="27"/>
        <v>0</v>
      </c>
      <c r="R191">
        <f t="shared" ca="1" si="28"/>
        <v>0</v>
      </c>
      <c r="T191">
        <f t="shared" ca="1" si="29"/>
        <v>0</v>
      </c>
      <c r="U191">
        <f t="shared" ca="1" si="30"/>
        <v>0</v>
      </c>
      <c r="V191">
        <f t="shared" ca="1" si="31"/>
        <v>0</v>
      </c>
      <c r="W191">
        <f t="shared" ca="1" si="32"/>
        <v>0</v>
      </c>
      <c r="X191">
        <f t="shared" ca="1" si="33"/>
        <v>0</v>
      </c>
    </row>
    <row r="192" spans="1:24" x14ac:dyDescent="0.2">
      <c r="A192" s="26">
        <f ca="1">Fwd_curves!A222</f>
        <v>40787</v>
      </c>
      <c r="B192">
        <f ca="1">IF($A192&lt;$B$5,0,IF($A192&gt;$B$6,0,Fwd_curves!H222))</f>
        <v>0</v>
      </c>
      <c r="C192">
        <f ca="1">IF($A192&lt;$B$5,0,IF($A192&gt;$B$6,0,Fwd_curves!J222))</f>
        <v>0</v>
      </c>
      <c r="D192">
        <f ca="1">IF($A192&lt;$B$5,0,IF($A192&gt;$B$6,0,Fwd_curves!K222))</f>
        <v>0</v>
      </c>
      <c r="E192">
        <f ca="1">IF($A192&lt;$B$5,0,IF($A192&gt;$B$6,0,Fwd_curves!L222))</f>
        <v>0</v>
      </c>
      <c r="F192">
        <f ca="1">IF($A192&lt;$B$5,0,IF($A192&gt;$B$6,0,Fwd_curves!M222))</f>
        <v>0</v>
      </c>
      <c r="G192">
        <f ca="1">IF($A192&lt;$B$5,0,IF($A192&gt;$B$6,0,Fwd_curves!N222))</f>
        <v>0</v>
      </c>
      <c r="H192" s="12">
        <f ca="1">IF($A192&lt;$B$5,0,IF($A192&gt;$B$6,0,Fwd_curves!O222))</f>
        <v>0</v>
      </c>
      <c r="I192" s="12">
        <f ca="1">IF($A192&lt;$B$5,0,IF($A192&gt;$B$6,0,Fwd_curves!P222))</f>
        <v>0</v>
      </c>
      <c r="J192">
        <f ca="1">IF($A192&lt;$B$5,0,IF($A192&gt;$B$6,0,Fwd_curves!Q222))</f>
        <v>0</v>
      </c>
      <c r="K192">
        <f t="shared" ca="1" si="23"/>
        <v>0</v>
      </c>
      <c r="L192" s="15">
        <f ca="1">external_curves!AB152</f>
        <v>22</v>
      </c>
      <c r="M192" s="15">
        <f ca="1">external_curves!AA152</f>
        <v>8</v>
      </c>
      <c r="N192" s="71">
        <f t="shared" ca="1" si="24"/>
        <v>0</v>
      </c>
      <c r="O192" s="71">
        <f t="shared" ca="1" si="25"/>
        <v>0</v>
      </c>
      <c r="P192" s="71">
        <f t="shared" ca="1" si="26"/>
        <v>0</v>
      </c>
      <c r="Q192" s="71">
        <f t="shared" ca="1" si="27"/>
        <v>0</v>
      </c>
      <c r="R192">
        <f t="shared" ca="1" si="28"/>
        <v>0</v>
      </c>
      <c r="T192">
        <f t="shared" ca="1" si="29"/>
        <v>0</v>
      </c>
      <c r="U192">
        <f t="shared" ca="1" si="30"/>
        <v>0</v>
      </c>
      <c r="V192">
        <f t="shared" ca="1" si="31"/>
        <v>0</v>
      </c>
      <c r="W192">
        <f t="shared" ca="1" si="32"/>
        <v>0</v>
      </c>
      <c r="X192">
        <f t="shared" ca="1" si="33"/>
        <v>0</v>
      </c>
    </row>
    <row r="193" spans="1:24" x14ac:dyDescent="0.2">
      <c r="A193" s="26">
        <f ca="1">Fwd_curves!A223</f>
        <v>40817</v>
      </c>
      <c r="B193">
        <f ca="1">IF($A193&lt;$B$5,0,IF($A193&gt;$B$6,0,Fwd_curves!H223))</f>
        <v>0</v>
      </c>
      <c r="C193">
        <f ca="1">IF($A193&lt;$B$5,0,IF($A193&gt;$B$6,0,Fwd_curves!J223))</f>
        <v>0</v>
      </c>
      <c r="D193">
        <f ca="1">IF($A193&lt;$B$5,0,IF($A193&gt;$B$6,0,Fwd_curves!K223))</f>
        <v>0</v>
      </c>
      <c r="E193">
        <f ca="1">IF($A193&lt;$B$5,0,IF($A193&gt;$B$6,0,Fwd_curves!L223))</f>
        <v>0</v>
      </c>
      <c r="F193">
        <f ca="1">IF($A193&lt;$B$5,0,IF($A193&gt;$B$6,0,Fwd_curves!M223))</f>
        <v>0</v>
      </c>
      <c r="G193">
        <f ca="1">IF($A193&lt;$B$5,0,IF($A193&gt;$B$6,0,Fwd_curves!N223))</f>
        <v>0</v>
      </c>
      <c r="H193" s="12">
        <f ca="1">IF($A193&lt;$B$5,0,IF($A193&gt;$B$6,0,Fwd_curves!O223))</f>
        <v>0</v>
      </c>
      <c r="I193" s="12">
        <f ca="1">IF($A193&lt;$B$5,0,IF($A193&gt;$B$6,0,Fwd_curves!P223))</f>
        <v>0</v>
      </c>
      <c r="J193">
        <f ca="1">IF($A193&lt;$B$5,0,IF($A193&gt;$B$6,0,Fwd_curves!Q223))</f>
        <v>0</v>
      </c>
      <c r="K193">
        <f t="shared" ca="1" si="23"/>
        <v>0</v>
      </c>
      <c r="L193" s="15">
        <f ca="1">external_curves!AB153</f>
        <v>21</v>
      </c>
      <c r="M193" s="15">
        <f ca="1">external_curves!AA153</f>
        <v>10</v>
      </c>
      <c r="N193" s="71">
        <f t="shared" ca="1" si="24"/>
        <v>0</v>
      </c>
      <c r="O193" s="71">
        <f t="shared" ca="1" si="25"/>
        <v>0</v>
      </c>
      <c r="P193" s="71">
        <f t="shared" ca="1" si="26"/>
        <v>0</v>
      </c>
      <c r="Q193" s="71">
        <f t="shared" ca="1" si="27"/>
        <v>0</v>
      </c>
      <c r="R193">
        <f t="shared" ca="1" si="28"/>
        <v>0</v>
      </c>
      <c r="T193">
        <f t="shared" ca="1" si="29"/>
        <v>0</v>
      </c>
      <c r="U193">
        <f t="shared" ca="1" si="30"/>
        <v>0</v>
      </c>
      <c r="V193">
        <f t="shared" ca="1" si="31"/>
        <v>0</v>
      </c>
      <c r="W193">
        <f t="shared" ca="1" si="32"/>
        <v>0</v>
      </c>
      <c r="X193">
        <f t="shared" ca="1" si="33"/>
        <v>0</v>
      </c>
    </row>
    <row r="194" spans="1:24" x14ac:dyDescent="0.2">
      <c r="A194" s="26">
        <f ca="1">Fwd_curves!A224</f>
        <v>40848</v>
      </c>
      <c r="B194">
        <f ca="1">IF($A194&lt;$B$5,0,IF($A194&gt;$B$6,0,Fwd_curves!H224))</f>
        <v>0</v>
      </c>
      <c r="C194">
        <f ca="1">IF($A194&lt;$B$5,0,IF($A194&gt;$B$6,0,Fwd_curves!J224))</f>
        <v>0</v>
      </c>
      <c r="D194">
        <f ca="1">IF($A194&lt;$B$5,0,IF($A194&gt;$B$6,0,Fwd_curves!K224))</f>
        <v>0</v>
      </c>
      <c r="E194">
        <f ca="1">IF($A194&lt;$B$5,0,IF($A194&gt;$B$6,0,Fwd_curves!L224))</f>
        <v>0</v>
      </c>
      <c r="F194">
        <f ca="1">IF($A194&lt;$B$5,0,IF($A194&gt;$B$6,0,Fwd_curves!M224))</f>
        <v>0</v>
      </c>
      <c r="G194">
        <f ca="1">IF($A194&lt;$B$5,0,IF($A194&gt;$B$6,0,Fwd_curves!N224))</f>
        <v>0</v>
      </c>
      <c r="H194" s="12">
        <f ca="1">IF($A194&lt;$B$5,0,IF($A194&gt;$B$6,0,Fwd_curves!O224))</f>
        <v>0</v>
      </c>
      <c r="I194" s="12">
        <f ca="1">IF($A194&lt;$B$5,0,IF($A194&gt;$B$6,0,Fwd_curves!P224))</f>
        <v>0</v>
      </c>
      <c r="J194">
        <f ca="1">IF($A194&lt;$B$5,0,IF($A194&gt;$B$6,0,Fwd_curves!Q224))</f>
        <v>0</v>
      </c>
      <c r="K194">
        <f t="shared" ca="1" si="23"/>
        <v>0</v>
      </c>
      <c r="L194" s="15">
        <f ca="1">external_curves!AB154</f>
        <v>22</v>
      </c>
      <c r="M194" s="15">
        <f ca="1">external_curves!AA154</f>
        <v>8</v>
      </c>
      <c r="N194" s="71">
        <f t="shared" ca="1" si="24"/>
        <v>0</v>
      </c>
      <c r="O194" s="71">
        <f t="shared" ca="1" si="25"/>
        <v>0</v>
      </c>
      <c r="P194" s="71">
        <f t="shared" ca="1" si="26"/>
        <v>0</v>
      </c>
      <c r="Q194" s="71">
        <f t="shared" ca="1" si="27"/>
        <v>0</v>
      </c>
      <c r="R194">
        <f t="shared" ca="1" si="28"/>
        <v>0</v>
      </c>
      <c r="T194">
        <f t="shared" ca="1" si="29"/>
        <v>0</v>
      </c>
      <c r="U194">
        <f t="shared" ca="1" si="30"/>
        <v>0</v>
      </c>
      <c r="V194">
        <f t="shared" ca="1" si="31"/>
        <v>0</v>
      </c>
      <c r="W194">
        <f t="shared" ca="1" si="32"/>
        <v>0</v>
      </c>
      <c r="X194">
        <f t="shared" ca="1" si="33"/>
        <v>0</v>
      </c>
    </row>
    <row r="195" spans="1:24" x14ac:dyDescent="0.2">
      <c r="A195" s="26">
        <f ca="1">Fwd_curves!A225</f>
        <v>40878</v>
      </c>
      <c r="B195">
        <f ca="1">IF($A195&lt;$B$5,0,IF($A195&gt;$B$6,0,Fwd_curves!H225))</f>
        <v>0</v>
      </c>
      <c r="C195">
        <f ca="1">IF($A195&lt;$B$5,0,IF($A195&gt;$B$6,0,Fwd_curves!J225))</f>
        <v>0</v>
      </c>
      <c r="D195">
        <f ca="1">IF($A195&lt;$B$5,0,IF($A195&gt;$B$6,0,Fwd_curves!K225))</f>
        <v>0</v>
      </c>
      <c r="E195">
        <f ca="1">IF($A195&lt;$B$5,0,IF($A195&gt;$B$6,0,Fwd_curves!L225))</f>
        <v>0</v>
      </c>
      <c r="F195">
        <f ca="1">IF($A195&lt;$B$5,0,IF($A195&gt;$B$6,0,Fwd_curves!M225))</f>
        <v>0</v>
      </c>
      <c r="G195">
        <f ca="1">IF($A195&lt;$B$5,0,IF($A195&gt;$B$6,0,Fwd_curves!N225))</f>
        <v>0</v>
      </c>
      <c r="H195" s="12">
        <f ca="1">IF($A195&lt;$B$5,0,IF($A195&gt;$B$6,0,Fwd_curves!O225))</f>
        <v>0</v>
      </c>
      <c r="I195" s="12">
        <f ca="1">IF($A195&lt;$B$5,0,IF($A195&gt;$B$6,0,Fwd_curves!P225))</f>
        <v>0</v>
      </c>
      <c r="J195">
        <f ca="1">IF($A195&lt;$B$5,0,IF($A195&gt;$B$6,0,Fwd_curves!Q225))</f>
        <v>0</v>
      </c>
      <c r="K195">
        <f t="shared" ca="1" si="23"/>
        <v>0</v>
      </c>
      <c r="L195" s="15">
        <f ca="1">external_curves!AB155</f>
        <v>22</v>
      </c>
      <c r="M195" s="15">
        <f ca="1">external_curves!AA155</f>
        <v>9</v>
      </c>
      <c r="N195" s="71">
        <f t="shared" ca="1" si="24"/>
        <v>0</v>
      </c>
      <c r="O195" s="71">
        <f t="shared" ca="1" si="25"/>
        <v>0</v>
      </c>
      <c r="P195" s="71">
        <f t="shared" ca="1" si="26"/>
        <v>0</v>
      </c>
      <c r="Q195" s="71">
        <f t="shared" ca="1" si="27"/>
        <v>0</v>
      </c>
      <c r="R195">
        <f t="shared" ca="1" si="28"/>
        <v>0</v>
      </c>
      <c r="T195">
        <f t="shared" ca="1" si="29"/>
        <v>0</v>
      </c>
      <c r="U195">
        <f t="shared" ca="1" si="30"/>
        <v>0</v>
      </c>
      <c r="V195">
        <f t="shared" ca="1" si="31"/>
        <v>0</v>
      </c>
      <c r="W195">
        <f t="shared" ca="1" si="32"/>
        <v>0</v>
      </c>
      <c r="X195">
        <f t="shared" ca="1" si="33"/>
        <v>0</v>
      </c>
    </row>
    <row r="196" spans="1:24" x14ac:dyDescent="0.2">
      <c r="A196" s="26">
        <f ca="1">Fwd_curves!A226</f>
        <v>40909</v>
      </c>
      <c r="B196">
        <f ca="1">IF($A196&lt;$B$5,0,IF($A196&gt;$B$6,0,Fwd_curves!H226))</f>
        <v>0</v>
      </c>
      <c r="C196">
        <f ca="1">IF($A196&lt;$B$5,0,IF($A196&gt;$B$6,0,Fwd_curves!J226))</f>
        <v>0</v>
      </c>
      <c r="D196">
        <f ca="1">IF($A196&lt;$B$5,0,IF($A196&gt;$B$6,0,Fwd_curves!K226))</f>
        <v>0</v>
      </c>
      <c r="E196">
        <f ca="1">IF($A196&lt;$B$5,0,IF($A196&gt;$B$6,0,Fwd_curves!L226))</f>
        <v>0</v>
      </c>
      <c r="F196">
        <f ca="1">IF($A196&lt;$B$5,0,IF($A196&gt;$B$6,0,Fwd_curves!M226))</f>
        <v>0</v>
      </c>
      <c r="G196">
        <f ca="1">IF($A196&lt;$B$5,0,IF($A196&gt;$B$6,0,Fwd_curves!N226))</f>
        <v>0</v>
      </c>
      <c r="H196" s="12">
        <f ca="1">IF($A196&lt;$B$5,0,IF($A196&gt;$B$6,0,Fwd_curves!O226))</f>
        <v>0</v>
      </c>
      <c r="I196" s="12">
        <f ca="1">IF($A196&lt;$B$5,0,IF($A196&gt;$B$6,0,Fwd_curves!P226))</f>
        <v>0</v>
      </c>
      <c r="J196">
        <f ca="1">IF($A196&lt;$B$5,0,IF($A196&gt;$B$6,0,Fwd_curves!Q226))</f>
        <v>0</v>
      </c>
      <c r="K196">
        <f t="shared" ca="1" si="23"/>
        <v>0</v>
      </c>
      <c r="L196" s="15">
        <f ca="1">external_curves!AB156</f>
        <v>21</v>
      </c>
      <c r="M196" s="15">
        <f ca="1">external_curves!AA156</f>
        <v>10</v>
      </c>
      <c r="N196" s="71">
        <f t="shared" ca="1" si="24"/>
        <v>0</v>
      </c>
      <c r="O196" s="71">
        <f t="shared" ca="1" si="25"/>
        <v>0</v>
      </c>
      <c r="P196" s="71">
        <f t="shared" ca="1" si="26"/>
        <v>0</v>
      </c>
      <c r="Q196" s="71">
        <f t="shared" ca="1" si="27"/>
        <v>0</v>
      </c>
      <c r="R196">
        <f t="shared" ca="1" si="28"/>
        <v>0</v>
      </c>
      <c r="T196">
        <f t="shared" ca="1" si="29"/>
        <v>0</v>
      </c>
      <c r="U196">
        <f t="shared" ca="1" si="30"/>
        <v>0</v>
      </c>
      <c r="V196">
        <f t="shared" ca="1" si="31"/>
        <v>0</v>
      </c>
      <c r="W196">
        <f t="shared" ca="1" si="32"/>
        <v>0</v>
      </c>
      <c r="X196">
        <f t="shared" ca="1" si="33"/>
        <v>0</v>
      </c>
    </row>
    <row r="197" spans="1:24" x14ac:dyDescent="0.2">
      <c r="A197" s="26">
        <f ca="1">Fwd_curves!A227</f>
        <v>40940</v>
      </c>
      <c r="B197">
        <f ca="1">IF($A197&lt;$B$5,0,IF($A197&gt;$B$6,0,Fwd_curves!H227))</f>
        <v>0</v>
      </c>
      <c r="C197">
        <f ca="1">IF($A197&lt;$B$5,0,IF($A197&gt;$B$6,0,Fwd_curves!J227))</f>
        <v>0</v>
      </c>
      <c r="D197">
        <f ca="1">IF($A197&lt;$B$5,0,IF($A197&gt;$B$6,0,Fwd_curves!K227))</f>
        <v>0</v>
      </c>
      <c r="E197">
        <f ca="1">IF($A197&lt;$B$5,0,IF($A197&gt;$B$6,0,Fwd_curves!L227))</f>
        <v>0</v>
      </c>
      <c r="F197">
        <f ca="1">IF($A197&lt;$B$5,0,IF($A197&gt;$B$6,0,Fwd_curves!M227))</f>
        <v>0</v>
      </c>
      <c r="G197">
        <f ca="1">IF($A197&lt;$B$5,0,IF($A197&gt;$B$6,0,Fwd_curves!N227))</f>
        <v>0</v>
      </c>
      <c r="H197" s="12">
        <f ca="1">IF($A197&lt;$B$5,0,IF($A197&gt;$B$6,0,Fwd_curves!O227))</f>
        <v>0</v>
      </c>
      <c r="I197" s="12">
        <f ca="1">IF($A197&lt;$B$5,0,IF($A197&gt;$B$6,0,Fwd_curves!P227))</f>
        <v>0</v>
      </c>
      <c r="J197">
        <f ca="1">IF($A197&lt;$B$5,0,IF($A197&gt;$B$6,0,Fwd_curves!Q227))</f>
        <v>0</v>
      </c>
      <c r="K197">
        <f t="shared" ca="1" si="23"/>
        <v>0</v>
      </c>
      <c r="L197" s="15">
        <f ca="1">external_curves!AB157</f>
        <v>20</v>
      </c>
      <c r="M197" s="15">
        <f ca="1">external_curves!AA157</f>
        <v>8</v>
      </c>
      <c r="N197" s="71">
        <f t="shared" ca="1" si="24"/>
        <v>0</v>
      </c>
      <c r="O197" s="71">
        <f t="shared" ca="1" si="25"/>
        <v>0</v>
      </c>
      <c r="P197" s="71">
        <f t="shared" ca="1" si="26"/>
        <v>0</v>
      </c>
      <c r="Q197" s="71">
        <f t="shared" ca="1" si="27"/>
        <v>0</v>
      </c>
      <c r="R197">
        <f t="shared" ca="1" si="28"/>
        <v>0</v>
      </c>
      <c r="T197">
        <f t="shared" ca="1" si="29"/>
        <v>0</v>
      </c>
      <c r="U197">
        <f t="shared" ca="1" si="30"/>
        <v>0</v>
      </c>
      <c r="V197">
        <f t="shared" ca="1" si="31"/>
        <v>0</v>
      </c>
      <c r="W197">
        <f t="shared" ca="1" si="32"/>
        <v>0</v>
      </c>
      <c r="X197">
        <f t="shared" ca="1" si="33"/>
        <v>0</v>
      </c>
    </row>
    <row r="198" spans="1:24" x14ac:dyDescent="0.2">
      <c r="A198" s="26">
        <f ca="1">Fwd_curves!A228</f>
        <v>40969</v>
      </c>
      <c r="B198">
        <f ca="1">IF($A198&lt;$B$5,0,IF($A198&gt;$B$6,0,Fwd_curves!H228))</f>
        <v>0</v>
      </c>
      <c r="C198">
        <f ca="1">IF($A198&lt;$B$5,0,IF($A198&gt;$B$6,0,Fwd_curves!J228))</f>
        <v>0</v>
      </c>
      <c r="D198">
        <f ca="1">IF($A198&lt;$B$5,0,IF($A198&gt;$B$6,0,Fwd_curves!K228))</f>
        <v>0</v>
      </c>
      <c r="E198">
        <f ca="1">IF($A198&lt;$B$5,0,IF($A198&gt;$B$6,0,Fwd_curves!L228))</f>
        <v>0</v>
      </c>
      <c r="F198">
        <f ca="1">IF($A198&lt;$B$5,0,IF($A198&gt;$B$6,0,Fwd_curves!M228))</f>
        <v>0</v>
      </c>
      <c r="G198">
        <f ca="1">IF($A198&lt;$B$5,0,IF($A198&gt;$B$6,0,Fwd_curves!N228))</f>
        <v>0</v>
      </c>
      <c r="H198" s="12">
        <f ca="1">IF($A198&lt;$B$5,0,IF($A198&gt;$B$6,0,Fwd_curves!O228))</f>
        <v>0</v>
      </c>
      <c r="I198" s="12">
        <f ca="1">IF($A198&lt;$B$5,0,IF($A198&gt;$B$6,0,Fwd_curves!P228))</f>
        <v>0</v>
      </c>
      <c r="J198">
        <f ca="1">IF($A198&lt;$B$5,0,IF($A198&gt;$B$6,0,Fwd_curves!Q228))</f>
        <v>0</v>
      </c>
      <c r="K198">
        <f t="shared" ca="1" si="23"/>
        <v>0</v>
      </c>
      <c r="L198" s="15">
        <f ca="1">external_curves!AB158</f>
        <v>23</v>
      </c>
      <c r="M198" s="15">
        <f ca="1">external_curves!AA158</f>
        <v>8</v>
      </c>
      <c r="N198" s="71">
        <f t="shared" ca="1" si="24"/>
        <v>0</v>
      </c>
      <c r="O198" s="71">
        <f t="shared" ca="1" si="25"/>
        <v>0</v>
      </c>
      <c r="P198" s="71">
        <f t="shared" ca="1" si="26"/>
        <v>0</v>
      </c>
      <c r="Q198" s="71">
        <f t="shared" ca="1" si="27"/>
        <v>0</v>
      </c>
      <c r="R198">
        <f t="shared" ca="1" si="28"/>
        <v>0</v>
      </c>
      <c r="T198">
        <f t="shared" ca="1" si="29"/>
        <v>0</v>
      </c>
      <c r="U198">
        <f t="shared" ca="1" si="30"/>
        <v>0</v>
      </c>
      <c r="V198">
        <f t="shared" ca="1" si="31"/>
        <v>0</v>
      </c>
      <c r="W198">
        <f t="shared" ca="1" si="32"/>
        <v>0</v>
      </c>
      <c r="X198">
        <f t="shared" ca="1" si="33"/>
        <v>0</v>
      </c>
    </row>
    <row r="199" spans="1:24" x14ac:dyDescent="0.2">
      <c r="A199" s="26">
        <f ca="1">Fwd_curves!A229</f>
        <v>41000</v>
      </c>
      <c r="B199">
        <f ca="1">IF($A199&lt;$B$5,0,IF($A199&gt;$B$6,0,Fwd_curves!H229))</f>
        <v>0</v>
      </c>
      <c r="C199">
        <f ca="1">IF($A199&lt;$B$5,0,IF($A199&gt;$B$6,0,Fwd_curves!J229))</f>
        <v>0</v>
      </c>
      <c r="D199">
        <f ca="1">IF($A199&lt;$B$5,0,IF($A199&gt;$B$6,0,Fwd_curves!K229))</f>
        <v>0</v>
      </c>
      <c r="E199">
        <f ca="1">IF($A199&lt;$B$5,0,IF($A199&gt;$B$6,0,Fwd_curves!L229))</f>
        <v>0</v>
      </c>
      <c r="F199">
        <f ca="1">IF($A199&lt;$B$5,0,IF($A199&gt;$B$6,0,Fwd_curves!M229))</f>
        <v>0</v>
      </c>
      <c r="G199">
        <f ca="1">IF($A199&lt;$B$5,0,IF($A199&gt;$B$6,0,Fwd_curves!N229))</f>
        <v>0</v>
      </c>
      <c r="H199" s="12">
        <f ca="1">IF($A199&lt;$B$5,0,IF($A199&gt;$B$6,0,Fwd_curves!O229))</f>
        <v>0</v>
      </c>
      <c r="I199" s="12">
        <f ca="1">IF($A199&lt;$B$5,0,IF($A199&gt;$B$6,0,Fwd_curves!P229))</f>
        <v>0</v>
      </c>
      <c r="J199">
        <f ca="1">IF($A199&lt;$B$5,0,IF($A199&gt;$B$6,0,Fwd_curves!Q229))</f>
        <v>0</v>
      </c>
      <c r="K199">
        <f t="shared" ca="1" si="23"/>
        <v>0</v>
      </c>
      <c r="L199" s="15">
        <f ca="1">external_curves!AB159</f>
        <v>21</v>
      </c>
      <c r="M199" s="15">
        <f ca="1">external_curves!AA159</f>
        <v>9</v>
      </c>
      <c r="N199" s="71">
        <f t="shared" ca="1" si="24"/>
        <v>0</v>
      </c>
      <c r="O199" s="71">
        <f t="shared" ca="1" si="25"/>
        <v>0</v>
      </c>
      <c r="P199" s="71">
        <f t="shared" ca="1" si="26"/>
        <v>0</v>
      </c>
      <c r="Q199" s="71">
        <f t="shared" ca="1" si="27"/>
        <v>0</v>
      </c>
      <c r="R199">
        <f t="shared" ca="1" si="28"/>
        <v>0</v>
      </c>
      <c r="T199">
        <f t="shared" ca="1" si="29"/>
        <v>0</v>
      </c>
      <c r="U199">
        <f t="shared" ca="1" si="30"/>
        <v>0</v>
      </c>
      <c r="V199">
        <f t="shared" ca="1" si="31"/>
        <v>0</v>
      </c>
      <c r="W199">
        <f t="shared" ca="1" si="32"/>
        <v>0</v>
      </c>
      <c r="X199">
        <f t="shared" ca="1" si="33"/>
        <v>0</v>
      </c>
    </row>
    <row r="200" spans="1:24" x14ac:dyDescent="0.2">
      <c r="A200" s="26">
        <f ca="1">Fwd_curves!A230</f>
        <v>41030</v>
      </c>
      <c r="B200">
        <f ca="1">IF($A200&lt;$B$5,0,IF($A200&gt;$B$6,0,Fwd_curves!H230))</f>
        <v>0</v>
      </c>
      <c r="C200">
        <f ca="1">IF($A200&lt;$B$5,0,IF($A200&gt;$B$6,0,Fwd_curves!J230))</f>
        <v>0</v>
      </c>
      <c r="D200">
        <f ca="1">IF($A200&lt;$B$5,0,IF($A200&gt;$B$6,0,Fwd_curves!K230))</f>
        <v>0</v>
      </c>
      <c r="E200">
        <f ca="1">IF($A200&lt;$B$5,0,IF($A200&gt;$B$6,0,Fwd_curves!L230))</f>
        <v>0</v>
      </c>
      <c r="F200">
        <f ca="1">IF($A200&lt;$B$5,0,IF($A200&gt;$B$6,0,Fwd_curves!M230))</f>
        <v>0</v>
      </c>
      <c r="G200">
        <f ca="1">IF($A200&lt;$B$5,0,IF($A200&gt;$B$6,0,Fwd_curves!N230))</f>
        <v>0</v>
      </c>
      <c r="H200" s="12">
        <f ca="1">IF($A200&lt;$B$5,0,IF($A200&gt;$B$6,0,Fwd_curves!O230))</f>
        <v>0</v>
      </c>
      <c r="I200" s="12">
        <f ca="1">IF($A200&lt;$B$5,0,IF($A200&gt;$B$6,0,Fwd_curves!P230))</f>
        <v>0</v>
      </c>
      <c r="J200">
        <f ca="1">IF($A200&lt;$B$5,0,IF($A200&gt;$B$6,0,Fwd_curves!Q230))</f>
        <v>0</v>
      </c>
      <c r="K200">
        <f t="shared" ca="1" si="23"/>
        <v>0</v>
      </c>
      <c r="L200" s="15">
        <f ca="1">external_curves!AB160</f>
        <v>22</v>
      </c>
      <c r="M200" s="15">
        <f ca="1">external_curves!AA160</f>
        <v>9</v>
      </c>
      <c r="N200" s="71">
        <f t="shared" ca="1" si="24"/>
        <v>0</v>
      </c>
      <c r="O200" s="71">
        <f t="shared" ca="1" si="25"/>
        <v>0</v>
      </c>
      <c r="P200" s="71">
        <f t="shared" ca="1" si="26"/>
        <v>0</v>
      </c>
      <c r="Q200" s="71">
        <f t="shared" ca="1" si="27"/>
        <v>0</v>
      </c>
      <c r="R200">
        <f t="shared" ca="1" si="28"/>
        <v>0</v>
      </c>
      <c r="T200">
        <f t="shared" ca="1" si="29"/>
        <v>0</v>
      </c>
      <c r="U200">
        <f t="shared" ca="1" si="30"/>
        <v>0</v>
      </c>
      <c r="V200">
        <f t="shared" ca="1" si="31"/>
        <v>0</v>
      </c>
      <c r="W200">
        <f t="shared" ca="1" si="32"/>
        <v>0</v>
      </c>
      <c r="X200">
        <f t="shared" ca="1" si="33"/>
        <v>0</v>
      </c>
    </row>
    <row r="201" spans="1:24" x14ac:dyDescent="0.2">
      <c r="A201" s="26">
        <f ca="1">Fwd_curves!A231</f>
        <v>41061</v>
      </c>
      <c r="B201">
        <f ca="1">IF($A201&lt;$B$5,0,IF($A201&gt;$B$6,0,Fwd_curves!H231))</f>
        <v>0</v>
      </c>
      <c r="C201">
        <f ca="1">IF($A201&lt;$B$5,0,IF($A201&gt;$B$6,0,Fwd_curves!J231))</f>
        <v>0</v>
      </c>
      <c r="D201">
        <f ca="1">IF($A201&lt;$B$5,0,IF($A201&gt;$B$6,0,Fwd_curves!K231))</f>
        <v>0</v>
      </c>
      <c r="E201">
        <f ca="1">IF($A201&lt;$B$5,0,IF($A201&gt;$B$6,0,Fwd_curves!L231))</f>
        <v>0</v>
      </c>
      <c r="F201">
        <f ca="1">IF($A201&lt;$B$5,0,IF($A201&gt;$B$6,0,Fwd_curves!M231))</f>
        <v>0</v>
      </c>
      <c r="G201">
        <f ca="1">IF($A201&lt;$B$5,0,IF($A201&gt;$B$6,0,Fwd_curves!N231))</f>
        <v>0</v>
      </c>
      <c r="H201" s="12">
        <f ca="1">IF($A201&lt;$B$5,0,IF($A201&gt;$B$6,0,Fwd_curves!O231))</f>
        <v>0</v>
      </c>
      <c r="I201" s="12">
        <f ca="1">IF($A201&lt;$B$5,0,IF($A201&gt;$B$6,0,Fwd_curves!P231))</f>
        <v>0</v>
      </c>
      <c r="J201">
        <f ca="1">IF($A201&lt;$B$5,0,IF($A201&gt;$B$6,0,Fwd_curves!Q231))</f>
        <v>0</v>
      </c>
      <c r="K201">
        <f t="shared" ca="1" si="23"/>
        <v>0</v>
      </c>
      <c r="L201" s="15">
        <f ca="1">external_curves!AB161</f>
        <v>22</v>
      </c>
      <c r="M201" s="15">
        <f ca="1">external_curves!AA161</f>
        <v>8</v>
      </c>
      <c r="N201" s="71">
        <f t="shared" ca="1" si="24"/>
        <v>0</v>
      </c>
      <c r="O201" s="71">
        <f t="shared" ca="1" si="25"/>
        <v>0</v>
      </c>
      <c r="P201" s="71">
        <f t="shared" ca="1" si="26"/>
        <v>0</v>
      </c>
      <c r="Q201" s="71">
        <f t="shared" ca="1" si="27"/>
        <v>0</v>
      </c>
      <c r="R201">
        <f t="shared" ca="1" si="28"/>
        <v>0</v>
      </c>
      <c r="T201">
        <f t="shared" ca="1" si="29"/>
        <v>0</v>
      </c>
      <c r="U201">
        <f t="shared" ca="1" si="30"/>
        <v>0</v>
      </c>
      <c r="V201">
        <f t="shared" ca="1" si="31"/>
        <v>0</v>
      </c>
      <c r="W201">
        <f t="shared" ca="1" si="32"/>
        <v>0</v>
      </c>
      <c r="X201">
        <f t="shared" ca="1" si="33"/>
        <v>0</v>
      </c>
    </row>
    <row r="202" spans="1:24" x14ac:dyDescent="0.2">
      <c r="A202" s="26">
        <f ca="1">Fwd_curves!A232</f>
        <v>41091</v>
      </c>
      <c r="B202">
        <f ca="1">IF($A202&lt;$B$5,0,IF($A202&gt;$B$6,0,Fwd_curves!H232))</f>
        <v>0</v>
      </c>
      <c r="C202">
        <f ca="1">IF($A202&lt;$B$5,0,IF($A202&gt;$B$6,0,Fwd_curves!J232))</f>
        <v>0</v>
      </c>
      <c r="D202">
        <f ca="1">IF($A202&lt;$B$5,0,IF($A202&gt;$B$6,0,Fwd_curves!K232))</f>
        <v>0</v>
      </c>
      <c r="E202">
        <f ca="1">IF($A202&lt;$B$5,0,IF($A202&gt;$B$6,0,Fwd_curves!L232))</f>
        <v>0</v>
      </c>
      <c r="F202">
        <f ca="1">IF($A202&lt;$B$5,0,IF($A202&gt;$B$6,0,Fwd_curves!M232))</f>
        <v>0</v>
      </c>
      <c r="G202">
        <f ca="1">IF($A202&lt;$B$5,0,IF($A202&gt;$B$6,0,Fwd_curves!N232))</f>
        <v>0</v>
      </c>
      <c r="H202" s="12">
        <f ca="1">IF($A202&lt;$B$5,0,IF($A202&gt;$B$6,0,Fwd_curves!O232))</f>
        <v>0</v>
      </c>
      <c r="I202" s="12">
        <f ca="1">IF($A202&lt;$B$5,0,IF($A202&gt;$B$6,0,Fwd_curves!P232))</f>
        <v>0</v>
      </c>
      <c r="J202">
        <f ca="1">IF($A202&lt;$B$5,0,IF($A202&gt;$B$6,0,Fwd_curves!Q232))</f>
        <v>0</v>
      </c>
      <c r="K202">
        <f t="shared" ca="1" si="23"/>
        <v>0</v>
      </c>
      <c r="L202" s="15">
        <f ca="1">external_curves!AB162</f>
        <v>21</v>
      </c>
      <c r="M202" s="15">
        <f ca="1">external_curves!AA162</f>
        <v>10</v>
      </c>
      <c r="N202" s="71">
        <f t="shared" ca="1" si="24"/>
        <v>0</v>
      </c>
      <c r="O202" s="71">
        <f t="shared" ca="1" si="25"/>
        <v>0</v>
      </c>
      <c r="P202" s="71">
        <f t="shared" ca="1" si="26"/>
        <v>0</v>
      </c>
      <c r="Q202" s="71">
        <f t="shared" ca="1" si="27"/>
        <v>0</v>
      </c>
      <c r="R202">
        <f t="shared" ca="1" si="28"/>
        <v>0</v>
      </c>
      <c r="T202">
        <f t="shared" ca="1" si="29"/>
        <v>0</v>
      </c>
      <c r="U202">
        <f t="shared" ca="1" si="30"/>
        <v>0</v>
      </c>
      <c r="V202">
        <f t="shared" ca="1" si="31"/>
        <v>0</v>
      </c>
      <c r="W202">
        <f t="shared" ca="1" si="32"/>
        <v>0</v>
      </c>
      <c r="X202">
        <f t="shared" ca="1" si="33"/>
        <v>0</v>
      </c>
    </row>
    <row r="203" spans="1:24" x14ac:dyDescent="0.2">
      <c r="A203" s="26">
        <f ca="1">Fwd_curves!A233</f>
        <v>41122</v>
      </c>
      <c r="B203">
        <f ca="1">IF($A203&lt;$B$5,0,IF($A203&gt;$B$6,0,Fwd_curves!H233))</f>
        <v>0</v>
      </c>
      <c r="C203">
        <f ca="1">IF($A203&lt;$B$5,0,IF($A203&gt;$B$6,0,Fwd_curves!J233))</f>
        <v>0</v>
      </c>
      <c r="D203">
        <f ca="1">IF($A203&lt;$B$5,0,IF($A203&gt;$B$6,0,Fwd_curves!K233))</f>
        <v>0</v>
      </c>
      <c r="E203">
        <f ca="1">IF($A203&lt;$B$5,0,IF($A203&gt;$B$6,0,Fwd_curves!L233))</f>
        <v>0</v>
      </c>
      <c r="F203">
        <f ca="1">IF($A203&lt;$B$5,0,IF($A203&gt;$B$6,0,Fwd_curves!M233))</f>
        <v>0</v>
      </c>
      <c r="G203">
        <f ca="1">IF($A203&lt;$B$5,0,IF($A203&gt;$B$6,0,Fwd_curves!N233))</f>
        <v>0</v>
      </c>
      <c r="H203" s="12">
        <f ca="1">IF($A203&lt;$B$5,0,IF($A203&gt;$B$6,0,Fwd_curves!O233))</f>
        <v>0</v>
      </c>
      <c r="I203" s="12">
        <f ca="1">IF($A203&lt;$B$5,0,IF($A203&gt;$B$6,0,Fwd_curves!P233))</f>
        <v>0</v>
      </c>
      <c r="J203">
        <f ca="1">IF($A203&lt;$B$5,0,IF($A203&gt;$B$6,0,Fwd_curves!Q233))</f>
        <v>0</v>
      </c>
      <c r="K203">
        <f t="shared" ca="1" si="23"/>
        <v>0</v>
      </c>
      <c r="L203" s="15">
        <f ca="1">external_curves!AB163</f>
        <v>23</v>
      </c>
      <c r="M203" s="15">
        <f ca="1">external_curves!AA163</f>
        <v>8</v>
      </c>
      <c r="N203" s="71">
        <f t="shared" ca="1" si="24"/>
        <v>0</v>
      </c>
      <c r="O203" s="71">
        <f t="shared" ca="1" si="25"/>
        <v>0</v>
      </c>
      <c r="P203" s="71">
        <f t="shared" ca="1" si="26"/>
        <v>0</v>
      </c>
      <c r="Q203" s="71">
        <f t="shared" ca="1" si="27"/>
        <v>0</v>
      </c>
      <c r="R203">
        <f t="shared" ca="1" si="28"/>
        <v>0</v>
      </c>
      <c r="T203">
        <f t="shared" ca="1" si="29"/>
        <v>0</v>
      </c>
      <c r="U203">
        <f t="shared" ca="1" si="30"/>
        <v>0</v>
      </c>
      <c r="V203">
        <f t="shared" ca="1" si="31"/>
        <v>0</v>
      </c>
      <c r="W203">
        <f t="shared" ca="1" si="32"/>
        <v>0</v>
      </c>
      <c r="X203">
        <f t="shared" ca="1" si="33"/>
        <v>0</v>
      </c>
    </row>
    <row r="204" spans="1:24" x14ac:dyDescent="0.2">
      <c r="A204" s="26">
        <f ca="1">Fwd_curves!A234</f>
        <v>41153</v>
      </c>
      <c r="B204">
        <f ca="1">IF($A204&lt;$B$5,0,IF($A204&gt;$B$6,0,Fwd_curves!H234))</f>
        <v>0</v>
      </c>
      <c r="C204">
        <f ca="1">IF($A204&lt;$B$5,0,IF($A204&gt;$B$6,0,Fwd_curves!J234))</f>
        <v>0</v>
      </c>
      <c r="D204">
        <f ca="1">IF($A204&lt;$B$5,0,IF($A204&gt;$B$6,0,Fwd_curves!K234))</f>
        <v>0</v>
      </c>
      <c r="E204">
        <f ca="1">IF($A204&lt;$B$5,0,IF($A204&gt;$B$6,0,Fwd_curves!L234))</f>
        <v>0</v>
      </c>
      <c r="F204">
        <f ca="1">IF($A204&lt;$B$5,0,IF($A204&gt;$B$6,0,Fwd_curves!M234))</f>
        <v>0</v>
      </c>
      <c r="G204">
        <f ca="1">IF($A204&lt;$B$5,0,IF($A204&gt;$B$6,0,Fwd_curves!N234))</f>
        <v>0</v>
      </c>
      <c r="H204" s="12">
        <f ca="1">IF($A204&lt;$B$5,0,IF($A204&gt;$B$6,0,Fwd_curves!O234))</f>
        <v>0</v>
      </c>
      <c r="I204" s="12">
        <f ca="1">IF($A204&lt;$B$5,0,IF($A204&gt;$B$6,0,Fwd_curves!P234))</f>
        <v>0</v>
      </c>
      <c r="J204">
        <f ca="1">IF($A204&lt;$B$5,0,IF($A204&gt;$B$6,0,Fwd_curves!Q234))</f>
        <v>0</v>
      </c>
      <c r="K204">
        <f t="shared" ca="1" si="23"/>
        <v>0</v>
      </c>
      <c r="L204" s="15">
        <f ca="1">external_curves!AB164</f>
        <v>22</v>
      </c>
      <c r="M204" s="15">
        <f ca="1">external_curves!AA164</f>
        <v>8</v>
      </c>
      <c r="N204" s="71">
        <f t="shared" ca="1" si="24"/>
        <v>0</v>
      </c>
      <c r="O204" s="71">
        <f t="shared" ca="1" si="25"/>
        <v>0</v>
      </c>
      <c r="P204" s="71">
        <f t="shared" ca="1" si="26"/>
        <v>0</v>
      </c>
      <c r="Q204" s="71">
        <f t="shared" ca="1" si="27"/>
        <v>0</v>
      </c>
      <c r="R204">
        <f t="shared" ca="1" si="28"/>
        <v>0</v>
      </c>
      <c r="T204">
        <f t="shared" ca="1" si="29"/>
        <v>0</v>
      </c>
      <c r="U204">
        <f t="shared" ca="1" si="30"/>
        <v>0</v>
      </c>
      <c r="V204">
        <f t="shared" ca="1" si="31"/>
        <v>0</v>
      </c>
      <c r="W204">
        <f t="shared" ca="1" si="32"/>
        <v>0</v>
      </c>
      <c r="X204">
        <f t="shared" ca="1" si="33"/>
        <v>0</v>
      </c>
    </row>
    <row r="205" spans="1:24" x14ac:dyDescent="0.2">
      <c r="A205" s="26">
        <f ca="1">Fwd_curves!A235</f>
        <v>41183</v>
      </c>
      <c r="B205">
        <f ca="1">IF($A205&lt;$B$5,0,IF($A205&gt;$B$6,0,Fwd_curves!H235))</f>
        <v>0</v>
      </c>
      <c r="C205">
        <f ca="1">IF($A205&lt;$B$5,0,IF($A205&gt;$B$6,0,Fwd_curves!J235))</f>
        <v>0</v>
      </c>
      <c r="D205">
        <f ca="1">IF($A205&lt;$B$5,0,IF($A205&gt;$B$6,0,Fwd_curves!K235))</f>
        <v>0</v>
      </c>
      <c r="E205">
        <f ca="1">IF($A205&lt;$B$5,0,IF($A205&gt;$B$6,0,Fwd_curves!L235))</f>
        <v>0</v>
      </c>
      <c r="F205">
        <f ca="1">IF($A205&lt;$B$5,0,IF($A205&gt;$B$6,0,Fwd_curves!M235))</f>
        <v>0</v>
      </c>
      <c r="G205">
        <f ca="1">IF($A205&lt;$B$5,0,IF($A205&gt;$B$6,0,Fwd_curves!N235))</f>
        <v>0</v>
      </c>
      <c r="H205" s="12">
        <f ca="1">IF($A205&lt;$B$5,0,IF($A205&gt;$B$6,0,Fwd_curves!O235))</f>
        <v>0</v>
      </c>
      <c r="I205" s="12">
        <f ca="1">IF($A205&lt;$B$5,0,IF($A205&gt;$B$6,0,Fwd_curves!P235))</f>
        <v>0</v>
      </c>
      <c r="J205">
        <f ca="1">IF($A205&lt;$B$5,0,IF($A205&gt;$B$6,0,Fwd_curves!Q235))</f>
        <v>0</v>
      </c>
      <c r="K205">
        <f t="shared" ca="1" si="23"/>
        <v>0</v>
      </c>
      <c r="L205" s="15">
        <f ca="1">external_curves!AB165</f>
        <v>21</v>
      </c>
      <c r="M205" s="15">
        <f ca="1">external_curves!AA165</f>
        <v>10</v>
      </c>
      <c r="N205" s="71">
        <f t="shared" ca="1" si="24"/>
        <v>0</v>
      </c>
      <c r="O205" s="71">
        <f t="shared" ca="1" si="25"/>
        <v>0</v>
      </c>
      <c r="P205" s="71">
        <f t="shared" ca="1" si="26"/>
        <v>0</v>
      </c>
      <c r="Q205" s="71">
        <f t="shared" ca="1" si="27"/>
        <v>0</v>
      </c>
      <c r="R205">
        <f t="shared" ca="1" si="28"/>
        <v>0</v>
      </c>
      <c r="T205">
        <f t="shared" ca="1" si="29"/>
        <v>0</v>
      </c>
      <c r="U205">
        <f t="shared" ca="1" si="30"/>
        <v>0</v>
      </c>
      <c r="V205">
        <f t="shared" ca="1" si="31"/>
        <v>0</v>
      </c>
      <c r="W205">
        <f t="shared" ca="1" si="32"/>
        <v>0</v>
      </c>
      <c r="X205">
        <f t="shared" ca="1" si="33"/>
        <v>0</v>
      </c>
    </row>
    <row r="206" spans="1:24" x14ac:dyDescent="0.2">
      <c r="A206" s="26">
        <f ca="1">Fwd_curves!A236</f>
        <v>41214</v>
      </c>
      <c r="B206">
        <f ca="1">IF($A206&lt;$B$5,0,IF($A206&gt;$B$6,0,Fwd_curves!H236))</f>
        <v>0</v>
      </c>
      <c r="C206">
        <f ca="1">IF($A206&lt;$B$5,0,IF($A206&gt;$B$6,0,Fwd_curves!J236))</f>
        <v>0</v>
      </c>
      <c r="D206">
        <f ca="1">IF($A206&lt;$B$5,0,IF($A206&gt;$B$6,0,Fwd_curves!K236))</f>
        <v>0</v>
      </c>
      <c r="E206">
        <f ca="1">IF($A206&lt;$B$5,0,IF($A206&gt;$B$6,0,Fwd_curves!L236))</f>
        <v>0</v>
      </c>
      <c r="F206">
        <f ca="1">IF($A206&lt;$B$5,0,IF($A206&gt;$B$6,0,Fwd_curves!M236))</f>
        <v>0</v>
      </c>
      <c r="G206">
        <f ca="1">IF($A206&lt;$B$5,0,IF($A206&gt;$B$6,0,Fwd_curves!N236))</f>
        <v>0</v>
      </c>
      <c r="H206" s="12">
        <f ca="1">IF($A206&lt;$B$5,0,IF($A206&gt;$B$6,0,Fwd_curves!O236))</f>
        <v>0</v>
      </c>
      <c r="I206" s="12">
        <f ca="1">IF($A206&lt;$B$5,0,IF($A206&gt;$B$6,0,Fwd_curves!P236))</f>
        <v>0</v>
      </c>
      <c r="J206">
        <f ca="1">IF($A206&lt;$B$5,0,IF($A206&gt;$B$6,0,Fwd_curves!Q236))</f>
        <v>0</v>
      </c>
      <c r="K206">
        <f t="shared" ca="1" si="23"/>
        <v>0</v>
      </c>
      <c r="L206" s="15">
        <f ca="1">external_curves!AB166</f>
        <v>22</v>
      </c>
      <c r="M206" s="15">
        <f ca="1">external_curves!AA166</f>
        <v>8</v>
      </c>
      <c r="N206" s="71">
        <f t="shared" ca="1" si="24"/>
        <v>0</v>
      </c>
      <c r="O206" s="71">
        <f t="shared" ca="1" si="25"/>
        <v>0</v>
      </c>
      <c r="P206" s="71">
        <f t="shared" ca="1" si="26"/>
        <v>0</v>
      </c>
      <c r="Q206" s="71">
        <f t="shared" ca="1" si="27"/>
        <v>0</v>
      </c>
      <c r="R206">
        <f t="shared" ca="1" si="28"/>
        <v>0</v>
      </c>
      <c r="T206">
        <f t="shared" ca="1" si="29"/>
        <v>0</v>
      </c>
      <c r="U206">
        <f t="shared" ca="1" si="30"/>
        <v>0</v>
      </c>
      <c r="V206">
        <f t="shared" ca="1" si="31"/>
        <v>0</v>
      </c>
      <c r="W206">
        <f t="shared" ca="1" si="32"/>
        <v>0</v>
      </c>
      <c r="X206">
        <f t="shared" ca="1" si="33"/>
        <v>0</v>
      </c>
    </row>
    <row r="207" spans="1:24" x14ac:dyDescent="0.2">
      <c r="A207" s="26">
        <f ca="1">Fwd_curves!A237</f>
        <v>41244</v>
      </c>
      <c r="B207">
        <f ca="1">IF($A207&lt;$B$5,0,IF($A207&gt;$B$6,0,Fwd_curves!H237))</f>
        <v>0</v>
      </c>
      <c r="C207">
        <f ca="1">IF($A207&lt;$B$5,0,IF($A207&gt;$B$6,0,Fwd_curves!J237))</f>
        <v>0</v>
      </c>
      <c r="D207">
        <f ca="1">IF($A207&lt;$B$5,0,IF($A207&gt;$B$6,0,Fwd_curves!K237))</f>
        <v>0</v>
      </c>
      <c r="E207">
        <f ca="1">IF($A207&lt;$B$5,0,IF($A207&gt;$B$6,0,Fwd_curves!L237))</f>
        <v>0</v>
      </c>
      <c r="F207">
        <f ca="1">IF($A207&lt;$B$5,0,IF($A207&gt;$B$6,0,Fwd_curves!M237))</f>
        <v>0</v>
      </c>
      <c r="G207">
        <f ca="1">IF($A207&lt;$B$5,0,IF($A207&gt;$B$6,0,Fwd_curves!N237))</f>
        <v>0</v>
      </c>
      <c r="H207" s="12">
        <f ca="1">IF($A207&lt;$B$5,0,IF($A207&gt;$B$6,0,Fwd_curves!O237))</f>
        <v>0</v>
      </c>
      <c r="I207" s="12">
        <f ca="1">IF($A207&lt;$B$5,0,IF($A207&gt;$B$6,0,Fwd_curves!P237))</f>
        <v>0</v>
      </c>
      <c r="J207">
        <f ca="1">IF($A207&lt;$B$5,0,IF($A207&gt;$B$6,0,Fwd_curves!Q237))</f>
        <v>0</v>
      </c>
      <c r="K207">
        <f t="shared" ca="1" si="23"/>
        <v>0</v>
      </c>
      <c r="L207" s="15">
        <f ca="1">external_curves!AB167</f>
        <v>22</v>
      </c>
      <c r="M207" s="15">
        <f ca="1">external_curves!AA167</f>
        <v>9</v>
      </c>
      <c r="N207" s="71">
        <f t="shared" ca="1" si="24"/>
        <v>0</v>
      </c>
      <c r="O207" s="71">
        <f t="shared" ca="1" si="25"/>
        <v>0</v>
      </c>
      <c r="P207" s="71">
        <f t="shared" ca="1" si="26"/>
        <v>0</v>
      </c>
      <c r="Q207" s="71">
        <f t="shared" ca="1" si="27"/>
        <v>0</v>
      </c>
      <c r="R207">
        <f t="shared" ca="1" si="28"/>
        <v>0</v>
      </c>
      <c r="T207">
        <f t="shared" ca="1" si="29"/>
        <v>0</v>
      </c>
      <c r="U207">
        <f t="shared" ca="1" si="30"/>
        <v>0</v>
      </c>
      <c r="V207">
        <f t="shared" ca="1" si="31"/>
        <v>0</v>
      </c>
      <c r="W207">
        <f t="shared" ca="1" si="32"/>
        <v>0</v>
      </c>
      <c r="X207">
        <f t="shared" ca="1" si="33"/>
        <v>0</v>
      </c>
    </row>
    <row r="208" spans="1:24" x14ac:dyDescent="0.2">
      <c r="A208" s="26">
        <f ca="1">Fwd_curves!A238</f>
        <v>41275</v>
      </c>
      <c r="B208">
        <f ca="1">IF($A208&lt;$B$5,0,IF($A208&gt;$B$6,0,Fwd_curves!H238))</f>
        <v>0</v>
      </c>
      <c r="C208">
        <f ca="1">IF($A208&lt;$B$5,0,IF($A208&gt;$B$6,0,Fwd_curves!J238))</f>
        <v>0</v>
      </c>
      <c r="D208">
        <f ca="1">IF($A208&lt;$B$5,0,IF($A208&gt;$B$6,0,Fwd_curves!K238))</f>
        <v>0</v>
      </c>
      <c r="E208">
        <f ca="1">IF($A208&lt;$B$5,0,IF($A208&gt;$B$6,0,Fwd_curves!L238))</f>
        <v>0</v>
      </c>
      <c r="F208">
        <f ca="1">IF($A208&lt;$B$5,0,IF($A208&gt;$B$6,0,Fwd_curves!M238))</f>
        <v>0</v>
      </c>
      <c r="G208">
        <f ca="1">IF($A208&lt;$B$5,0,IF($A208&gt;$B$6,0,Fwd_curves!N238))</f>
        <v>0</v>
      </c>
      <c r="H208" s="12">
        <f ca="1">IF($A208&lt;$B$5,0,IF($A208&gt;$B$6,0,Fwd_curves!O252))</f>
        <v>0</v>
      </c>
      <c r="I208" s="12">
        <f ca="1">IF($A208&lt;$B$5,0,IF($A208&gt;$B$6,0,Fwd_curves!P252))</f>
        <v>0</v>
      </c>
    </row>
    <row r="209" spans="1:9" x14ac:dyDescent="0.2">
      <c r="A209" s="26">
        <f ca="1">Fwd_curves!A239</f>
        <v>41306</v>
      </c>
      <c r="B209">
        <f ca="1">IF($A209&lt;$B$5,0,IF($A209&gt;$B$6,0,Fwd_curves!H239))</f>
        <v>0</v>
      </c>
      <c r="C209">
        <f ca="1">IF($A209&lt;$B$5,0,IF($A209&gt;$B$6,0,Fwd_curves!J239))</f>
        <v>0</v>
      </c>
      <c r="D209">
        <f ca="1">IF($A209&lt;$B$5,0,IF($A209&gt;$B$6,0,Fwd_curves!K239))</f>
        <v>0</v>
      </c>
      <c r="E209">
        <f ca="1">IF($A209&lt;$B$5,0,IF($A209&gt;$B$6,0,Fwd_curves!L239))</f>
        <v>0</v>
      </c>
      <c r="F209">
        <f ca="1">IF($A209&lt;$B$5,0,IF($A209&gt;$B$6,0,Fwd_curves!M239))</f>
        <v>0</v>
      </c>
      <c r="G209">
        <f ca="1">IF($A209&lt;$B$5,0,IF($A209&gt;$B$6,0,Fwd_curves!N239))</f>
        <v>0</v>
      </c>
      <c r="H209" s="12">
        <f ca="1">IF($A209&lt;$B$5,0,IF($A209&gt;$B$6,0,Fwd_curves!O253))</f>
        <v>0</v>
      </c>
      <c r="I209" s="12">
        <f ca="1">IF($A209&lt;$B$5,0,IF($A209&gt;$B$6,0,Fwd_curves!P253))</f>
        <v>0</v>
      </c>
    </row>
    <row r="210" spans="1:9" x14ac:dyDescent="0.2">
      <c r="A210" s="26">
        <f ca="1">Fwd_curves!A240</f>
        <v>41334</v>
      </c>
      <c r="B210">
        <f ca="1">IF($A210&lt;$B$5,0,IF($A210&gt;$B$6,0,Fwd_curves!H240))</f>
        <v>0</v>
      </c>
      <c r="C210">
        <f ca="1">IF($A210&lt;$B$5,0,IF($A210&gt;$B$6,0,Fwd_curves!J240))</f>
        <v>0</v>
      </c>
      <c r="D210">
        <f ca="1">IF($A210&lt;$B$5,0,IF($A210&gt;$B$6,0,Fwd_curves!K240))</f>
        <v>0</v>
      </c>
      <c r="E210">
        <f ca="1">IF($A210&lt;$B$5,0,IF($A210&gt;$B$6,0,Fwd_curves!L240))</f>
        <v>0</v>
      </c>
      <c r="F210">
        <f ca="1">IF($A210&lt;$B$5,0,IF($A210&gt;$B$6,0,Fwd_curves!M240))</f>
        <v>0</v>
      </c>
      <c r="G210">
        <f ca="1">IF($A210&lt;$B$5,0,IF($A210&gt;$B$6,0,Fwd_curves!N240))</f>
        <v>0</v>
      </c>
      <c r="H210" s="12">
        <f ca="1">IF($A210&lt;$B$5,0,IF($A210&gt;$B$6,0,Fwd_curves!O254))</f>
        <v>0</v>
      </c>
      <c r="I210" s="12">
        <f ca="1">IF($A210&lt;$B$5,0,IF($A210&gt;$B$6,0,Fwd_curves!P254))</f>
        <v>0</v>
      </c>
    </row>
    <row r="211" spans="1:9" x14ac:dyDescent="0.2">
      <c r="A211" s="26">
        <f ca="1">Fwd_curves!A241</f>
        <v>41365</v>
      </c>
      <c r="B211">
        <f ca="1">IF($A211&lt;$B$5,0,IF($A211&gt;$B$6,0,Fwd_curves!H241))</f>
        <v>0</v>
      </c>
      <c r="C211">
        <f ca="1">IF($A211&lt;$B$5,0,IF($A211&gt;$B$6,0,Fwd_curves!J241))</f>
        <v>0</v>
      </c>
      <c r="D211">
        <f ca="1">IF($A211&lt;$B$5,0,IF($A211&gt;$B$6,0,Fwd_curves!K241))</f>
        <v>0</v>
      </c>
      <c r="E211">
        <f ca="1">IF($A211&lt;$B$5,0,IF($A211&gt;$B$6,0,Fwd_curves!L241))</f>
        <v>0</v>
      </c>
      <c r="F211">
        <f ca="1">IF($A211&lt;$B$5,0,IF($A211&gt;$B$6,0,Fwd_curves!M241))</f>
        <v>0</v>
      </c>
      <c r="G211">
        <f ca="1">IF($A211&lt;$B$5,0,IF($A211&gt;$B$6,0,Fwd_curves!N241))</f>
        <v>0</v>
      </c>
      <c r="H211" s="12">
        <f ca="1">IF($A211&lt;$B$5,0,IF($A211&gt;$B$6,0,Fwd_curves!O255))</f>
        <v>0</v>
      </c>
      <c r="I211" s="12">
        <f ca="1">IF($A211&lt;$B$5,0,IF($A211&gt;$B$6,0,Fwd_curves!P255))</f>
        <v>0</v>
      </c>
    </row>
    <row r="212" spans="1:9" x14ac:dyDescent="0.2">
      <c r="A212" s="26">
        <f ca="1">Fwd_curves!A242</f>
        <v>41395</v>
      </c>
      <c r="B212">
        <f ca="1">IF($A212&lt;$B$5,0,IF($A212&gt;$B$6,0,Fwd_curves!H242))</f>
        <v>0</v>
      </c>
      <c r="C212">
        <f ca="1">IF($A212&lt;$B$5,0,IF($A212&gt;$B$6,0,Fwd_curves!J242))</f>
        <v>0</v>
      </c>
      <c r="D212">
        <f ca="1">IF($A212&lt;$B$5,0,IF($A212&gt;$B$6,0,Fwd_curves!K242))</f>
        <v>0</v>
      </c>
      <c r="E212">
        <f ca="1">IF($A212&lt;$B$5,0,IF($A212&gt;$B$6,0,Fwd_curves!L242))</f>
        <v>0</v>
      </c>
      <c r="F212">
        <f ca="1">IF($A212&lt;$B$5,0,IF($A212&gt;$B$6,0,Fwd_curves!M242))</f>
        <v>0</v>
      </c>
      <c r="G212">
        <f ca="1">IF($A212&lt;$B$5,0,IF($A212&gt;$B$6,0,Fwd_curves!N242))</f>
        <v>0</v>
      </c>
      <c r="H212" s="12">
        <f ca="1">IF($A212&lt;$B$5,0,IF($A212&gt;$B$6,0,Fwd_curves!O256))</f>
        <v>0</v>
      </c>
      <c r="I212" s="12">
        <f ca="1">IF($A212&lt;$B$5,0,IF($A212&gt;$B$6,0,Fwd_curves!P256))</f>
        <v>0</v>
      </c>
    </row>
    <row r="213" spans="1:9" x14ac:dyDescent="0.2">
      <c r="A213" s="26">
        <f ca="1">Fwd_curves!A243</f>
        <v>41426</v>
      </c>
      <c r="B213">
        <f ca="1">IF($A213&lt;$B$5,0,IF($A213&gt;$B$6,0,Fwd_curves!H243))</f>
        <v>0</v>
      </c>
      <c r="C213">
        <f ca="1">IF($A213&lt;$B$5,0,IF($A213&gt;$B$6,0,Fwd_curves!J243))</f>
        <v>0</v>
      </c>
      <c r="D213">
        <f ca="1">IF($A213&lt;$B$5,0,IF($A213&gt;$B$6,0,Fwd_curves!K243))</f>
        <v>0</v>
      </c>
      <c r="E213">
        <f ca="1">IF($A213&lt;$B$5,0,IF($A213&gt;$B$6,0,Fwd_curves!L243))</f>
        <v>0</v>
      </c>
      <c r="F213">
        <f ca="1">IF($A213&lt;$B$5,0,IF($A213&gt;$B$6,0,Fwd_curves!M243))</f>
        <v>0</v>
      </c>
      <c r="G213">
        <f ca="1">IF($A213&lt;$B$5,0,IF($A213&gt;$B$6,0,Fwd_curves!N243))</f>
        <v>0</v>
      </c>
      <c r="H213" s="12">
        <f ca="1">IF($A213&lt;$B$5,0,IF($A213&gt;$B$6,0,Fwd_curves!O257))</f>
        <v>0</v>
      </c>
      <c r="I213" s="12">
        <f ca="1">IF($A213&lt;$B$5,0,IF($A213&gt;$B$6,0,Fwd_curves!P257))</f>
        <v>0</v>
      </c>
    </row>
    <row r="214" spans="1:9" x14ac:dyDescent="0.2">
      <c r="A214" s="26">
        <f ca="1">Fwd_curves!A244</f>
        <v>41456</v>
      </c>
      <c r="B214">
        <f ca="1">IF($A214&lt;$B$5,0,IF($A214&gt;$B$6,0,Fwd_curves!H244))</f>
        <v>0</v>
      </c>
      <c r="C214">
        <f ca="1">IF($A214&lt;$B$5,0,IF($A214&gt;$B$6,0,Fwd_curves!J244))</f>
        <v>0</v>
      </c>
      <c r="D214">
        <f ca="1">IF($A214&lt;$B$5,0,IF($A214&gt;$B$6,0,Fwd_curves!K244))</f>
        <v>0</v>
      </c>
      <c r="E214">
        <f ca="1">IF($A214&lt;$B$5,0,IF($A214&gt;$B$6,0,Fwd_curves!L244))</f>
        <v>0</v>
      </c>
      <c r="F214">
        <f ca="1">IF($A214&lt;$B$5,0,IF($A214&gt;$B$6,0,Fwd_curves!M244))</f>
        <v>0</v>
      </c>
      <c r="G214">
        <f ca="1">IF($A214&lt;$B$5,0,IF($A214&gt;$B$6,0,Fwd_curves!N244))</f>
        <v>0</v>
      </c>
      <c r="H214" s="12">
        <f ca="1">IF($A214&lt;$B$5,0,IF($A214&gt;$B$6,0,Fwd_curves!O258))</f>
        <v>0</v>
      </c>
      <c r="I214" s="12">
        <f ca="1">IF($A214&lt;$B$5,0,IF($A214&gt;$B$6,0,Fwd_curves!P258))</f>
        <v>0</v>
      </c>
    </row>
    <row r="215" spans="1:9" x14ac:dyDescent="0.2">
      <c r="A215" s="26">
        <f ca="1">Fwd_curves!A245</f>
        <v>41487</v>
      </c>
      <c r="B215">
        <f ca="1">IF($A215&lt;$B$5,0,IF($A215&gt;$B$6,0,Fwd_curves!H245))</f>
        <v>0</v>
      </c>
      <c r="C215">
        <f ca="1">IF($A215&lt;$B$5,0,IF($A215&gt;$B$6,0,Fwd_curves!J245))</f>
        <v>0</v>
      </c>
      <c r="D215">
        <f ca="1">IF($A215&lt;$B$5,0,IF($A215&gt;$B$6,0,Fwd_curves!K245))</f>
        <v>0</v>
      </c>
      <c r="E215">
        <f ca="1">IF($A215&lt;$B$5,0,IF($A215&gt;$B$6,0,Fwd_curves!L245))</f>
        <v>0</v>
      </c>
      <c r="F215">
        <f ca="1">IF($A215&lt;$B$5,0,IF($A215&gt;$B$6,0,Fwd_curves!M245))</f>
        <v>0</v>
      </c>
      <c r="G215">
        <f ca="1">IF($A215&lt;$B$5,0,IF($A215&gt;$B$6,0,Fwd_curves!N245))</f>
        <v>0</v>
      </c>
      <c r="H215" s="12">
        <f ca="1">IF($A215&lt;$B$5,0,IF($A215&gt;$B$6,0,Fwd_curves!O259))</f>
        <v>0</v>
      </c>
      <c r="I215" s="12">
        <f ca="1">IF($A215&lt;$B$5,0,IF($A215&gt;$B$6,0,Fwd_curves!P259))</f>
        <v>0</v>
      </c>
    </row>
    <row r="216" spans="1:9" x14ac:dyDescent="0.2">
      <c r="A216" s="26">
        <f ca="1">Fwd_curves!A246</f>
        <v>41518</v>
      </c>
      <c r="B216">
        <f ca="1">IF($A216&lt;$B$5,0,IF($A216&gt;$B$6,0,Fwd_curves!H246))</f>
        <v>0</v>
      </c>
      <c r="C216">
        <f ca="1">IF($A216&lt;$B$5,0,IF($A216&gt;$B$6,0,Fwd_curves!J246))</f>
        <v>0</v>
      </c>
      <c r="D216">
        <f ca="1">IF($A216&lt;$B$5,0,IF($A216&gt;$B$6,0,Fwd_curves!K246))</f>
        <v>0</v>
      </c>
      <c r="E216">
        <f ca="1">IF($A216&lt;$B$5,0,IF($A216&gt;$B$6,0,Fwd_curves!L246))</f>
        <v>0</v>
      </c>
      <c r="F216">
        <f ca="1">IF($A216&lt;$B$5,0,IF($A216&gt;$B$6,0,Fwd_curves!M246))</f>
        <v>0</v>
      </c>
      <c r="G216">
        <f ca="1">IF($A216&lt;$B$5,0,IF($A216&gt;$B$6,0,Fwd_curves!N246))</f>
        <v>0</v>
      </c>
      <c r="H216" s="12">
        <f ca="1">IF($A216&lt;$B$5,0,IF($A216&gt;$B$6,0,Fwd_curves!O260))</f>
        <v>0</v>
      </c>
      <c r="I216" s="12">
        <f ca="1">IF($A216&lt;$B$5,0,IF($A216&gt;$B$6,0,Fwd_curves!P260))</f>
        <v>0</v>
      </c>
    </row>
    <row r="217" spans="1:9" x14ac:dyDescent="0.2">
      <c r="A217" s="26">
        <f ca="1">Fwd_curves!A247</f>
        <v>41548</v>
      </c>
      <c r="B217">
        <f ca="1">IF($A217&lt;$B$5,0,IF($A217&gt;$B$6,0,Fwd_curves!H247))</f>
        <v>0</v>
      </c>
      <c r="C217">
        <f ca="1">IF($A217&lt;$B$5,0,IF($A217&gt;$B$6,0,Fwd_curves!J247))</f>
        <v>0</v>
      </c>
      <c r="D217">
        <f ca="1">IF($A217&lt;$B$5,0,IF($A217&gt;$B$6,0,Fwd_curves!K247))</f>
        <v>0</v>
      </c>
      <c r="E217">
        <f ca="1">IF($A217&lt;$B$5,0,IF($A217&gt;$B$6,0,Fwd_curves!L247))</f>
        <v>0</v>
      </c>
      <c r="F217">
        <f ca="1">IF($A217&lt;$B$5,0,IF($A217&gt;$B$6,0,Fwd_curves!M247))</f>
        <v>0</v>
      </c>
      <c r="G217">
        <f ca="1">IF($A217&lt;$B$5,0,IF($A217&gt;$B$6,0,Fwd_curves!N247))</f>
        <v>0</v>
      </c>
      <c r="H217" s="12">
        <f ca="1">IF($A217&lt;$B$5,0,IF($A217&gt;$B$6,0,Fwd_curves!O261))</f>
        <v>0</v>
      </c>
      <c r="I217" s="12">
        <f ca="1">IF($A217&lt;$B$5,0,IF($A217&gt;$B$6,0,Fwd_curves!P261))</f>
        <v>0</v>
      </c>
    </row>
    <row r="218" spans="1:9" x14ac:dyDescent="0.2">
      <c r="A218" s="26">
        <f ca="1">Fwd_curves!A248</f>
        <v>41579</v>
      </c>
      <c r="B218">
        <f ca="1">IF($A218&lt;$B$5,0,IF($A218&gt;$B$6,0,Fwd_curves!H248))</f>
        <v>0</v>
      </c>
      <c r="C218">
        <f ca="1">IF($A218&lt;$B$5,0,IF($A218&gt;$B$6,0,Fwd_curves!J248))</f>
        <v>0</v>
      </c>
      <c r="D218">
        <f ca="1">IF($A218&lt;$B$5,0,IF($A218&gt;$B$6,0,Fwd_curves!K248))</f>
        <v>0</v>
      </c>
      <c r="E218">
        <f ca="1">IF($A218&lt;$B$5,0,IF($A218&gt;$B$6,0,Fwd_curves!L248))</f>
        <v>0</v>
      </c>
      <c r="F218">
        <f ca="1">IF($A218&lt;$B$5,0,IF($A218&gt;$B$6,0,Fwd_curves!M248))</f>
        <v>0</v>
      </c>
      <c r="G218">
        <f ca="1">IF($A218&lt;$B$5,0,IF($A218&gt;$B$6,0,Fwd_curves!N248))</f>
        <v>0</v>
      </c>
      <c r="H218" s="12">
        <f ca="1">IF($A218&lt;$B$5,0,IF($A218&gt;$B$6,0,Fwd_curves!M262))</f>
        <v>0</v>
      </c>
      <c r="I218" s="12">
        <f ca="1">IF($A218&lt;$B$5,0,IF($A218&gt;$B$6,0,Fwd_curves!N262))</f>
        <v>0</v>
      </c>
    </row>
    <row r="219" spans="1:9" x14ac:dyDescent="0.2">
      <c r="A219" s="26">
        <f ca="1">Fwd_curves!A249</f>
        <v>41609</v>
      </c>
      <c r="B219">
        <f ca="1">IF($A219&lt;$B$5,0,IF($A219&gt;$B$6,0,Fwd_curves!H249))</f>
        <v>0</v>
      </c>
      <c r="C219">
        <f ca="1">IF($A219&lt;$B$5,0,IF($A219&gt;$B$6,0,Fwd_curves!J249))</f>
        <v>0</v>
      </c>
      <c r="D219">
        <f ca="1">IF($A219&lt;$B$5,0,IF($A219&gt;$B$6,0,Fwd_curves!K249))</f>
        <v>0</v>
      </c>
      <c r="E219">
        <f ca="1">IF($A219&lt;$B$5,0,IF($A219&gt;$B$6,0,Fwd_curves!L249))</f>
        <v>0</v>
      </c>
      <c r="F219">
        <f ca="1">IF($A219&lt;$B$5,0,IF($A219&gt;$B$6,0,Fwd_curves!M249))</f>
        <v>0</v>
      </c>
      <c r="G219">
        <f ca="1">IF($A219&lt;$B$5,0,IF($A219&gt;$B$6,0,Fwd_curves!N249))</f>
        <v>0</v>
      </c>
      <c r="H219" s="12">
        <f ca="1">IF($A219&lt;$B$5,0,IF($A219&gt;$B$6,0,Fwd_curves!M263))</f>
        <v>0</v>
      </c>
      <c r="I219" s="12">
        <f ca="1">IF($A219&lt;$B$5,0,IF($A219&gt;$B$6,0,Fwd_curves!N263))</f>
        <v>0</v>
      </c>
    </row>
    <row r="220" spans="1:9" x14ac:dyDescent="0.2">
      <c r="A220" s="26">
        <f ca="1">Fwd_curves!A250</f>
        <v>41640</v>
      </c>
      <c r="B220">
        <f ca="1">IF($A220&lt;$B$5,0,IF($A220&gt;$B$6,0,Fwd_curves!H250))</f>
        <v>0</v>
      </c>
      <c r="C220">
        <f ca="1">IF($A220&lt;$B$5,0,IF($A220&gt;$B$6,0,Fwd_curves!J250))</f>
        <v>0</v>
      </c>
      <c r="D220">
        <f ca="1">IF($A220&lt;$B$5,0,IF($A220&gt;$B$6,0,Fwd_curves!K250))</f>
        <v>0</v>
      </c>
      <c r="E220">
        <f ca="1">IF($A220&lt;$B$5,0,IF($A220&gt;$B$6,0,Fwd_curves!L250))</f>
        <v>0</v>
      </c>
      <c r="F220">
        <f ca="1">IF($A220&lt;$B$5,0,IF($A220&gt;$B$6,0,Fwd_curves!M250))</f>
        <v>0</v>
      </c>
      <c r="G220">
        <f ca="1">IF($A220&lt;$B$5,0,IF($A220&gt;$B$6,0,Fwd_curves!N250))</f>
        <v>0</v>
      </c>
      <c r="H220" s="12">
        <f ca="1">IF($A220&lt;$B$5,0,IF($A220&gt;$B$6,0,Fwd_curves!M264))</f>
        <v>0</v>
      </c>
      <c r="I220" s="12">
        <f ca="1">IF($A220&lt;$B$5,0,IF($A220&gt;$B$6,0,Fwd_curves!N264))</f>
        <v>0</v>
      </c>
    </row>
    <row r="221" spans="1:9" x14ac:dyDescent="0.2">
      <c r="A221" s="26">
        <f ca="1">Fwd_curves!A251</f>
        <v>41671</v>
      </c>
      <c r="B221">
        <f ca="1">IF($A221&lt;$B$5,0,IF($A221&gt;$B$6,0,Fwd_curves!H251))</f>
        <v>0</v>
      </c>
      <c r="C221">
        <f ca="1">IF($A221&lt;$B$5,0,IF($A221&gt;$B$6,0,Fwd_curves!J251))</f>
        <v>0</v>
      </c>
      <c r="D221">
        <f ca="1">IF($A221&lt;$B$5,0,IF($A221&gt;$B$6,0,Fwd_curves!K251))</f>
        <v>0</v>
      </c>
      <c r="E221">
        <f ca="1">IF($A221&lt;$B$5,0,IF($A221&gt;$B$6,0,Fwd_curves!L251))</f>
        <v>0</v>
      </c>
      <c r="F221">
        <f ca="1">IF($A221&lt;$B$5,0,IF($A221&gt;$B$6,0,Fwd_curves!M251))</f>
        <v>0</v>
      </c>
      <c r="G221">
        <f ca="1">IF($A221&lt;$B$5,0,IF($A221&gt;$B$6,0,Fwd_curves!N251))</f>
        <v>0</v>
      </c>
      <c r="H221" s="12">
        <f ca="1">IF($A221&lt;$B$5,0,IF($A221&gt;$B$6,0,Fwd_curves!M265))</f>
        <v>0</v>
      </c>
      <c r="I221" s="12">
        <f ca="1">IF($A221&lt;$B$5,0,IF($A221&gt;$B$6,0,Fwd_curves!N265))</f>
        <v>0</v>
      </c>
    </row>
    <row r="222" spans="1:9" x14ac:dyDescent="0.2">
      <c r="A222" s="26">
        <f ca="1">Fwd_curves!A252</f>
        <v>41699</v>
      </c>
      <c r="B222">
        <f ca="1">IF($A222&lt;$B$5,0,IF($A222&gt;$B$6,0,Fwd_curves!H252))</f>
        <v>0</v>
      </c>
      <c r="C222">
        <f ca="1">IF($A222&lt;$B$5,0,IF($A222&gt;$B$6,0,Fwd_curves!J252))</f>
        <v>0</v>
      </c>
      <c r="D222">
        <f ca="1">IF($A222&lt;$B$5,0,IF($A222&gt;$B$6,0,Fwd_curves!K252))</f>
        <v>0</v>
      </c>
      <c r="E222">
        <f ca="1">IF($A222&lt;$B$5,0,IF($A222&gt;$B$6,0,Fwd_curves!L252))</f>
        <v>0</v>
      </c>
      <c r="F222">
        <f ca="1">IF($A222&lt;$B$5,0,IF($A222&gt;$B$6,0,Fwd_curves!M252))</f>
        <v>0</v>
      </c>
      <c r="G222">
        <f ca="1">IF($A222&lt;$B$5,0,IF($A222&gt;$B$6,0,Fwd_curves!N252))</f>
        <v>0</v>
      </c>
      <c r="H222" s="12">
        <f ca="1">IF($A222&lt;$B$5,0,IF($A222&gt;$B$6,0,Fwd_curves!M266))</f>
        <v>0</v>
      </c>
      <c r="I222" s="12">
        <f ca="1">IF($A222&lt;$B$5,0,IF($A222&gt;$B$6,0,Fwd_curves!N266))</f>
        <v>0</v>
      </c>
    </row>
    <row r="223" spans="1:9" x14ac:dyDescent="0.2">
      <c r="A223" s="26">
        <f ca="1">Fwd_curves!A253</f>
        <v>41730</v>
      </c>
      <c r="B223">
        <f ca="1">IF($A223&lt;$B$5,0,IF($A223&gt;$B$6,0,Fwd_curves!H253))</f>
        <v>0</v>
      </c>
      <c r="C223">
        <f ca="1">IF($A223&lt;$B$5,0,IF($A223&gt;$B$6,0,Fwd_curves!J253))</f>
        <v>0</v>
      </c>
      <c r="D223">
        <f ca="1">IF($A223&lt;$B$5,0,IF($A223&gt;$B$6,0,Fwd_curves!K253))</f>
        <v>0</v>
      </c>
      <c r="E223">
        <f ca="1">IF($A223&lt;$B$5,0,IF($A223&gt;$B$6,0,Fwd_curves!L253))</f>
        <v>0</v>
      </c>
      <c r="F223">
        <f ca="1">IF($A223&lt;$B$5,0,IF($A223&gt;$B$6,0,Fwd_curves!M253))</f>
        <v>0</v>
      </c>
      <c r="G223">
        <f ca="1">IF($A223&lt;$B$5,0,IF($A223&gt;$B$6,0,Fwd_curves!N253))</f>
        <v>0</v>
      </c>
      <c r="H223" s="12">
        <f ca="1">IF($A223&lt;$B$5,0,IF($A223&gt;$B$6,0,Fwd_curves!M267))</f>
        <v>0</v>
      </c>
      <c r="I223" s="12">
        <f ca="1">IF($A223&lt;$B$5,0,IF($A223&gt;$B$6,0,Fwd_curves!N267))</f>
        <v>0</v>
      </c>
    </row>
    <row r="224" spans="1:9" x14ac:dyDescent="0.2">
      <c r="A224" s="26">
        <f ca="1">Fwd_curves!A254</f>
        <v>41760</v>
      </c>
      <c r="B224">
        <f ca="1">IF($A224&lt;$B$5,0,IF($A224&gt;$B$6,0,Fwd_curves!H254))</f>
        <v>0</v>
      </c>
      <c r="C224">
        <f ca="1">IF($A224&lt;$B$5,0,IF($A224&gt;$B$6,0,Fwd_curves!J254))</f>
        <v>0</v>
      </c>
      <c r="D224">
        <f ca="1">IF($A224&lt;$B$5,0,IF($A224&gt;$B$6,0,Fwd_curves!K254))</f>
        <v>0</v>
      </c>
      <c r="E224">
        <f ca="1">IF($A224&lt;$B$5,0,IF($A224&gt;$B$6,0,Fwd_curves!L254))</f>
        <v>0</v>
      </c>
      <c r="F224">
        <f ca="1">IF($A224&lt;$B$5,0,IF($A224&gt;$B$6,0,Fwd_curves!M254))</f>
        <v>0</v>
      </c>
      <c r="G224">
        <f ca="1">IF($A224&lt;$B$5,0,IF($A224&gt;$B$6,0,Fwd_curves!N254))</f>
        <v>0</v>
      </c>
      <c r="H224" s="12">
        <f ca="1">IF($A224&lt;$B$5,0,IF($A224&gt;$B$6,0,Fwd_curves!M268))</f>
        <v>0</v>
      </c>
      <c r="I224" s="12">
        <f ca="1">IF($A224&lt;$B$5,0,IF($A224&gt;$B$6,0,Fwd_curves!N268))</f>
        <v>0</v>
      </c>
    </row>
    <row r="225" spans="1:9" x14ac:dyDescent="0.2">
      <c r="A225" s="26">
        <f ca="1">Fwd_curves!A255</f>
        <v>41791</v>
      </c>
      <c r="B225">
        <f ca="1">IF($A225&lt;$B$5,0,IF($A225&gt;$B$6,0,Fwd_curves!H255))</f>
        <v>0</v>
      </c>
      <c r="C225">
        <f ca="1">IF($A225&lt;$B$5,0,IF($A225&gt;$B$6,0,Fwd_curves!J255))</f>
        <v>0</v>
      </c>
      <c r="D225">
        <f ca="1">IF($A225&lt;$B$5,0,IF($A225&gt;$B$6,0,Fwd_curves!K255))</f>
        <v>0</v>
      </c>
      <c r="E225">
        <f ca="1">IF($A225&lt;$B$5,0,IF($A225&gt;$B$6,0,Fwd_curves!L255))</f>
        <v>0</v>
      </c>
      <c r="F225">
        <f ca="1">IF($A225&lt;$B$5,0,IF($A225&gt;$B$6,0,Fwd_curves!M255))</f>
        <v>0</v>
      </c>
      <c r="G225">
        <f ca="1">IF($A225&lt;$B$5,0,IF($A225&gt;$B$6,0,Fwd_curves!N255))</f>
        <v>0</v>
      </c>
      <c r="H225" s="12">
        <f ca="1">IF($A225&lt;$B$5,0,IF($A225&gt;$B$6,0,Fwd_curves!M269))</f>
        <v>0</v>
      </c>
      <c r="I225" s="12">
        <f ca="1">IF($A225&lt;$B$5,0,IF($A225&gt;$B$6,0,Fwd_curves!N269))</f>
        <v>0</v>
      </c>
    </row>
    <row r="226" spans="1:9" x14ac:dyDescent="0.2">
      <c r="A226" s="26">
        <f ca="1">Fwd_curves!A256</f>
        <v>41821</v>
      </c>
      <c r="B226">
        <f ca="1">IF($A226&lt;$B$5,0,IF($A226&gt;$B$6,0,Fwd_curves!H256))</f>
        <v>0</v>
      </c>
      <c r="C226">
        <f ca="1">IF($A226&lt;$B$5,0,IF($A226&gt;$B$6,0,Fwd_curves!J256))</f>
        <v>0</v>
      </c>
      <c r="D226">
        <f ca="1">IF($A226&lt;$B$5,0,IF($A226&gt;$B$6,0,Fwd_curves!K256))</f>
        <v>0</v>
      </c>
      <c r="E226">
        <f ca="1">IF($A226&lt;$B$5,0,IF($A226&gt;$B$6,0,Fwd_curves!L256))</f>
        <v>0</v>
      </c>
      <c r="F226">
        <f ca="1">IF($A226&lt;$B$5,0,IF($A226&gt;$B$6,0,Fwd_curves!M256))</f>
        <v>0</v>
      </c>
      <c r="G226">
        <f ca="1">IF($A226&lt;$B$5,0,IF($A226&gt;$B$6,0,Fwd_curves!N256))</f>
        <v>0</v>
      </c>
      <c r="H226" s="12">
        <f ca="1">IF($A226&lt;$B$5,0,IF($A226&gt;$B$6,0,Fwd_curves!M270))</f>
        <v>0</v>
      </c>
      <c r="I226" s="12">
        <f ca="1">IF($A226&lt;$B$5,0,IF($A226&gt;$B$6,0,Fwd_curves!N270))</f>
        <v>0</v>
      </c>
    </row>
    <row r="227" spans="1:9" x14ac:dyDescent="0.2">
      <c r="A227" s="26">
        <f ca="1">Fwd_curves!A257</f>
        <v>41852</v>
      </c>
      <c r="B227">
        <f ca="1">IF($A227&lt;$B$5,0,IF($A227&gt;$B$6,0,Fwd_curves!H257))</f>
        <v>0</v>
      </c>
      <c r="C227">
        <f ca="1">IF($A227&lt;$B$5,0,IF($A227&gt;$B$6,0,Fwd_curves!J257))</f>
        <v>0</v>
      </c>
      <c r="D227">
        <f ca="1">IF($A227&lt;$B$5,0,IF($A227&gt;$B$6,0,Fwd_curves!K257))</f>
        <v>0</v>
      </c>
      <c r="E227">
        <f ca="1">IF($A227&lt;$B$5,0,IF($A227&gt;$B$6,0,Fwd_curves!L257))</f>
        <v>0</v>
      </c>
      <c r="F227">
        <f ca="1">IF($A227&lt;$B$5,0,IF($A227&gt;$B$6,0,Fwd_curves!M257))</f>
        <v>0</v>
      </c>
      <c r="G227">
        <f ca="1">IF($A227&lt;$B$5,0,IF($A227&gt;$B$6,0,Fwd_curves!N257))</f>
        <v>0</v>
      </c>
      <c r="H227" s="12">
        <f ca="1">IF($A227&lt;$B$5,0,IF($A227&gt;$B$6,0,Fwd_curves!M271))</f>
        <v>0</v>
      </c>
      <c r="I227" s="12">
        <f ca="1">IF($A227&lt;$B$5,0,IF($A227&gt;$B$6,0,Fwd_curves!N271))</f>
        <v>0</v>
      </c>
    </row>
    <row r="228" spans="1:9" x14ac:dyDescent="0.2">
      <c r="A228" s="26">
        <f ca="1">Fwd_curves!A258</f>
        <v>41883</v>
      </c>
      <c r="B228">
        <f ca="1">IF($A228&lt;$B$5,0,IF($A228&gt;$B$6,0,Fwd_curves!H258))</f>
        <v>0</v>
      </c>
      <c r="C228">
        <f ca="1">IF($A228&lt;$B$5,0,IF($A228&gt;$B$6,0,Fwd_curves!J258))</f>
        <v>0</v>
      </c>
      <c r="D228">
        <f ca="1">IF($A228&lt;$B$5,0,IF($A228&gt;$B$6,0,Fwd_curves!K258))</f>
        <v>0</v>
      </c>
      <c r="E228">
        <f ca="1">IF($A228&lt;$B$5,0,IF($A228&gt;$B$6,0,Fwd_curves!L258))</f>
        <v>0</v>
      </c>
      <c r="F228">
        <f ca="1">IF($A228&lt;$B$5,0,IF($A228&gt;$B$6,0,Fwd_curves!M258))</f>
        <v>0</v>
      </c>
      <c r="G228">
        <f ca="1">IF($A228&lt;$B$5,0,IF($A228&gt;$B$6,0,Fwd_curves!N258))</f>
        <v>0</v>
      </c>
      <c r="H228" s="12">
        <f ca="1">IF($A228&lt;$B$5,0,IF($A228&gt;$B$6,0,Fwd_curves!M272))</f>
        <v>0</v>
      </c>
      <c r="I228" s="12">
        <f ca="1">IF($A228&lt;$B$5,0,IF($A228&gt;$B$6,0,Fwd_curves!N272))</f>
        <v>0</v>
      </c>
    </row>
    <row r="229" spans="1:9" x14ac:dyDescent="0.2">
      <c r="A229" s="26">
        <f ca="1">Fwd_curves!A259</f>
        <v>41913</v>
      </c>
      <c r="B229">
        <f ca="1">IF($A229&lt;$B$5,0,IF($A229&gt;$B$6,0,Fwd_curves!H259))</f>
        <v>0</v>
      </c>
      <c r="C229">
        <f ca="1">IF($A229&lt;$B$5,0,IF($A229&gt;$B$6,0,Fwd_curves!J259))</f>
        <v>0</v>
      </c>
      <c r="D229">
        <f ca="1">IF($A229&lt;$B$5,0,IF($A229&gt;$B$6,0,Fwd_curves!K259))</f>
        <v>0</v>
      </c>
      <c r="E229">
        <f ca="1">IF($A229&lt;$B$5,0,IF($A229&gt;$B$6,0,Fwd_curves!L259))</f>
        <v>0</v>
      </c>
      <c r="F229">
        <f ca="1">IF($A229&lt;$B$5,0,IF($A229&gt;$B$6,0,Fwd_curves!M259))</f>
        <v>0</v>
      </c>
      <c r="G229">
        <f ca="1">IF($A229&lt;$B$5,0,IF($A229&gt;$B$6,0,Fwd_curves!N259))</f>
        <v>0</v>
      </c>
      <c r="H229" s="12">
        <f ca="1">IF($A229&lt;$B$5,0,IF($A229&gt;$B$6,0,Fwd_curves!M273))</f>
        <v>0</v>
      </c>
      <c r="I229" s="12">
        <f ca="1">IF($A229&lt;$B$5,0,IF($A229&gt;$B$6,0,Fwd_curves!N273))</f>
        <v>0</v>
      </c>
    </row>
    <row r="230" spans="1:9" x14ac:dyDescent="0.2">
      <c r="A230" s="26">
        <f ca="1">Fwd_curves!A260</f>
        <v>41944</v>
      </c>
      <c r="B230">
        <f ca="1">IF($A230&lt;$B$5,0,IF($A230&gt;$B$6,0,Fwd_curves!H260))</f>
        <v>0</v>
      </c>
      <c r="C230">
        <f ca="1">IF($A230&lt;$B$5,0,IF($A230&gt;$B$6,0,Fwd_curves!J260))</f>
        <v>0</v>
      </c>
      <c r="D230">
        <f ca="1">IF($A230&lt;$B$5,0,IF($A230&gt;$B$6,0,Fwd_curves!K260))</f>
        <v>0</v>
      </c>
      <c r="E230">
        <f ca="1">IF($A230&lt;$B$5,0,IF($A230&gt;$B$6,0,Fwd_curves!L260))</f>
        <v>0</v>
      </c>
      <c r="F230">
        <f ca="1">IF($A230&lt;$B$5,0,IF($A230&gt;$B$6,0,Fwd_curves!M260))</f>
        <v>0</v>
      </c>
      <c r="G230">
        <f ca="1">IF($A230&lt;$B$5,0,IF($A230&gt;$B$6,0,Fwd_curves!N260))</f>
        <v>0</v>
      </c>
      <c r="H230" s="12">
        <f ca="1">IF($A230&lt;$B$5,0,IF($A230&gt;$B$6,0,Fwd_curves!M274))</f>
        <v>0</v>
      </c>
      <c r="I230" s="12">
        <f ca="1">IF($A230&lt;$B$5,0,IF($A230&gt;$B$6,0,Fwd_curves!N274))</f>
        <v>0</v>
      </c>
    </row>
    <row r="231" spans="1:9" x14ac:dyDescent="0.2">
      <c r="A231" s="26">
        <f ca="1">Fwd_curves!A261</f>
        <v>41974</v>
      </c>
      <c r="B231">
        <f ca="1">IF($A231&lt;$B$5,0,IF($A231&gt;$B$6,0,Fwd_curves!H261))</f>
        <v>0</v>
      </c>
      <c r="C231">
        <f ca="1">IF($A231&lt;$B$5,0,IF($A231&gt;$B$6,0,Fwd_curves!J261))</f>
        <v>0</v>
      </c>
      <c r="D231">
        <f ca="1">IF($A231&lt;$B$5,0,IF($A231&gt;$B$6,0,Fwd_curves!K261))</f>
        <v>0</v>
      </c>
      <c r="E231">
        <f ca="1">IF($A231&lt;$B$5,0,IF($A231&gt;$B$6,0,Fwd_curves!L261))</f>
        <v>0</v>
      </c>
      <c r="F231">
        <f ca="1">IF($A231&lt;$B$5,0,IF($A231&gt;$B$6,0,Fwd_curves!M261))</f>
        <v>0</v>
      </c>
      <c r="G231">
        <f ca="1">IF($A231&lt;$B$5,0,IF($A231&gt;$B$6,0,Fwd_curves!N261))</f>
        <v>0</v>
      </c>
      <c r="H231" s="12">
        <f ca="1">IF($A231&lt;$B$5,0,IF($A231&gt;$B$6,0,Fwd_curves!M275))</f>
        <v>0</v>
      </c>
      <c r="I231" s="12">
        <f ca="1">IF($A231&lt;$B$5,0,IF($A231&gt;$B$6,0,Fwd_curves!N275))</f>
        <v>0</v>
      </c>
    </row>
  </sheetData>
  <pageMargins left="0.75" right="0.75" top="1" bottom="1" header="0.5" footer="0.5"/>
  <pageSetup scale="77" orientation="landscape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9"/>
  <sheetViews>
    <sheetView workbookViewId="0">
      <selection activeCell="C12" sqref="C12"/>
    </sheetView>
  </sheetViews>
  <sheetFormatPr defaultRowHeight="12.75" x14ac:dyDescent="0.2"/>
  <cols>
    <col min="1" max="1" width="23.85546875" customWidth="1"/>
    <col min="2" max="2" width="15.42578125" customWidth="1"/>
    <col min="3" max="3" width="11.5703125" customWidth="1"/>
    <col min="6" max="6" width="26" customWidth="1"/>
    <col min="7" max="7" width="17.42578125" customWidth="1"/>
    <col min="8" max="8" width="15" customWidth="1"/>
    <col min="9" max="9" width="16.28515625" customWidth="1"/>
    <col min="11" max="11" width="12.85546875" customWidth="1"/>
    <col min="12" max="12" width="13.140625" customWidth="1"/>
    <col min="13" max="13" width="16.28515625" customWidth="1"/>
  </cols>
  <sheetData>
    <row r="2" spans="1:7" ht="15.75" x14ac:dyDescent="0.25">
      <c r="A2" s="29" t="s">
        <v>148</v>
      </c>
    </row>
    <row r="3" spans="1:7" x14ac:dyDescent="0.2">
      <c r="A3" t="s">
        <v>187</v>
      </c>
    </row>
    <row r="4" spans="1:7" ht="15.75" x14ac:dyDescent="0.25">
      <c r="A4" s="29" t="s">
        <v>44</v>
      </c>
      <c r="F4" s="29" t="s">
        <v>161</v>
      </c>
    </row>
    <row r="6" spans="1:7" x14ac:dyDescent="0.2">
      <c r="A6" t="s">
        <v>154</v>
      </c>
      <c r="B6" s="32">
        <v>25</v>
      </c>
      <c r="F6" t="s">
        <v>177</v>
      </c>
      <c r="G6" s="12">
        <f>B8*B10</f>
        <v>48.2517</v>
      </c>
    </row>
    <row r="7" spans="1:7" x14ac:dyDescent="0.2">
      <c r="A7" t="s">
        <v>157</v>
      </c>
      <c r="B7" s="71">
        <f ca="1">SUM(D28:D51)</f>
        <v>18600</v>
      </c>
    </row>
    <row r="8" spans="1:7" ht="15" x14ac:dyDescent="0.2">
      <c r="A8" s="47" t="s">
        <v>151</v>
      </c>
      <c r="B8" s="207">
        <v>9.66</v>
      </c>
      <c r="F8" t="s">
        <v>163</v>
      </c>
      <c r="G8" s="74">
        <v>2</v>
      </c>
    </row>
    <row r="9" spans="1:7" ht="15" x14ac:dyDescent="0.2">
      <c r="A9" s="47" t="s">
        <v>24</v>
      </c>
      <c r="B9" s="68" t="s">
        <v>174</v>
      </c>
      <c r="C9" t="s">
        <v>152</v>
      </c>
      <c r="F9" t="s">
        <v>164</v>
      </c>
      <c r="G9" s="74">
        <v>24</v>
      </c>
    </row>
    <row r="10" spans="1:7" ht="15" x14ac:dyDescent="0.2">
      <c r="A10" s="47" t="s">
        <v>149</v>
      </c>
      <c r="B10" s="206">
        <v>4.9950000000000001</v>
      </c>
      <c r="C10" s="47" t="s">
        <v>150</v>
      </c>
      <c r="F10" t="s">
        <v>162</v>
      </c>
      <c r="G10" s="64">
        <f ca="1">SUM(L28:L51)</f>
        <v>28.978102500862519</v>
      </c>
    </row>
    <row r="11" spans="1:7" ht="15" x14ac:dyDescent="0.2">
      <c r="A11" s="47" t="s">
        <v>165</v>
      </c>
      <c r="B11" s="75">
        <v>48.25</v>
      </c>
      <c r="C11" s="47"/>
    </row>
    <row r="12" spans="1:7" ht="15" x14ac:dyDescent="0.2">
      <c r="A12" s="47" t="s">
        <v>188</v>
      </c>
      <c r="B12" s="119">
        <f>B11/B10</f>
        <v>9.6596596596596598</v>
      </c>
      <c r="C12" s="47"/>
    </row>
    <row r="13" spans="1:7" ht="14.25" customHeight="1" x14ac:dyDescent="0.2">
      <c r="A13" s="47" t="s">
        <v>153</v>
      </c>
      <c r="B13" s="71">
        <f ca="1">B8*B7</f>
        <v>179676</v>
      </c>
      <c r="C13" s="47" t="s">
        <v>158</v>
      </c>
    </row>
    <row r="14" spans="1:7" ht="15" x14ac:dyDescent="0.2">
      <c r="A14" s="47" t="s">
        <v>9</v>
      </c>
      <c r="B14" s="71">
        <f ca="1">SUM(E28:E51)</f>
        <v>31</v>
      </c>
      <c r="C14" s="47"/>
    </row>
    <row r="15" spans="1:7" ht="15" x14ac:dyDescent="0.2">
      <c r="A15" s="47" t="s">
        <v>159</v>
      </c>
      <c r="B15" s="72">
        <f ca="1">B13/B14</f>
        <v>5796</v>
      </c>
      <c r="C15" s="47"/>
    </row>
    <row r="17" spans="1:12" x14ac:dyDescent="0.2">
      <c r="A17" t="s">
        <v>190</v>
      </c>
      <c r="B17" s="77">
        <f>1/B8</f>
        <v>0.10351966873706003</v>
      </c>
    </row>
    <row r="18" spans="1:12" x14ac:dyDescent="0.2">
      <c r="A18" t="s">
        <v>191</v>
      </c>
      <c r="B18" s="12">
        <f>B17*G9</f>
        <v>2.4844720496894408</v>
      </c>
    </row>
    <row r="21" spans="1:12" ht="15" x14ac:dyDescent="0.2">
      <c r="A21" s="47" t="s">
        <v>78</v>
      </c>
      <c r="B21" s="73">
        <v>36800</v>
      </c>
    </row>
    <row r="22" spans="1:12" ht="15" x14ac:dyDescent="0.2">
      <c r="A22" s="47" t="s">
        <v>79</v>
      </c>
      <c r="B22" s="73">
        <v>36800</v>
      </c>
    </row>
    <row r="23" spans="1:12" ht="15" x14ac:dyDescent="0.2">
      <c r="A23" s="47" t="s">
        <v>80</v>
      </c>
      <c r="B23" s="15">
        <f ca="1">COUNTIF(B28:B51,"&gt;0")</f>
        <v>1</v>
      </c>
    </row>
    <row r="25" spans="1:12" x14ac:dyDescent="0.2">
      <c r="G25" t="s">
        <v>176</v>
      </c>
    </row>
    <row r="26" spans="1:12" x14ac:dyDescent="0.2">
      <c r="G26" t="s">
        <v>166</v>
      </c>
      <c r="H26" t="s">
        <v>168</v>
      </c>
      <c r="I26" t="s">
        <v>170</v>
      </c>
    </row>
    <row r="27" spans="1:12" x14ac:dyDescent="0.2">
      <c r="A27" t="s">
        <v>16</v>
      </c>
      <c r="B27" t="s">
        <v>12</v>
      </c>
      <c r="C27" t="s">
        <v>155</v>
      </c>
      <c r="D27" t="s">
        <v>156</v>
      </c>
      <c r="E27" t="s">
        <v>9</v>
      </c>
      <c r="G27" t="s">
        <v>175</v>
      </c>
      <c r="H27" t="s">
        <v>169</v>
      </c>
      <c r="I27" t="s">
        <v>183</v>
      </c>
      <c r="K27" t="s">
        <v>172</v>
      </c>
      <c r="L27" t="s">
        <v>173</v>
      </c>
    </row>
    <row r="28" spans="1:12" x14ac:dyDescent="0.2">
      <c r="A28" s="26">
        <f ca="1">swap_model!A52</f>
        <v>36526</v>
      </c>
      <c r="B28" s="67">
        <f ca="1">IF($A28&lt;$B$21,0,IF($A28&gt;$B$22,0,Fwd_curves!H96))</f>
        <v>0</v>
      </c>
      <c r="C28">
        <f ca="1">IF($A28&lt;$B$21,0,IF($A28&gt;$B$22,0,IF('H-rate_model'!$B$9="P",external_curves!AI15,external_curves!AH15)))</f>
        <v>0</v>
      </c>
      <c r="D28">
        <f ca="1">C28*$B$6</f>
        <v>0</v>
      </c>
      <c r="E28">
        <f ca="1">IF($A28&lt;$B$21,0,IF($A28&gt;$B$22,0,IF('H-rate_model'!$B$9="P",external_curves!AB15,external_curves!X15)))</f>
        <v>0</v>
      </c>
      <c r="G28" s="64">
        <f ca="1">D28*(($B$8*$G$8-$G$9))</f>
        <v>0</v>
      </c>
      <c r="H28" s="64">
        <f ca="1">($B$15*E28)*($B$10-$G$8)</f>
        <v>0</v>
      </c>
      <c r="I28" s="64">
        <f ca="1">D28*($G$9-$B$11)</f>
        <v>0</v>
      </c>
      <c r="J28" s="64"/>
      <c r="K28" s="64">
        <f ca="1">SUM(G28:I28)</f>
        <v>0</v>
      </c>
      <c r="L28" s="64">
        <f ca="1">K28*B28</f>
        <v>0</v>
      </c>
    </row>
    <row r="29" spans="1:12" x14ac:dyDescent="0.2">
      <c r="A29" s="26">
        <f ca="1">swap_model!A53</f>
        <v>36557</v>
      </c>
      <c r="B29" s="67">
        <f ca="1">IF($A29&lt;$B$21,0,IF($A29&gt;$B$22,0,Fwd_curves!H97))</f>
        <v>0</v>
      </c>
      <c r="C29">
        <f ca="1">IF($A29&lt;$B$21,0,IF($A29&gt;$B$22,0,IF('H-rate_model'!$B$9="P",external_curves!AI16,external_curves!AH16)))</f>
        <v>0</v>
      </c>
      <c r="D29">
        <f t="shared" ref="D29:D51" ca="1" si="0">C29*$B$6</f>
        <v>0</v>
      </c>
      <c r="E29">
        <f ca="1">IF($A29&lt;$B$21,0,IF($A29&gt;$B$22,0,IF('H-rate_model'!$B$9="P",external_curves!AB16,external_curves!X16)))</f>
        <v>0</v>
      </c>
      <c r="G29" s="64">
        <f t="shared" ref="G29:G51" ca="1" si="1">D29*(($B$8*$G$8-$G$9))</f>
        <v>0</v>
      </c>
      <c r="H29" s="64">
        <f t="shared" ref="H29:H51" ca="1" si="2">($B$15*E29)*($B$10-$G$8)</f>
        <v>0</v>
      </c>
      <c r="I29" s="64">
        <f t="shared" ref="I29:I51" ca="1" si="3">D29*($G$9-$B$11)</f>
        <v>0</v>
      </c>
      <c r="J29" s="64"/>
      <c r="K29" s="64">
        <f t="shared" ref="K29:K51" ca="1" si="4">SUM(G29:I29)</f>
        <v>0</v>
      </c>
      <c r="L29" s="64">
        <f t="shared" ref="L29:L51" ca="1" si="5">K29*B29</f>
        <v>0</v>
      </c>
    </row>
    <row r="30" spans="1:12" x14ac:dyDescent="0.2">
      <c r="A30" s="26">
        <f ca="1">swap_model!A54</f>
        <v>36586</v>
      </c>
      <c r="B30" s="67">
        <f ca="1">IF($A30&lt;$B$21,0,IF($A30&gt;$B$22,0,Fwd_curves!H98))</f>
        <v>0</v>
      </c>
      <c r="C30">
        <f ca="1">IF($A30&lt;$B$21,0,IF($A30&gt;$B$22,0,IF('H-rate_model'!$B$9="P",external_curves!#REF!,external_curves!#REF!)))</f>
        <v>0</v>
      </c>
      <c r="D30">
        <f t="shared" ca="1" si="0"/>
        <v>0</v>
      </c>
      <c r="E30">
        <f ca="1">IF($A30&lt;$B$21,0,IF($A30&gt;$B$22,0,IF('H-rate_model'!$B$9="P",external_curves!#REF!,external_curves!#REF!)))</f>
        <v>0</v>
      </c>
      <c r="G30" s="64">
        <f t="shared" ca="1" si="1"/>
        <v>0</v>
      </c>
      <c r="H30" s="64">
        <f t="shared" ca="1" si="2"/>
        <v>0</v>
      </c>
      <c r="I30" s="64">
        <f t="shared" ca="1" si="3"/>
        <v>0</v>
      </c>
      <c r="J30" s="64"/>
      <c r="K30" s="64">
        <f t="shared" ca="1" si="4"/>
        <v>0</v>
      </c>
      <c r="L30" s="64">
        <f t="shared" ca="1" si="5"/>
        <v>0</v>
      </c>
    </row>
    <row r="31" spans="1:12" x14ac:dyDescent="0.2">
      <c r="A31" s="26">
        <f ca="1">swap_model!A55</f>
        <v>36617</v>
      </c>
      <c r="B31" s="67">
        <f ca="1">IF($A31&lt;$B$21,0,IF($A31&gt;$B$22,0,Fwd_curves!H99))</f>
        <v>0</v>
      </c>
      <c r="C31">
        <f ca="1">IF($A31&lt;$B$21,0,IF($A31&gt;$B$22,0,IF('H-rate_model'!$B$9="P",external_curves!AI17,external_curves!AH17)))</f>
        <v>0</v>
      </c>
      <c r="D31">
        <f t="shared" ca="1" si="0"/>
        <v>0</v>
      </c>
      <c r="E31">
        <f ca="1">IF($A31&lt;$B$21,0,IF($A31&gt;$B$22,0,IF('H-rate_model'!$B$9="P",external_curves!AB17,external_curves!X17)))</f>
        <v>0</v>
      </c>
      <c r="G31" s="64">
        <f t="shared" ca="1" si="1"/>
        <v>0</v>
      </c>
      <c r="H31" s="64">
        <f t="shared" ca="1" si="2"/>
        <v>0</v>
      </c>
      <c r="I31" s="64">
        <f t="shared" ca="1" si="3"/>
        <v>0</v>
      </c>
      <c r="J31" s="64"/>
      <c r="K31" s="64">
        <f t="shared" ca="1" si="4"/>
        <v>0</v>
      </c>
      <c r="L31" s="64">
        <f t="shared" ca="1" si="5"/>
        <v>0</v>
      </c>
    </row>
    <row r="32" spans="1:12" x14ac:dyDescent="0.2">
      <c r="A32" s="26">
        <f ca="1">swap_model!A56</f>
        <v>36647</v>
      </c>
      <c r="B32" s="67">
        <f ca="1">IF($A32&lt;$B$21,0,IF($A32&gt;$B$22,0,Fwd_curves!H100))</f>
        <v>0</v>
      </c>
      <c r="C32">
        <f ca="1">IF($A32&lt;$B$21,0,IF($A32&gt;$B$22,0,IF('H-rate_model'!$B$9="P",external_curves!AI18,external_curves!AH18)))</f>
        <v>0</v>
      </c>
      <c r="D32">
        <f t="shared" ca="1" si="0"/>
        <v>0</v>
      </c>
      <c r="E32">
        <f ca="1">IF($A32&lt;$B$21,0,IF($A32&gt;$B$22,0,IF('H-rate_model'!$B$9="P",external_curves!AB18,external_curves!X18)))</f>
        <v>0</v>
      </c>
      <c r="G32" s="64">
        <f t="shared" ca="1" si="1"/>
        <v>0</v>
      </c>
      <c r="H32" s="64">
        <f t="shared" ca="1" si="2"/>
        <v>0</v>
      </c>
      <c r="I32" s="64">
        <f t="shared" ca="1" si="3"/>
        <v>0</v>
      </c>
      <c r="J32" s="64"/>
      <c r="K32" s="64">
        <f t="shared" ca="1" si="4"/>
        <v>0</v>
      </c>
      <c r="L32" s="64">
        <f t="shared" ca="1" si="5"/>
        <v>0</v>
      </c>
    </row>
    <row r="33" spans="1:12" x14ac:dyDescent="0.2">
      <c r="A33" s="26">
        <f ca="1">swap_model!A57</f>
        <v>36678</v>
      </c>
      <c r="B33" s="67">
        <f ca="1">IF($A33&lt;$B$21,0,IF($A33&gt;$B$22,0,Fwd_curves!H101))</f>
        <v>0</v>
      </c>
      <c r="C33">
        <f ca="1">IF($A33&lt;$B$21,0,IF($A33&gt;$B$22,0,IF('H-rate_model'!$B$9="P",external_curves!AI17,external_curves!AH17)))</f>
        <v>0</v>
      </c>
      <c r="D33">
        <f t="shared" ca="1" si="0"/>
        <v>0</v>
      </c>
      <c r="E33">
        <f ca="1">IF($A33&lt;$B$21,0,IF($A33&gt;$B$22,0,IF('H-rate_model'!$B$9="P",external_curves!AB17,external_curves!X17)))</f>
        <v>0</v>
      </c>
      <c r="G33" s="64">
        <f t="shared" ca="1" si="1"/>
        <v>0</v>
      </c>
      <c r="H33" s="64">
        <f t="shared" ca="1" si="2"/>
        <v>0</v>
      </c>
      <c r="I33" s="64">
        <f t="shared" ca="1" si="3"/>
        <v>0</v>
      </c>
      <c r="J33" s="64"/>
      <c r="K33" s="64">
        <f t="shared" ca="1" si="4"/>
        <v>0</v>
      </c>
      <c r="L33" s="64">
        <f t="shared" ca="1" si="5"/>
        <v>0</v>
      </c>
    </row>
    <row r="34" spans="1:12" x14ac:dyDescent="0.2">
      <c r="A34" s="26">
        <f ca="1">swap_model!A58</f>
        <v>36708</v>
      </c>
      <c r="B34" s="67">
        <f ca="1">IF($A34&lt;$B$21,0,IF($A34&gt;$B$22,0,Fwd_curves!H102))</f>
        <v>0</v>
      </c>
      <c r="C34">
        <f ca="1">IF($A34&lt;$B$21,0,IF($A34&gt;$B$22,0,IF('H-rate_model'!$B$9="P",external_curves!AI18,external_curves!AH18)))</f>
        <v>0</v>
      </c>
      <c r="D34">
        <f t="shared" ca="1" si="0"/>
        <v>0</v>
      </c>
      <c r="E34">
        <f ca="1">IF($A34&lt;$B$21,0,IF($A34&gt;$B$22,0,IF('H-rate_model'!$B$9="P",external_curves!AB20,external_curves!X20)))</f>
        <v>0</v>
      </c>
      <c r="G34" s="64">
        <f t="shared" ca="1" si="1"/>
        <v>0</v>
      </c>
      <c r="H34" s="64">
        <f t="shared" ca="1" si="2"/>
        <v>0</v>
      </c>
      <c r="I34" s="64">
        <f t="shared" ca="1" si="3"/>
        <v>0</v>
      </c>
      <c r="J34" s="64"/>
      <c r="K34" s="64">
        <f t="shared" ca="1" si="4"/>
        <v>0</v>
      </c>
      <c r="L34" s="64">
        <f t="shared" ca="1" si="5"/>
        <v>0</v>
      </c>
    </row>
    <row r="35" spans="1:12" x14ac:dyDescent="0.2">
      <c r="A35" s="26">
        <f ca="1">swap_model!A59</f>
        <v>36739</v>
      </c>
      <c r="B35" s="67">
        <f ca="1">IF($A35&lt;$B$21,0,IF($A35&gt;$B$22,0,Fwd_curves!H103))</f>
        <v>0</v>
      </c>
      <c r="C35">
        <f ca="1">IF($A35&lt;$B$21,0,IF($A35&gt;$B$22,0,IF('H-rate_model'!$B$9="P",external_curves!AI19,external_curves!AH19)))</f>
        <v>0</v>
      </c>
      <c r="D35">
        <f t="shared" ca="1" si="0"/>
        <v>0</v>
      </c>
      <c r="E35">
        <f ca="1">IF($A35&lt;$B$21,0,IF($A35&gt;$B$22,0,IF('H-rate_model'!$B$9="P",external_curves!AB21,external_curves!X21)))</f>
        <v>0</v>
      </c>
      <c r="G35" s="64">
        <f t="shared" ca="1" si="1"/>
        <v>0</v>
      </c>
      <c r="H35" s="64">
        <f t="shared" ca="1" si="2"/>
        <v>0</v>
      </c>
      <c r="I35" s="64">
        <f t="shared" ca="1" si="3"/>
        <v>0</v>
      </c>
      <c r="J35" s="64"/>
      <c r="K35" s="64">
        <f t="shared" ca="1" si="4"/>
        <v>0</v>
      </c>
      <c r="L35" s="64">
        <f t="shared" ca="1" si="5"/>
        <v>0</v>
      </c>
    </row>
    <row r="36" spans="1:12" x14ac:dyDescent="0.2">
      <c r="A36" s="26">
        <f ca="1">swap_model!A60</f>
        <v>36770</v>
      </c>
      <c r="B36" s="67">
        <f ca="1">IF($A36&lt;$B$21,0,IF($A36&gt;$B$22,0,Fwd_curves!H104))</f>
        <v>0</v>
      </c>
      <c r="C36">
        <f ca="1">IF($A36&lt;$B$21,0,IF($A36&gt;$B$22,0,IF('H-rate_model'!$B$9="P",external_curves!AI20,external_curves!AH20)))</f>
        <v>0</v>
      </c>
      <c r="D36">
        <f t="shared" ca="1" si="0"/>
        <v>0</v>
      </c>
      <c r="E36">
        <f ca="1">IF($A36&lt;$B$21,0,IF($A36&gt;$B$22,0,IF('H-rate_model'!$B$9="P",external_curves!AB22,external_curves!X22)))</f>
        <v>0</v>
      </c>
      <c r="G36" s="64">
        <f t="shared" ca="1" si="1"/>
        <v>0</v>
      </c>
      <c r="H36" s="64">
        <f t="shared" ca="1" si="2"/>
        <v>0</v>
      </c>
      <c r="I36" s="64">
        <f t="shared" ca="1" si="3"/>
        <v>0</v>
      </c>
      <c r="J36" s="64"/>
      <c r="K36" s="64">
        <f t="shared" ca="1" si="4"/>
        <v>0</v>
      </c>
      <c r="L36" s="64">
        <f t="shared" ca="1" si="5"/>
        <v>0</v>
      </c>
    </row>
    <row r="37" spans="1:12" x14ac:dyDescent="0.2">
      <c r="A37" s="26">
        <f ca="1">swap_model!A61</f>
        <v>36800</v>
      </c>
      <c r="B37" s="67">
        <f ca="1">IF($A37&lt;$B$21,0,IF($A37&gt;$B$22,0,Fwd_curves!H105))</f>
        <v>0.91644852943917732</v>
      </c>
      <c r="C37">
        <f ca="1">IF($A37&lt;$B$21,0,IF($A37&gt;$B$22,0,IF('H-rate_model'!$B$9="P",external_curves!AI21,external_curves!AH21)))</f>
        <v>744</v>
      </c>
      <c r="D37">
        <f t="shared" ca="1" si="0"/>
        <v>18600</v>
      </c>
      <c r="E37">
        <f ca="1">IF($A37&lt;$B$21,0,IF($A37&gt;$B$22,0,IF('H-rate_model'!$B$9="P",external_curves!AB23,external_curves!X23)))</f>
        <v>31</v>
      </c>
      <c r="G37" s="64">
        <f t="shared" ca="1" si="1"/>
        <v>-87048</v>
      </c>
      <c r="H37" s="64">
        <f t="shared" ca="1" si="2"/>
        <v>538129.62</v>
      </c>
      <c r="I37" s="64">
        <f t="shared" ca="1" si="3"/>
        <v>-451050</v>
      </c>
      <c r="J37" s="64"/>
      <c r="K37" s="64">
        <f t="shared" ca="1" si="4"/>
        <v>31.619999999995343</v>
      </c>
      <c r="L37" s="64">
        <f t="shared" ca="1" si="5"/>
        <v>28.978102500862519</v>
      </c>
    </row>
    <row r="38" spans="1:12" x14ac:dyDescent="0.2">
      <c r="A38" s="26">
        <f ca="1">swap_model!A62</f>
        <v>36831</v>
      </c>
      <c r="B38" s="67">
        <f ca="1">IF($A38&lt;$B$21,0,IF($A38&gt;$B$22,0,Fwd_curves!H106))</f>
        <v>0</v>
      </c>
      <c r="C38">
        <f ca="1">IF($A38&lt;$B$21,0,IF($A38&gt;$B$22,0,IF('H-rate_model'!$B$9="P",external_curves!AI22,external_curves!AH22)))</f>
        <v>0</v>
      </c>
      <c r="D38">
        <f t="shared" ca="1" si="0"/>
        <v>0</v>
      </c>
      <c r="E38">
        <f ca="1">IF($A38&lt;$B$21,0,IF($A38&gt;$B$22,0,IF('H-rate_model'!$B$9="P",external_curves!AB24,external_curves!X24)))</f>
        <v>0</v>
      </c>
      <c r="G38" s="64">
        <f t="shared" ca="1" si="1"/>
        <v>0</v>
      </c>
      <c r="H38" s="64">
        <f t="shared" ca="1" si="2"/>
        <v>0</v>
      </c>
      <c r="I38" s="64">
        <f t="shared" ca="1" si="3"/>
        <v>0</v>
      </c>
      <c r="J38" s="64"/>
      <c r="K38" s="64">
        <f t="shared" ca="1" si="4"/>
        <v>0</v>
      </c>
      <c r="L38" s="64">
        <f t="shared" ca="1" si="5"/>
        <v>0</v>
      </c>
    </row>
    <row r="39" spans="1:12" x14ac:dyDescent="0.2">
      <c r="A39" s="26">
        <f ca="1">swap_model!A63</f>
        <v>36861</v>
      </c>
      <c r="B39" s="67">
        <f ca="1">IF($A39&lt;$B$21,0,IF($A39&gt;$B$22,0,Fwd_curves!H107))</f>
        <v>0</v>
      </c>
      <c r="C39">
        <f ca="1">IF($A39&lt;$B$21,0,IF($A39&gt;$B$22,0,IF('H-rate_model'!$B$9="P",external_curves!AI23,external_curves!AH23)))</f>
        <v>0</v>
      </c>
      <c r="D39">
        <f t="shared" ca="1" si="0"/>
        <v>0</v>
      </c>
      <c r="E39">
        <f ca="1">IF($A39&lt;$B$21,0,IF($A39&gt;$B$22,0,IF('H-rate_model'!$B$9="P",external_curves!AB25,external_curves!X25)))</f>
        <v>0</v>
      </c>
      <c r="G39" s="64">
        <f t="shared" ca="1" si="1"/>
        <v>0</v>
      </c>
      <c r="H39" s="64">
        <f t="shared" ca="1" si="2"/>
        <v>0</v>
      </c>
      <c r="I39" s="64">
        <f t="shared" ca="1" si="3"/>
        <v>0</v>
      </c>
      <c r="J39" s="64"/>
      <c r="K39" s="64">
        <f t="shared" ca="1" si="4"/>
        <v>0</v>
      </c>
      <c r="L39" s="64">
        <f t="shared" ca="1" si="5"/>
        <v>0</v>
      </c>
    </row>
    <row r="40" spans="1:12" x14ac:dyDescent="0.2">
      <c r="A40" s="26">
        <f ca="1">swap_model!A64</f>
        <v>36892</v>
      </c>
      <c r="B40" s="67">
        <f ca="1">IF($A40&lt;$B$21,0,IF($A40&gt;$B$22,0,Fwd_curves!H108))</f>
        <v>0</v>
      </c>
      <c r="C40">
        <f ca="1">IF($A40&lt;$B$21,0,IF($A40&gt;$B$22,0,IF('H-rate_model'!$B$9="P",external_curves!AI24,external_curves!AH24)))</f>
        <v>0</v>
      </c>
      <c r="D40">
        <f t="shared" ca="1" si="0"/>
        <v>0</v>
      </c>
      <c r="E40">
        <f ca="1">IF($A40&lt;$B$21,0,IF($A40&gt;$B$22,0,IF('H-rate_model'!$B$9="P",external_curves!AB26,external_curves!X26)))</f>
        <v>0</v>
      </c>
      <c r="G40" s="64">
        <f t="shared" ca="1" si="1"/>
        <v>0</v>
      </c>
      <c r="H40" s="64">
        <f t="shared" ca="1" si="2"/>
        <v>0</v>
      </c>
      <c r="I40" s="64">
        <f t="shared" ca="1" si="3"/>
        <v>0</v>
      </c>
      <c r="J40" s="64"/>
      <c r="K40" s="64">
        <f t="shared" ca="1" si="4"/>
        <v>0</v>
      </c>
      <c r="L40" s="64">
        <f t="shared" ca="1" si="5"/>
        <v>0</v>
      </c>
    </row>
    <row r="41" spans="1:12" x14ac:dyDescent="0.2">
      <c r="A41" s="26">
        <f ca="1">swap_model!A65</f>
        <v>36923</v>
      </c>
      <c r="B41" s="67">
        <f ca="1">IF($A41&lt;$B$21,0,IF($A41&gt;$B$22,0,Fwd_curves!H109))</f>
        <v>0</v>
      </c>
      <c r="C41">
        <f ca="1">IF($A41&lt;$B$21,0,IF($A41&gt;$B$22,0,IF('H-rate_model'!$B$9="P",external_curves!AI25,external_curves!AH25)))</f>
        <v>0</v>
      </c>
      <c r="D41">
        <f t="shared" ca="1" si="0"/>
        <v>0</v>
      </c>
      <c r="E41">
        <f ca="1">IF($A41&lt;$B$21,0,IF($A41&gt;$B$22,0,IF('H-rate_model'!$B$9="P",external_curves!AB27,external_curves!X27)))</f>
        <v>0</v>
      </c>
      <c r="G41" s="64">
        <f t="shared" ca="1" si="1"/>
        <v>0</v>
      </c>
      <c r="H41" s="64">
        <f t="shared" ca="1" si="2"/>
        <v>0</v>
      </c>
      <c r="I41" s="64">
        <f t="shared" ca="1" si="3"/>
        <v>0</v>
      </c>
      <c r="J41" s="64"/>
      <c r="K41" s="64">
        <f t="shared" ca="1" si="4"/>
        <v>0</v>
      </c>
      <c r="L41" s="64">
        <f t="shared" ca="1" si="5"/>
        <v>0</v>
      </c>
    </row>
    <row r="42" spans="1:12" x14ac:dyDescent="0.2">
      <c r="A42" s="26">
        <f ca="1">swap_model!A66</f>
        <v>36951</v>
      </c>
      <c r="B42" s="67">
        <f ca="1">IF($A42&lt;$B$21,0,IF($A42&gt;$B$22,0,Fwd_curves!H110))</f>
        <v>0</v>
      </c>
      <c r="C42">
        <f ca="1">IF($A42&lt;$B$21,0,IF($A42&gt;$B$22,0,IF('H-rate_model'!$B$9="P",external_curves!AI26,external_curves!AH26)))</f>
        <v>0</v>
      </c>
      <c r="D42">
        <f t="shared" ca="1" si="0"/>
        <v>0</v>
      </c>
      <c r="E42">
        <f ca="1">IF($A42&lt;$B$21,0,IF($A42&gt;$B$22,0,IF('H-rate_model'!$B$9="P",external_curves!AB28,external_curves!X28)))</f>
        <v>0</v>
      </c>
      <c r="G42" s="64">
        <f t="shared" ca="1" si="1"/>
        <v>0</v>
      </c>
      <c r="H42" s="64">
        <f t="shared" ca="1" si="2"/>
        <v>0</v>
      </c>
      <c r="I42" s="64">
        <f t="shared" ca="1" si="3"/>
        <v>0</v>
      </c>
      <c r="J42" s="64"/>
      <c r="K42" s="64">
        <f t="shared" ca="1" si="4"/>
        <v>0</v>
      </c>
      <c r="L42" s="64">
        <f t="shared" ca="1" si="5"/>
        <v>0</v>
      </c>
    </row>
    <row r="43" spans="1:12" x14ac:dyDescent="0.2">
      <c r="A43" s="26">
        <f ca="1">swap_model!A67</f>
        <v>36982</v>
      </c>
      <c r="B43" s="67">
        <f ca="1">IF($A43&lt;$B$21,0,IF($A43&gt;$B$22,0,Fwd_curves!H111))</f>
        <v>0</v>
      </c>
      <c r="C43">
        <f ca="1">IF($A43&lt;$B$21,0,IF($A43&gt;$B$22,0,IF('H-rate_model'!$B$9="P",external_curves!AI27,external_curves!AH27)))</f>
        <v>0</v>
      </c>
      <c r="D43">
        <f t="shared" ca="1" si="0"/>
        <v>0</v>
      </c>
      <c r="E43">
        <f ca="1">IF($A43&lt;$B$21,0,IF($A43&gt;$B$22,0,IF('H-rate_model'!$B$9="P",external_curves!AB29,external_curves!X29)))</f>
        <v>0</v>
      </c>
      <c r="G43" s="64">
        <f t="shared" ca="1" si="1"/>
        <v>0</v>
      </c>
      <c r="H43" s="64">
        <f t="shared" ca="1" si="2"/>
        <v>0</v>
      </c>
      <c r="I43" s="64">
        <f t="shared" ca="1" si="3"/>
        <v>0</v>
      </c>
      <c r="J43" s="64"/>
      <c r="K43" s="64">
        <f t="shared" ca="1" si="4"/>
        <v>0</v>
      </c>
      <c r="L43" s="64">
        <f t="shared" ca="1" si="5"/>
        <v>0</v>
      </c>
    </row>
    <row r="44" spans="1:12" x14ac:dyDescent="0.2">
      <c r="A44" s="26">
        <f ca="1">swap_model!A68</f>
        <v>37012</v>
      </c>
      <c r="B44" s="67">
        <f ca="1">IF($A44&lt;$B$21,0,IF($A44&gt;$B$22,0,Fwd_curves!H112))</f>
        <v>0</v>
      </c>
      <c r="C44">
        <f ca="1">IF($A44&lt;$B$21,0,IF($A44&gt;$B$22,0,IF('H-rate_model'!$B$9="P",external_curves!AI28,external_curves!AH28)))</f>
        <v>0</v>
      </c>
      <c r="D44">
        <f t="shared" ca="1" si="0"/>
        <v>0</v>
      </c>
      <c r="E44">
        <f ca="1">IF($A44&lt;$B$21,0,IF($A44&gt;$B$22,0,IF('H-rate_model'!$B$9="P",external_curves!AB30,external_curves!X30)))</f>
        <v>0</v>
      </c>
      <c r="G44" s="64">
        <f t="shared" ca="1" si="1"/>
        <v>0</v>
      </c>
      <c r="H44" s="64">
        <f t="shared" ca="1" si="2"/>
        <v>0</v>
      </c>
      <c r="I44" s="64">
        <f t="shared" ca="1" si="3"/>
        <v>0</v>
      </c>
      <c r="J44" s="64"/>
      <c r="K44" s="64">
        <f t="shared" ca="1" si="4"/>
        <v>0</v>
      </c>
      <c r="L44" s="64">
        <f t="shared" ca="1" si="5"/>
        <v>0</v>
      </c>
    </row>
    <row r="45" spans="1:12" x14ac:dyDescent="0.2">
      <c r="A45" s="26">
        <f ca="1">swap_model!A69</f>
        <v>37043</v>
      </c>
      <c r="B45" s="67">
        <f ca="1">IF($A45&lt;$B$21,0,IF($A45&gt;$B$22,0,Fwd_curves!H113))</f>
        <v>0</v>
      </c>
      <c r="C45">
        <f ca="1">IF($A45&lt;$B$21,0,IF($A45&gt;$B$22,0,IF('H-rate_model'!$B$9="P",external_curves!AI29,external_curves!AH29)))</f>
        <v>0</v>
      </c>
      <c r="D45">
        <f t="shared" ca="1" si="0"/>
        <v>0</v>
      </c>
      <c r="E45">
        <f ca="1">IF($A45&lt;$B$21,0,IF($A45&gt;$B$22,0,IF('H-rate_model'!$B$9="P",external_curves!AB31,external_curves!X31)))</f>
        <v>0</v>
      </c>
      <c r="G45" s="64">
        <f t="shared" ca="1" si="1"/>
        <v>0</v>
      </c>
      <c r="H45" s="64">
        <f t="shared" ca="1" si="2"/>
        <v>0</v>
      </c>
      <c r="I45" s="64">
        <f t="shared" ca="1" si="3"/>
        <v>0</v>
      </c>
      <c r="J45" s="64"/>
      <c r="K45" s="64">
        <f t="shared" ca="1" si="4"/>
        <v>0</v>
      </c>
      <c r="L45" s="64">
        <f t="shared" ca="1" si="5"/>
        <v>0</v>
      </c>
    </row>
    <row r="46" spans="1:12" x14ac:dyDescent="0.2">
      <c r="A46" s="26">
        <f ca="1">swap_model!A70</f>
        <v>37073</v>
      </c>
      <c r="B46" s="67">
        <f ca="1">IF($A46&lt;$B$21,0,IF($A46&gt;$B$22,0,Fwd_curves!H114))</f>
        <v>0</v>
      </c>
      <c r="C46">
        <f ca="1">IF($A46&lt;$B$21,0,IF($A46&gt;$B$22,0,IF('H-rate_model'!$B$9="P",external_curves!AI30,external_curves!AH30)))</f>
        <v>0</v>
      </c>
      <c r="D46">
        <f t="shared" ca="1" si="0"/>
        <v>0</v>
      </c>
      <c r="E46">
        <f ca="1">IF($A46&lt;$B$21,0,IF($A46&gt;$B$22,0,IF('H-rate_model'!$B$9="P",external_curves!AB32,external_curves!X32)))</f>
        <v>0</v>
      </c>
      <c r="G46" s="64">
        <f t="shared" ca="1" si="1"/>
        <v>0</v>
      </c>
      <c r="H46" s="64">
        <f t="shared" ca="1" si="2"/>
        <v>0</v>
      </c>
      <c r="I46" s="64">
        <f t="shared" ca="1" si="3"/>
        <v>0</v>
      </c>
      <c r="J46" s="64"/>
      <c r="K46" s="64">
        <f t="shared" ca="1" si="4"/>
        <v>0</v>
      </c>
      <c r="L46" s="64">
        <f t="shared" ca="1" si="5"/>
        <v>0</v>
      </c>
    </row>
    <row r="47" spans="1:12" x14ac:dyDescent="0.2">
      <c r="A47" s="26">
        <f ca="1">swap_model!A71</f>
        <v>37104</v>
      </c>
      <c r="B47" s="67">
        <f ca="1">IF($A47&lt;$B$21,0,IF($A47&gt;$B$22,0,Fwd_curves!H115))</f>
        <v>0</v>
      </c>
      <c r="C47">
        <f ca="1">IF($A47&lt;$B$21,0,IF($A47&gt;$B$22,0,IF('H-rate_model'!$B$9="P",external_curves!AI31,external_curves!AH31)))</f>
        <v>0</v>
      </c>
      <c r="D47">
        <f t="shared" ca="1" si="0"/>
        <v>0</v>
      </c>
      <c r="E47">
        <f ca="1">IF($A47&lt;$B$21,0,IF($A47&gt;$B$22,0,IF('H-rate_model'!$B$9="P",external_curves!AB33,external_curves!X33)))</f>
        <v>0</v>
      </c>
      <c r="G47" s="64">
        <f t="shared" ca="1" si="1"/>
        <v>0</v>
      </c>
      <c r="H47" s="64">
        <f t="shared" ca="1" si="2"/>
        <v>0</v>
      </c>
      <c r="I47" s="64">
        <f t="shared" ca="1" si="3"/>
        <v>0</v>
      </c>
      <c r="J47" s="64"/>
      <c r="K47" s="64">
        <f t="shared" ca="1" si="4"/>
        <v>0</v>
      </c>
      <c r="L47" s="64">
        <f t="shared" ca="1" si="5"/>
        <v>0</v>
      </c>
    </row>
    <row r="48" spans="1:12" x14ac:dyDescent="0.2">
      <c r="A48" s="26">
        <f ca="1">swap_model!A72</f>
        <v>37135</v>
      </c>
      <c r="B48" s="67">
        <f ca="1">IF($A48&lt;$B$21,0,IF($A48&gt;$B$22,0,Fwd_curves!H116))</f>
        <v>0</v>
      </c>
      <c r="C48">
        <f ca="1">IF($A48&lt;$B$21,0,IF($A48&gt;$B$22,0,IF('H-rate_model'!$B$9="P",external_curves!AI32,external_curves!AH32)))</f>
        <v>0</v>
      </c>
      <c r="D48">
        <f t="shared" ca="1" si="0"/>
        <v>0</v>
      </c>
      <c r="E48">
        <f ca="1">IF($A48&lt;$B$21,0,IF($A48&gt;$B$22,0,IF('H-rate_model'!$B$9="P",external_curves!AB34,external_curves!X34)))</f>
        <v>0</v>
      </c>
      <c r="G48" s="64">
        <f t="shared" ca="1" si="1"/>
        <v>0</v>
      </c>
      <c r="H48" s="64">
        <f t="shared" ca="1" si="2"/>
        <v>0</v>
      </c>
      <c r="I48" s="64">
        <f t="shared" ca="1" si="3"/>
        <v>0</v>
      </c>
      <c r="J48" s="64"/>
      <c r="K48" s="64">
        <f t="shared" ca="1" si="4"/>
        <v>0</v>
      </c>
      <c r="L48" s="64">
        <f t="shared" ca="1" si="5"/>
        <v>0</v>
      </c>
    </row>
    <row r="49" spans="1:12" x14ac:dyDescent="0.2">
      <c r="A49" s="26">
        <f ca="1">swap_model!A73</f>
        <v>37165</v>
      </c>
      <c r="B49" s="67">
        <f ca="1">IF($A49&lt;$B$21,0,IF($A49&gt;$B$22,0,Fwd_curves!H117))</f>
        <v>0</v>
      </c>
      <c r="C49">
        <f ca="1">IF($A49&lt;$B$21,0,IF($A49&gt;$B$22,0,IF('H-rate_model'!$B$9="P",external_curves!AI33,external_curves!AH33)))</f>
        <v>0</v>
      </c>
      <c r="D49">
        <f t="shared" ca="1" si="0"/>
        <v>0</v>
      </c>
      <c r="E49">
        <f ca="1">IF($A49&lt;$B$21,0,IF($A49&gt;$B$22,0,IF('H-rate_model'!$B$9="P",external_curves!AB35,external_curves!X35)))</f>
        <v>0</v>
      </c>
      <c r="G49" s="64">
        <f t="shared" ca="1" si="1"/>
        <v>0</v>
      </c>
      <c r="H49" s="64">
        <f t="shared" ca="1" si="2"/>
        <v>0</v>
      </c>
      <c r="I49" s="64">
        <f t="shared" ca="1" si="3"/>
        <v>0</v>
      </c>
      <c r="J49" s="64"/>
      <c r="K49" s="64">
        <f t="shared" ca="1" si="4"/>
        <v>0</v>
      </c>
      <c r="L49" s="64">
        <f t="shared" ca="1" si="5"/>
        <v>0</v>
      </c>
    </row>
    <row r="50" spans="1:12" x14ac:dyDescent="0.2">
      <c r="A50" s="26">
        <f ca="1">swap_model!A74</f>
        <v>37196</v>
      </c>
      <c r="B50" s="67">
        <f ca="1">IF($A50&lt;$B$21,0,IF($A50&gt;$B$22,0,Fwd_curves!H118))</f>
        <v>0</v>
      </c>
      <c r="C50">
        <f ca="1">IF($A50&lt;$B$21,0,IF($A50&gt;$B$22,0,IF('H-rate_model'!$B$9="P",external_curves!AI34,external_curves!AH34)))</f>
        <v>0</v>
      </c>
      <c r="D50">
        <f t="shared" ca="1" si="0"/>
        <v>0</v>
      </c>
      <c r="E50">
        <f ca="1">IF($A50&lt;$B$21,0,IF($A50&gt;$B$22,0,IF('H-rate_model'!$B$9="P",external_curves!AB36,external_curves!X36)))</f>
        <v>0</v>
      </c>
      <c r="G50" s="64">
        <f t="shared" ca="1" si="1"/>
        <v>0</v>
      </c>
      <c r="H50" s="64">
        <f t="shared" ca="1" si="2"/>
        <v>0</v>
      </c>
      <c r="I50" s="64">
        <f t="shared" ca="1" si="3"/>
        <v>0</v>
      </c>
      <c r="J50" s="64"/>
      <c r="K50" s="64">
        <f t="shared" ca="1" si="4"/>
        <v>0</v>
      </c>
      <c r="L50" s="64">
        <f t="shared" ca="1" si="5"/>
        <v>0</v>
      </c>
    </row>
    <row r="51" spans="1:12" x14ac:dyDescent="0.2">
      <c r="A51" s="26">
        <f ca="1">swap_model!A75</f>
        <v>37226</v>
      </c>
      <c r="B51" s="67">
        <f ca="1">IF($A51&lt;$B$21,0,IF($A51&gt;$B$22,0,Fwd_curves!H119))</f>
        <v>0</v>
      </c>
      <c r="C51">
        <f ca="1">IF($A51&lt;$B$21,0,IF($A51&gt;$B$22,0,IF('H-rate_model'!$B$9="P",external_curves!AI35,external_curves!AH35)))</f>
        <v>0</v>
      </c>
      <c r="D51">
        <f t="shared" ca="1" si="0"/>
        <v>0</v>
      </c>
      <c r="E51">
        <f ca="1">IF($A51&lt;$B$21,0,IF($A51&gt;$B$22,0,IF('H-rate_model'!$B$9="P",external_curves!AB37,external_curves!X37)))</f>
        <v>0</v>
      </c>
      <c r="G51" s="64">
        <f t="shared" ca="1" si="1"/>
        <v>0</v>
      </c>
      <c r="H51" s="64">
        <f t="shared" ca="1" si="2"/>
        <v>0</v>
      </c>
      <c r="I51" s="64">
        <f t="shared" ca="1" si="3"/>
        <v>0</v>
      </c>
      <c r="J51" s="64"/>
      <c r="K51" s="64">
        <f t="shared" ca="1" si="4"/>
        <v>0</v>
      </c>
      <c r="L51" s="64">
        <f t="shared" ca="1" si="5"/>
        <v>0</v>
      </c>
    </row>
    <row r="52" spans="1:12" x14ac:dyDescent="0.2">
      <c r="A52" s="26"/>
    </row>
    <row r="53" spans="1:12" x14ac:dyDescent="0.2">
      <c r="A53" s="26"/>
    </row>
    <row r="54" spans="1:12" ht="15.75" x14ac:dyDescent="0.25">
      <c r="A54" s="29" t="s">
        <v>178</v>
      </c>
    </row>
    <row r="55" spans="1:12" x14ac:dyDescent="0.2">
      <c r="A55" t="s">
        <v>186</v>
      </c>
    </row>
    <row r="56" spans="1:12" ht="15.75" x14ac:dyDescent="0.25">
      <c r="A56" s="29" t="s">
        <v>44</v>
      </c>
      <c r="F56" s="29" t="s">
        <v>161</v>
      </c>
    </row>
    <row r="58" spans="1:12" x14ac:dyDescent="0.2">
      <c r="A58" t="s">
        <v>154</v>
      </c>
      <c r="B58" s="32">
        <v>25</v>
      </c>
      <c r="F58" t="s">
        <v>184</v>
      </c>
      <c r="G58" s="12">
        <f>B60*B62</f>
        <v>58.33</v>
      </c>
    </row>
    <row r="59" spans="1:12" x14ac:dyDescent="0.2">
      <c r="A59" t="s">
        <v>157</v>
      </c>
      <c r="B59" s="71">
        <f ca="1">SUM(D76:D99)</f>
        <v>-10400</v>
      </c>
    </row>
    <row r="60" spans="1:12" ht="15" x14ac:dyDescent="0.2">
      <c r="A60" s="47" t="s">
        <v>179</v>
      </c>
      <c r="B60" s="70">
        <v>19</v>
      </c>
      <c r="F60" t="s">
        <v>163</v>
      </c>
      <c r="G60" s="74">
        <v>2</v>
      </c>
    </row>
    <row r="61" spans="1:12" ht="15" x14ac:dyDescent="0.2">
      <c r="A61" s="47" t="s">
        <v>24</v>
      </c>
      <c r="B61" s="68" t="s">
        <v>212</v>
      </c>
      <c r="C61" t="s">
        <v>152</v>
      </c>
      <c r="F61" t="s">
        <v>164</v>
      </c>
      <c r="G61" s="74">
        <v>255</v>
      </c>
    </row>
    <row r="62" spans="1:12" ht="15" x14ac:dyDescent="0.2">
      <c r="A62" s="47" t="s">
        <v>181</v>
      </c>
      <c r="B62" s="69">
        <v>3.07</v>
      </c>
      <c r="C62" s="47" t="s">
        <v>150</v>
      </c>
      <c r="F62" t="s">
        <v>162</v>
      </c>
      <c r="G62" s="64" t="e">
        <f ca="1">SUM(L76:L99)</f>
        <v>#REF!</v>
      </c>
    </row>
    <row r="63" spans="1:12" ht="15" x14ac:dyDescent="0.2">
      <c r="A63" s="47" t="s">
        <v>180</v>
      </c>
      <c r="B63" s="75">
        <v>60</v>
      </c>
      <c r="C63" s="47"/>
    </row>
    <row r="64" spans="1:12" ht="15" x14ac:dyDescent="0.2">
      <c r="A64" s="47" t="s">
        <v>185</v>
      </c>
      <c r="B64" s="76">
        <f>B63/B62</f>
        <v>19.54397394136808</v>
      </c>
      <c r="C64" s="47"/>
    </row>
    <row r="65" spans="1:13" ht="15" x14ac:dyDescent="0.2">
      <c r="A65" s="47" t="s">
        <v>153</v>
      </c>
      <c r="B65" s="71">
        <f ca="1">B60*B59</f>
        <v>-197600</v>
      </c>
      <c r="C65" s="47" t="s">
        <v>158</v>
      </c>
    </row>
    <row r="66" spans="1:13" ht="15" x14ac:dyDescent="0.2">
      <c r="A66" s="47" t="s">
        <v>9</v>
      </c>
      <c r="B66" s="71" t="e">
        <f ca="1">SUM(E76:E99)</f>
        <v>#REF!</v>
      </c>
      <c r="C66" s="47"/>
    </row>
    <row r="67" spans="1:13" ht="15" x14ac:dyDescent="0.2">
      <c r="A67" s="47" t="s">
        <v>159</v>
      </c>
      <c r="B67" s="72" t="e">
        <f ca="1">B65/B66</f>
        <v>#REF!</v>
      </c>
      <c r="C67" s="47"/>
    </row>
    <row r="69" spans="1:13" ht="15" x14ac:dyDescent="0.2">
      <c r="A69" s="47" t="s">
        <v>78</v>
      </c>
      <c r="B69" s="73">
        <v>36586</v>
      </c>
    </row>
    <row r="70" spans="1:13" ht="15" x14ac:dyDescent="0.2">
      <c r="A70" s="47" t="s">
        <v>79</v>
      </c>
      <c r="B70" s="73">
        <v>36586</v>
      </c>
    </row>
    <row r="71" spans="1:13" ht="15" x14ac:dyDescent="0.2">
      <c r="A71" s="47" t="s">
        <v>80</v>
      </c>
      <c r="B71" s="15">
        <f ca="1">COUNTIF(B76:B99,"&gt;0")</f>
        <v>1</v>
      </c>
    </row>
    <row r="73" spans="1:13" x14ac:dyDescent="0.2">
      <c r="G73" t="s">
        <v>176</v>
      </c>
    </row>
    <row r="74" spans="1:13" x14ac:dyDescent="0.2">
      <c r="G74" t="s">
        <v>166</v>
      </c>
      <c r="H74" t="s">
        <v>168</v>
      </c>
      <c r="I74" t="s">
        <v>170</v>
      </c>
    </row>
    <row r="75" spans="1:13" x14ac:dyDescent="0.2">
      <c r="A75" t="s">
        <v>16</v>
      </c>
      <c r="B75" t="s">
        <v>12</v>
      </c>
      <c r="C75" t="s">
        <v>155</v>
      </c>
      <c r="D75" t="s">
        <v>156</v>
      </c>
      <c r="E75" t="s">
        <v>9</v>
      </c>
      <c r="G75" t="s">
        <v>167</v>
      </c>
      <c r="H75" t="s">
        <v>171</v>
      </c>
      <c r="I75" t="s">
        <v>182</v>
      </c>
      <c r="K75" t="s">
        <v>172</v>
      </c>
      <c r="L75" t="s">
        <v>173</v>
      </c>
      <c r="M75" t="s">
        <v>189</v>
      </c>
    </row>
    <row r="76" spans="1:13" x14ac:dyDescent="0.2">
      <c r="A76" s="26">
        <f ca="1">swap_model!A52</f>
        <v>36526</v>
      </c>
      <c r="B76" s="67">
        <f ca="1">IF($A76&lt;$B$69,0,IF($A76&gt;$B$70,0,Fwd_curves!H96))</f>
        <v>0</v>
      </c>
      <c r="C76">
        <f ca="1">IF($A76&lt;$B$69,0,IF($A76&gt;$B$70,0,IF('H-rate_model'!$B$61="P",external_curves!AI14,external_curves!AH14)))</f>
        <v>0</v>
      </c>
      <c r="D76">
        <f ca="1">C76*$B$6</f>
        <v>0</v>
      </c>
      <c r="E76">
        <f ca="1">IF($A76&lt;$B$69,0,IF($A76&gt;$B$70,0,IF('H-rate_model'!$B$9="P",external_curves!AB15,external_curves!X15)))</f>
        <v>0</v>
      </c>
      <c r="G76" s="64">
        <f ca="1">D76*(($G$61-($B$60*$G$60)))</f>
        <v>0</v>
      </c>
      <c r="H76" s="64" t="e">
        <f ca="1">($B$67*E76)*($G$60-$B$62)</f>
        <v>#REF!</v>
      </c>
      <c r="I76" s="64">
        <f ca="1">D76*($B$63-$G$61)</f>
        <v>0</v>
      </c>
      <c r="J76" s="64"/>
      <c r="K76" s="64" t="e">
        <f ca="1">SUM(G76:I76)</f>
        <v>#REF!</v>
      </c>
      <c r="L76" s="64" t="e">
        <f ca="1">K76*B76</f>
        <v>#REF!</v>
      </c>
      <c r="M76" s="12">
        <f ca="1">D76*(($B$64-$B$60)*$G$60)</f>
        <v>0</v>
      </c>
    </row>
    <row r="77" spans="1:13" x14ac:dyDescent="0.2">
      <c r="A77" s="26">
        <f ca="1">swap_model!A53</f>
        <v>36557</v>
      </c>
      <c r="B77" s="67">
        <f ca="1">IF($A77&lt;$B$69,0,IF($A77&gt;$B$70,0,Fwd_curves!H97))</f>
        <v>0</v>
      </c>
      <c r="C77">
        <f ca="1">IF($A77&lt;$B$69,0,IF($A77&gt;$B$70,0,IF('H-rate_model'!$B$61="P",external_curves!AI15,external_curves!AH15)))</f>
        <v>0</v>
      </c>
      <c r="D77">
        <f t="shared" ref="D77:D99" ca="1" si="6">C77*$B$6</f>
        <v>0</v>
      </c>
      <c r="E77">
        <f ca="1">IF($A77&lt;$B$69,0,IF($A77&gt;$B$70,0,IF('H-rate_model'!$B$9="P",external_curves!AB16,external_curves!X16)))</f>
        <v>0</v>
      </c>
      <c r="G77" s="64">
        <f t="shared" ref="G77:G99" ca="1" si="7">D77*(($G$61-($B$60*$G$60)))</f>
        <v>0</v>
      </c>
      <c r="H77" s="64" t="e">
        <f t="shared" ref="H77:H99" ca="1" si="8">($B$67*E77)*($G$60-$B$62)</f>
        <v>#REF!</v>
      </c>
      <c r="I77" s="64">
        <f t="shared" ref="I77:I99" ca="1" si="9">D77*($B$63-$G$61)</f>
        <v>0</v>
      </c>
      <c r="J77" s="64"/>
      <c r="K77" s="64" t="e">
        <f t="shared" ref="K77:K99" ca="1" si="10">SUM(G77:I77)</f>
        <v>#REF!</v>
      </c>
      <c r="L77" s="64" t="e">
        <f t="shared" ref="L77:L99" ca="1" si="11">K77*B77</f>
        <v>#REF!</v>
      </c>
      <c r="M77" s="12" t="e">
        <f ca="1">(($B$64-$B$60)*$G$60)*$B$67*E76</f>
        <v>#REF!</v>
      </c>
    </row>
    <row r="78" spans="1:13" x14ac:dyDescent="0.2">
      <c r="A78" s="26">
        <f ca="1">swap_model!A54</f>
        <v>36586</v>
      </c>
      <c r="B78" s="67">
        <f ca="1">IF($A78&lt;$B$69,0,IF($A78&gt;$B$70,0,Fwd_curves!H98))</f>
        <v>0.94978734582703972</v>
      </c>
      <c r="C78">
        <f ca="1">IF($A78&lt;$B$69,0,IF($A78&gt;$B$70,0,IF('H-rate_model'!$B$61="P",external_curves!AI16,external_curves!AH16)))</f>
        <v>-416</v>
      </c>
      <c r="D78">
        <f t="shared" ca="1" si="6"/>
        <v>-10400</v>
      </c>
      <c r="E78" t="e">
        <f ca="1">IF($A78&lt;$B$69,0,IF($A78&gt;$B$70,0,IF('H-rate_model'!$B$9="P",external_curves!#REF!,external_curves!#REF!)))</f>
        <v>#REF!</v>
      </c>
      <c r="G78" s="64">
        <f t="shared" ca="1" si="7"/>
        <v>-2256800</v>
      </c>
      <c r="H78" s="64" t="e">
        <f t="shared" ca="1" si="8"/>
        <v>#REF!</v>
      </c>
      <c r="I78" s="64">
        <f t="shared" ca="1" si="9"/>
        <v>2028000</v>
      </c>
      <c r="J78" s="64"/>
      <c r="K78" s="64" t="e">
        <f t="shared" ca="1" si="10"/>
        <v>#REF!</v>
      </c>
      <c r="L78" s="64" t="e">
        <f t="shared" ca="1" si="11"/>
        <v>#REF!</v>
      </c>
      <c r="M78" s="12">
        <f t="shared" ref="M78:M99" ca="1" si="12">D78*(($B$64-$B$60)*$G$60)</f>
        <v>-11314.657980456059</v>
      </c>
    </row>
    <row r="79" spans="1:13" x14ac:dyDescent="0.2">
      <c r="A79" s="26">
        <f ca="1">swap_model!A55</f>
        <v>36617</v>
      </c>
      <c r="B79" s="67">
        <f ca="1">IF($A79&lt;$B$69,0,IF($A79&gt;$B$70,0,Fwd_curves!H99))</f>
        <v>0</v>
      </c>
      <c r="C79">
        <f ca="1">IF($A79&lt;$B$69,0,IF($A79&gt;$B$70,0,IF('H-rate_model'!$B$61="P",external_curves!#REF!,external_curves!#REF!)))</f>
        <v>0</v>
      </c>
      <c r="D79">
        <f t="shared" ca="1" si="6"/>
        <v>0</v>
      </c>
      <c r="E79">
        <f ca="1">IF($A79&lt;$B$69,0,IF($A79&gt;$B$70,0,IF('H-rate_model'!$B$9="P",external_curves!AB17,external_curves!X17)))</f>
        <v>0</v>
      </c>
      <c r="G79" s="64">
        <f t="shared" ca="1" si="7"/>
        <v>0</v>
      </c>
      <c r="H79" s="64" t="e">
        <f t="shared" ca="1" si="8"/>
        <v>#REF!</v>
      </c>
      <c r="I79" s="64">
        <f t="shared" ca="1" si="9"/>
        <v>0</v>
      </c>
      <c r="J79" s="64"/>
      <c r="K79" s="64" t="e">
        <f t="shared" ca="1" si="10"/>
        <v>#REF!</v>
      </c>
      <c r="L79" s="64" t="e">
        <f t="shared" ca="1" si="11"/>
        <v>#REF!</v>
      </c>
      <c r="M79" s="12">
        <f t="shared" ca="1" si="12"/>
        <v>0</v>
      </c>
    </row>
    <row r="80" spans="1:13" x14ac:dyDescent="0.2">
      <c r="A80" s="26">
        <f ca="1">swap_model!A56</f>
        <v>36647</v>
      </c>
      <c r="B80" s="67">
        <f ca="1">IF($A80&lt;$B$69,0,IF($A80&gt;$B$70,0,Fwd_curves!H100))</f>
        <v>0</v>
      </c>
      <c r="C80">
        <f ca="1">IF($A80&lt;$B$69,0,IF($A80&gt;$B$70,0,IF('H-rate_model'!$B$61="P",external_curves!AI17,external_curves!AH17)))</f>
        <v>0</v>
      </c>
      <c r="D80">
        <f t="shared" ca="1" si="6"/>
        <v>0</v>
      </c>
      <c r="E80">
        <f ca="1">IF($A80&lt;$B$69,0,IF($A80&gt;$B$70,0,IF('H-rate_model'!$B$9="P",external_curves!AB18,external_curves!X18)))</f>
        <v>0</v>
      </c>
      <c r="G80" s="64">
        <f t="shared" ca="1" si="7"/>
        <v>0</v>
      </c>
      <c r="H80" s="64" t="e">
        <f t="shared" ca="1" si="8"/>
        <v>#REF!</v>
      </c>
      <c r="I80" s="64">
        <f t="shared" ca="1" si="9"/>
        <v>0</v>
      </c>
      <c r="J80" s="64"/>
      <c r="K80" s="64" t="e">
        <f t="shared" ca="1" si="10"/>
        <v>#REF!</v>
      </c>
      <c r="L80" s="64" t="e">
        <f t="shared" ca="1" si="11"/>
        <v>#REF!</v>
      </c>
      <c r="M80" s="12">
        <f t="shared" ca="1" si="12"/>
        <v>0</v>
      </c>
    </row>
    <row r="81" spans="1:13" x14ac:dyDescent="0.2">
      <c r="A81" s="26">
        <f ca="1">swap_model!A57</f>
        <v>36678</v>
      </c>
      <c r="B81" s="67">
        <f ca="1">IF($A81&lt;$B$69,0,IF($A81&gt;$B$70,0,Fwd_curves!H101))</f>
        <v>0</v>
      </c>
      <c r="C81">
        <f ca="1">IF($A81&lt;$B$69,0,IF($A81&gt;$B$70,0,IF('H-rate_model'!$B$61="P",external_curves!AI18,external_curves!AH18)))</f>
        <v>0</v>
      </c>
      <c r="D81">
        <f t="shared" ca="1" si="6"/>
        <v>0</v>
      </c>
      <c r="E81">
        <f ca="1">IF($A81&lt;$B$69,0,IF($A81&gt;$B$70,0,IF('H-rate_model'!$B$9="P",external_curves!AB19,external_curves!X19)))</f>
        <v>0</v>
      </c>
      <c r="G81" s="64">
        <f t="shared" ca="1" si="7"/>
        <v>0</v>
      </c>
      <c r="H81" s="64" t="e">
        <f t="shared" ca="1" si="8"/>
        <v>#REF!</v>
      </c>
      <c r="I81" s="64">
        <f t="shared" ca="1" si="9"/>
        <v>0</v>
      </c>
      <c r="J81" s="64"/>
      <c r="K81" s="64" t="e">
        <f t="shared" ca="1" si="10"/>
        <v>#REF!</v>
      </c>
      <c r="L81" s="64" t="e">
        <f t="shared" ca="1" si="11"/>
        <v>#REF!</v>
      </c>
      <c r="M81" s="12">
        <f t="shared" ca="1" si="12"/>
        <v>0</v>
      </c>
    </row>
    <row r="82" spans="1:13" x14ac:dyDescent="0.2">
      <c r="A82" s="26">
        <f ca="1">swap_model!A58</f>
        <v>36708</v>
      </c>
      <c r="B82" s="67">
        <f ca="1">IF($A82&lt;$B$69,0,IF($A82&gt;$B$70,0,Fwd_curves!H102))</f>
        <v>0</v>
      </c>
      <c r="C82">
        <f ca="1">IF($A82&lt;$B$69,0,IF($A82&gt;$B$70,0,IF('H-rate_model'!$B$61="P",external_curves!AI19,external_curves!AH19)))</f>
        <v>0</v>
      </c>
      <c r="D82">
        <f t="shared" ca="1" si="6"/>
        <v>0</v>
      </c>
      <c r="E82">
        <f ca="1">IF($A82&lt;$B$69,0,IF($A82&gt;$B$70,0,IF('H-rate_model'!$B$9="P",external_curves!AB20,external_curves!X20)))</f>
        <v>0</v>
      </c>
      <c r="G82" s="64">
        <f t="shared" ca="1" si="7"/>
        <v>0</v>
      </c>
      <c r="H82" s="64" t="e">
        <f t="shared" ca="1" si="8"/>
        <v>#REF!</v>
      </c>
      <c r="I82" s="64">
        <f t="shared" ca="1" si="9"/>
        <v>0</v>
      </c>
      <c r="J82" s="64"/>
      <c r="K82" s="64" t="e">
        <f t="shared" ca="1" si="10"/>
        <v>#REF!</v>
      </c>
      <c r="L82" s="64" t="e">
        <f t="shared" ca="1" si="11"/>
        <v>#REF!</v>
      </c>
      <c r="M82" s="12">
        <f t="shared" ca="1" si="12"/>
        <v>0</v>
      </c>
    </row>
    <row r="83" spans="1:13" x14ac:dyDescent="0.2">
      <c r="A83" s="26">
        <f ca="1">swap_model!A59</f>
        <v>36739</v>
      </c>
      <c r="B83" s="67">
        <f ca="1">IF($A83&lt;$B$69,0,IF($A83&gt;$B$70,0,Fwd_curves!H103))</f>
        <v>0</v>
      </c>
      <c r="C83">
        <f ca="1">IF($A83&lt;$B$69,0,IF($A83&gt;$B$70,0,IF('H-rate_model'!$B$61="P",external_curves!AI20,external_curves!AH20)))</f>
        <v>0</v>
      </c>
      <c r="D83">
        <f t="shared" ca="1" si="6"/>
        <v>0</v>
      </c>
      <c r="E83">
        <f ca="1">IF($A83&lt;$B$69,0,IF($A83&gt;$B$70,0,IF('H-rate_model'!$B$9="P",external_curves!AB21,external_curves!X21)))</f>
        <v>0</v>
      </c>
      <c r="G83" s="64">
        <f t="shared" ca="1" si="7"/>
        <v>0</v>
      </c>
      <c r="H83" s="64" t="e">
        <f t="shared" ca="1" si="8"/>
        <v>#REF!</v>
      </c>
      <c r="I83" s="64">
        <f t="shared" ca="1" si="9"/>
        <v>0</v>
      </c>
      <c r="J83" s="64"/>
      <c r="K83" s="64" t="e">
        <f t="shared" ca="1" si="10"/>
        <v>#REF!</v>
      </c>
      <c r="L83" s="64" t="e">
        <f t="shared" ca="1" si="11"/>
        <v>#REF!</v>
      </c>
      <c r="M83" s="12">
        <f t="shared" ca="1" si="12"/>
        <v>0</v>
      </c>
    </row>
    <row r="84" spans="1:13" x14ac:dyDescent="0.2">
      <c r="A84" s="26">
        <f ca="1">swap_model!A60</f>
        <v>36770</v>
      </c>
      <c r="B84" s="67">
        <f ca="1">IF($A84&lt;$B$69,0,IF($A84&gt;$B$70,0,Fwd_curves!H104))</f>
        <v>0</v>
      </c>
      <c r="C84">
        <f ca="1">IF($A84&lt;$B$69,0,IF($A84&gt;$B$70,0,IF('H-rate_model'!$B$61="P",external_curves!AI21,external_curves!AH21)))</f>
        <v>0</v>
      </c>
      <c r="D84">
        <f t="shared" ca="1" si="6"/>
        <v>0</v>
      </c>
      <c r="E84">
        <f ca="1">IF($A84&lt;$B$69,0,IF($A84&gt;$B$70,0,IF('H-rate_model'!$B$9="P",external_curves!AB22,external_curves!X22)))</f>
        <v>0</v>
      </c>
      <c r="G84" s="64">
        <f t="shared" ca="1" si="7"/>
        <v>0</v>
      </c>
      <c r="H84" s="64" t="e">
        <f t="shared" ca="1" si="8"/>
        <v>#REF!</v>
      </c>
      <c r="I84" s="64">
        <f t="shared" ca="1" si="9"/>
        <v>0</v>
      </c>
      <c r="J84" s="64"/>
      <c r="K84" s="64" t="e">
        <f t="shared" ca="1" si="10"/>
        <v>#REF!</v>
      </c>
      <c r="L84" s="64" t="e">
        <f t="shared" ca="1" si="11"/>
        <v>#REF!</v>
      </c>
      <c r="M84" s="12">
        <f t="shared" ca="1" si="12"/>
        <v>0</v>
      </c>
    </row>
    <row r="85" spans="1:13" x14ac:dyDescent="0.2">
      <c r="A85" s="26">
        <f ca="1">swap_model!A61</f>
        <v>36800</v>
      </c>
      <c r="B85" s="67">
        <f ca="1">IF($A85&lt;$B$69,0,IF($A85&gt;$B$70,0,Fwd_curves!H105))</f>
        <v>0</v>
      </c>
      <c r="C85">
        <f ca="1">IF($A85&lt;$B$69,0,IF($A85&gt;$B$70,0,IF('H-rate_model'!$B$61="P",external_curves!AI22,external_curves!AH22)))</f>
        <v>0</v>
      </c>
      <c r="D85">
        <f t="shared" ca="1" si="6"/>
        <v>0</v>
      </c>
      <c r="E85">
        <f ca="1">IF($A85&lt;$B$69,0,IF($A85&gt;$B$70,0,IF('H-rate_model'!$B$9="P",external_curves!AB23,external_curves!X23)))</f>
        <v>0</v>
      </c>
      <c r="G85" s="64">
        <f t="shared" ca="1" si="7"/>
        <v>0</v>
      </c>
      <c r="H85" s="64" t="e">
        <f t="shared" ca="1" si="8"/>
        <v>#REF!</v>
      </c>
      <c r="I85" s="64">
        <f t="shared" ca="1" si="9"/>
        <v>0</v>
      </c>
      <c r="J85" s="64"/>
      <c r="K85" s="64" t="e">
        <f t="shared" ca="1" si="10"/>
        <v>#REF!</v>
      </c>
      <c r="L85" s="64" t="e">
        <f t="shared" ca="1" si="11"/>
        <v>#REF!</v>
      </c>
      <c r="M85" s="12">
        <f t="shared" ca="1" si="12"/>
        <v>0</v>
      </c>
    </row>
    <row r="86" spans="1:13" x14ac:dyDescent="0.2">
      <c r="A86" s="26">
        <f ca="1">swap_model!A62</f>
        <v>36831</v>
      </c>
      <c r="B86" s="67">
        <f ca="1">IF($A86&lt;$B$69,0,IF($A86&gt;$B$70,0,Fwd_curves!H106))</f>
        <v>0</v>
      </c>
      <c r="C86">
        <f ca="1">IF($A86&lt;$B$69,0,IF($A86&gt;$B$70,0,IF('H-rate_model'!$B$61="P",external_curves!AI23,external_curves!AH23)))</f>
        <v>0</v>
      </c>
      <c r="D86">
        <f t="shared" ca="1" si="6"/>
        <v>0</v>
      </c>
      <c r="E86">
        <f ca="1">IF($A86&lt;$B$69,0,IF($A86&gt;$B$70,0,IF('H-rate_model'!$B$9="P",external_curves!AB24,external_curves!X24)))</f>
        <v>0</v>
      </c>
      <c r="G86" s="64">
        <f t="shared" ca="1" si="7"/>
        <v>0</v>
      </c>
      <c r="H86" s="64" t="e">
        <f t="shared" ca="1" si="8"/>
        <v>#REF!</v>
      </c>
      <c r="I86" s="64">
        <f t="shared" ca="1" si="9"/>
        <v>0</v>
      </c>
      <c r="J86" s="64"/>
      <c r="K86" s="64" t="e">
        <f t="shared" ca="1" si="10"/>
        <v>#REF!</v>
      </c>
      <c r="L86" s="64" t="e">
        <f t="shared" ca="1" si="11"/>
        <v>#REF!</v>
      </c>
      <c r="M86" s="12">
        <f t="shared" ca="1" si="12"/>
        <v>0</v>
      </c>
    </row>
    <row r="87" spans="1:13" x14ac:dyDescent="0.2">
      <c r="A87" s="26">
        <f ca="1">swap_model!A63</f>
        <v>36861</v>
      </c>
      <c r="B87" s="67">
        <f ca="1">IF($A87&lt;$B$69,0,IF($A87&gt;$B$70,0,Fwd_curves!H107))</f>
        <v>0</v>
      </c>
      <c r="C87">
        <f ca="1">IF($A87&lt;$B$69,0,IF($A87&gt;$B$70,0,IF('H-rate_model'!$B$61="P",external_curves!AI24,external_curves!AH24)))</f>
        <v>0</v>
      </c>
      <c r="D87">
        <f t="shared" ca="1" si="6"/>
        <v>0</v>
      </c>
      <c r="E87">
        <f ca="1">IF($A87&lt;$B$69,0,IF($A87&gt;$B$70,0,IF('H-rate_model'!$B$9="P",external_curves!AB25,external_curves!X25)))</f>
        <v>0</v>
      </c>
      <c r="G87" s="64">
        <f t="shared" ca="1" si="7"/>
        <v>0</v>
      </c>
      <c r="H87" s="64" t="e">
        <f t="shared" ca="1" si="8"/>
        <v>#REF!</v>
      </c>
      <c r="I87" s="64">
        <f t="shared" ca="1" si="9"/>
        <v>0</v>
      </c>
      <c r="J87" s="64"/>
      <c r="K87" s="64" t="e">
        <f t="shared" ca="1" si="10"/>
        <v>#REF!</v>
      </c>
      <c r="L87" s="64" t="e">
        <f t="shared" ca="1" si="11"/>
        <v>#REF!</v>
      </c>
      <c r="M87" s="12">
        <f t="shared" ca="1" si="12"/>
        <v>0</v>
      </c>
    </row>
    <row r="88" spans="1:13" x14ac:dyDescent="0.2">
      <c r="A88" s="26">
        <f ca="1">swap_model!A64</f>
        <v>36892</v>
      </c>
      <c r="B88" s="67">
        <f ca="1">IF($A88&lt;$B$69,0,IF($A88&gt;$B$70,0,Fwd_curves!H108))</f>
        <v>0</v>
      </c>
      <c r="C88">
        <f ca="1">IF($A88&lt;$B$69,0,IF($A88&gt;$B$70,0,IF('H-rate_model'!$B$61="P",external_curves!AI25,external_curves!AH25)))</f>
        <v>0</v>
      </c>
      <c r="D88">
        <f t="shared" ca="1" si="6"/>
        <v>0</v>
      </c>
      <c r="E88">
        <f ca="1">IF($A88&lt;$B$69,0,IF($A88&gt;$B$70,0,IF('H-rate_model'!$B$9="P",external_curves!AB26,external_curves!X26)))</f>
        <v>0</v>
      </c>
      <c r="G88" s="64">
        <f t="shared" ca="1" si="7"/>
        <v>0</v>
      </c>
      <c r="H88" s="64" t="e">
        <f t="shared" ca="1" si="8"/>
        <v>#REF!</v>
      </c>
      <c r="I88" s="64">
        <f t="shared" ca="1" si="9"/>
        <v>0</v>
      </c>
      <c r="J88" s="64"/>
      <c r="K88" s="64" t="e">
        <f t="shared" ca="1" si="10"/>
        <v>#REF!</v>
      </c>
      <c r="L88" s="64" t="e">
        <f t="shared" ca="1" si="11"/>
        <v>#REF!</v>
      </c>
      <c r="M88" s="12">
        <f t="shared" ca="1" si="12"/>
        <v>0</v>
      </c>
    </row>
    <row r="89" spans="1:13" x14ac:dyDescent="0.2">
      <c r="A89" s="26">
        <f ca="1">swap_model!A65</f>
        <v>36923</v>
      </c>
      <c r="B89" s="67">
        <f ca="1">IF($A89&lt;$B$69,0,IF($A89&gt;$B$70,0,Fwd_curves!H109))</f>
        <v>0</v>
      </c>
      <c r="C89">
        <f ca="1">IF($A89&lt;$B$69,0,IF($A89&gt;$B$70,0,IF('H-rate_model'!$B$61="P",external_curves!AI26,external_curves!AH26)))</f>
        <v>0</v>
      </c>
      <c r="D89">
        <f t="shared" ca="1" si="6"/>
        <v>0</v>
      </c>
      <c r="E89">
        <f ca="1">IF($A89&lt;$B$69,0,IF($A89&gt;$B$70,0,IF('H-rate_model'!$B$9="P",external_curves!AB27,external_curves!X27)))</f>
        <v>0</v>
      </c>
      <c r="G89" s="64">
        <f t="shared" ca="1" si="7"/>
        <v>0</v>
      </c>
      <c r="H89" s="64" t="e">
        <f t="shared" ca="1" si="8"/>
        <v>#REF!</v>
      </c>
      <c r="I89" s="64">
        <f t="shared" ca="1" si="9"/>
        <v>0</v>
      </c>
      <c r="J89" s="64"/>
      <c r="K89" s="64" t="e">
        <f t="shared" ca="1" si="10"/>
        <v>#REF!</v>
      </c>
      <c r="L89" s="64" t="e">
        <f t="shared" ca="1" si="11"/>
        <v>#REF!</v>
      </c>
      <c r="M89" s="12">
        <f t="shared" ca="1" si="12"/>
        <v>0</v>
      </c>
    </row>
    <row r="90" spans="1:13" x14ac:dyDescent="0.2">
      <c r="A90" s="26">
        <f ca="1">swap_model!A66</f>
        <v>36951</v>
      </c>
      <c r="B90" s="67">
        <f ca="1">IF($A90&lt;$B$69,0,IF($A90&gt;$B$70,0,Fwd_curves!H110))</f>
        <v>0</v>
      </c>
      <c r="C90">
        <f ca="1">IF($A90&lt;$B$69,0,IF($A90&gt;$B$70,0,IF('H-rate_model'!$B$61="P",external_curves!AI27,external_curves!AH27)))</f>
        <v>0</v>
      </c>
      <c r="D90">
        <f t="shared" ca="1" si="6"/>
        <v>0</v>
      </c>
      <c r="E90">
        <f ca="1">IF($A90&lt;$B$69,0,IF($A90&gt;$B$70,0,IF('H-rate_model'!$B$9="P",external_curves!AB28,external_curves!X28)))</f>
        <v>0</v>
      </c>
      <c r="G90" s="64">
        <f t="shared" ca="1" si="7"/>
        <v>0</v>
      </c>
      <c r="H90" s="64" t="e">
        <f t="shared" ca="1" si="8"/>
        <v>#REF!</v>
      </c>
      <c r="I90" s="64">
        <f t="shared" ca="1" si="9"/>
        <v>0</v>
      </c>
      <c r="J90" s="64"/>
      <c r="K90" s="64" t="e">
        <f t="shared" ca="1" si="10"/>
        <v>#REF!</v>
      </c>
      <c r="L90" s="64" t="e">
        <f t="shared" ca="1" si="11"/>
        <v>#REF!</v>
      </c>
      <c r="M90" s="12">
        <f t="shared" ca="1" si="12"/>
        <v>0</v>
      </c>
    </row>
    <row r="91" spans="1:13" x14ac:dyDescent="0.2">
      <c r="A91" s="26">
        <f ca="1">swap_model!A67</f>
        <v>36982</v>
      </c>
      <c r="B91" s="67">
        <f ca="1">IF($A91&lt;$B$69,0,IF($A91&gt;$B$70,0,Fwd_curves!H111))</f>
        <v>0</v>
      </c>
      <c r="C91">
        <f ca="1">IF($A91&lt;$B$69,0,IF($A91&gt;$B$70,0,IF('H-rate_model'!$B$61="P",external_curves!AI28,external_curves!AH28)))</f>
        <v>0</v>
      </c>
      <c r="D91">
        <f t="shared" ca="1" si="6"/>
        <v>0</v>
      </c>
      <c r="E91">
        <f ca="1">IF($A91&lt;$B$69,0,IF($A91&gt;$B$70,0,IF('H-rate_model'!$B$9="P",external_curves!AB29,external_curves!X29)))</f>
        <v>0</v>
      </c>
      <c r="G91" s="64">
        <f t="shared" ca="1" si="7"/>
        <v>0</v>
      </c>
      <c r="H91" s="64" t="e">
        <f t="shared" ca="1" si="8"/>
        <v>#REF!</v>
      </c>
      <c r="I91" s="64">
        <f t="shared" ca="1" si="9"/>
        <v>0</v>
      </c>
      <c r="J91" s="64"/>
      <c r="K91" s="64" t="e">
        <f t="shared" ca="1" si="10"/>
        <v>#REF!</v>
      </c>
      <c r="L91" s="64" t="e">
        <f t="shared" ca="1" si="11"/>
        <v>#REF!</v>
      </c>
      <c r="M91" s="12">
        <f t="shared" ca="1" si="12"/>
        <v>0</v>
      </c>
    </row>
    <row r="92" spans="1:13" x14ac:dyDescent="0.2">
      <c r="A92" s="26">
        <f ca="1">swap_model!A68</f>
        <v>37012</v>
      </c>
      <c r="B92" s="67">
        <f ca="1">IF($A92&lt;$B$69,0,IF($A92&gt;$B$70,0,Fwd_curves!H112))</f>
        <v>0</v>
      </c>
      <c r="C92">
        <f ca="1">IF($A92&lt;$B$69,0,IF($A92&gt;$B$70,0,IF('H-rate_model'!$B$61="P",external_curves!AI29,external_curves!AH29)))</f>
        <v>0</v>
      </c>
      <c r="D92">
        <f t="shared" ca="1" si="6"/>
        <v>0</v>
      </c>
      <c r="E92">
        <f ca="1">IF($A92&lt;$B$69,0,IF($A92&gt;$B$70,0,IF('H-rate_model'!$B$9="P",external_curves!AB30,external_curves!X30)))</f>
        <v>0</v>
      </c>
      <c r="G92" s="64">
        <f t="shared" ca="1" si="7"/>
        <v>0</v>
      </c>
      <c r="H92" s="64" t="e">
        <f t="shared" ca="1" si="8"/>
        <v>#REF!</v>
      </c>
      <c r="I92" s="64">
        <f t="shared" ca="1" si="9"/>
        <v>0</v>
      </c>
      <c r="J92" s="64"/>
      <c r="K92" s="64" t="e">
        <f t="shared" ca="1" si="10"/>
        <v>#REF!</v>
      </c>
      <c r="L92" s="64" t="e">
        <f t="shared" ca="1" si="11"/>
        <v>#REF!</v>
      </c>
      <c r="M92" s="12">
        <f t="shared" ca="1" si="12"/>
        <v>0</v>
      </c>
    </row>
    <row r="93" spans="1:13" x14ac:dyDescent="0.2">
      <c r="A93" s="26">
        <f ca="1">swap_model!A69</f>
        <v>37043</v>
      </c>
      <c r="B93" s="67">
        <f ca="1">IF($A93&lt;$B$69,0,IF($A93&gt;$B$70,0,Fwd_curves!H113))</f>
        <v>0</v>
      </c>
      <c r="C93">
        <f ca="1">IF($A93&lt;$B$69,0,IF($A93&gt;$B$70,0,IF('H-rate_model'!$B$61="P",external_curves!AI30,external_curves!AH30)))</f>
        <v>0</v>
      </c>
      <c r="D93">
        <f t="shared" ca="1" si="6"/>
        <v>0</v>
      </c>
      <c r="E93">
        <f ca="1">IF($A93&lt;$B$69,0,IF($A93&gt;$B$70,0,IF('H-rate_model'!$B$9="P",external_curves!AB31,external_curves!X31)))</f>
        <v>0</v>
      </c>
      <c r="G93" s="64">
        <f t="shared" ca="1" si="7"/>
        <v>0</v>
      </c>
      <c r="H93" s="64" t="e">
        <f t="shared" ca="1" si="8"/>
        <v>#REF!</v>
      </c>
      <c r="I93" s="64">
        <f t="shared" ca="1" si="9"/>
        <v>0</v>
      </c>
      <c r="J93" s="64"/>
      <c r="K93" s="64" t="e">
        <f t="shared" ca="1" si="10"/>
        <v>#REF!</v>
      </c>
      <c r="L93" s="64" t="e">
        <f t="shared" ca="1" si="11"/>
        <v>#REF!</v>
      </c>
      <c r="M93" s="12">
        <f t="shared" ca="1" si="12"/>
        <v>0</v>
      </c>
    </row>
    <row r="94" spans="1:13" x14ac:dyDescent="0.2">
      <c r="A94" s="26">
        <f ca="1">swap_model!A70</f>
        <v>37073</v>
      </c>
      <c r="B94" s="67">
        <f ca="1">IF($A94&lt;$B$69,0,IF($A94&gt;$B$70,0,Fwd_curves!H114))</f>
        <v>0</v>
      </c>
      <c r="C94">
        <f ca="1">IF($A94&lt;$B$69,0,IF($A94&gt;$B$70,0,IF('H-rate_model'!$B$61="P",external_curves!AI31,external_curves!AH31)))</f>
        <v>0</v>
      </c>
      <c r="D94">
        <f t="shared" ca="1" si="6"/>
        <v>0</v>
      </c>
      <c r="E94">
        <f ca="1">IF($A94&lt;$B$69,0,IF($A94&gt;$B$70,0,IF('H-rate_model'!$B$9="P",external_curves!AB32,external_curves!X32)))</f>
        <v>0</v>
      </c>
      <c r="G94" s="64">
        <f t="shared" ca="1" si="7"/>
        <v>0</v>
      </c>
      <c r="H94" s="64" t="e">
        <f t="shared" ca="1" si="8"/>
        <v>#REF!</v>
      </c>
      <c r="I94" s="64">
        <f t="shared" ca="1" si="9"/>
        <v>0</v>
      </c>
      <c r="J94" s="64"/>
      <c r="K94" s="64" t="e">
        <f t="shared" ca="1" si="10"/>
        <v>#REF!</v>
      </c>
      <c r="L94" s="64" t="e">
        <f t="shared" ca="1" si="11"/>
        <v>#REF!</v>
      </c>
      <c r="M94" s="12">
        <f t="shared" ca="1" si="12"/>
        <v>0</v>
      </c>
    </row>
    <row r="95" spans="1:13" x14ac:dyDescent="0.2">
      <c r="A95" s="26">
        <f ca="1">swap_model!A71</f>
        <v>37104</v>
      </c>
      <c r="B95" s="67">
        <f ca="1">IF($A95&lt;$B$69,0,IF($A95&gt;$B$70,0,Fwd_curves!H115))</f>
        <v>0</v>
      </c>
      <c r="C95">
        <f ca="1">IF($A95&lt;$B$69,0,IF($A95&gt;$B$70,0,IF('H-rate_model'!$B$61="P",external_curves!AI32,external_curves!AH32)))</f>
        <v>0</v>
      </c>
      <c r="D95">
        <f t="shared" ca="1" si="6"/>
        <v>0</v>
      </c>
      <c r="E95">
        <f ca="1">IF($A95&lt;$B$69,0,IF($A95&gt;$B$70,0,IF('H-rate_model'!$B$9="P",external_curves!AB33,external_curves!X33)))</f>
        <v>0</v>
      </c>
      <c r="G95" s="64">
        <f t="shared" ca="1" si="7"/>
        <v>0</v>
      </c>
      <c r="H95" s="64" t="e">
        <f t="shared" ca="1" si="8"/>
        <v>#REF!</v>
      </c>
      <c r="I95" s="64">
        <f t="shared" ca="1" si="9"/>
        <v>0</v>
      </c>
      <c r="J95" s="64"/>
      <c r="K95" s="64" t="e">
        <f t="shared" ca="1" si="10"/>
        <v>#REF!</v>
      </c>
      <c r="L95" s="64" t="e">
        <f t="shared" ca="1" si="11"/>
        <v>#REF!</v>
      </c>
      <c r="M95" s="12">
        <f t="shared" ca="1" si="12"/>
        <v>0</v>
      </c>
    </row>
    <row r="96" spans="1:13" x14ac:dyDescent="0.2">
      <c r="A96" s="26">
        <f ca="1">swap_model!A72</f>
        <v>37135</v>
      </c>
      <c r="B96" s="67">
        <f ca="1">IF($A96&lt;$B$69,0,IF($A96&gt;$B$70,0,Fwd_curves!H116))</f>
        <v>0</v>
      </c>
      <c r="C96">
        <f ca="1">IF($A96&lt;$B$69,0,IF($A96&gt;$B$70,0,IF('H-rate_model'!$B$61="P",external_curves!AI33,external_curves!AH33)))</f>
        <v>0</v>
      </c>
      <c r="D96">
        <f t="shared" ca="1" si="6"/>
        <v>0</v>
      </c>
      <c r="E96">
        <f ca="1">IF($A96&lt;$B$69,0,IF($A96&gt;$B$70,0,IF('H-rate_model'!$B$9="P",external_curves!AB34,external_curves!X34)))</f>
        <v>0</v>
      </c>
      <c r="G96" s="64">
        <f t="shared" ca="1" si="7"/>
        <v>0</v>
      </c>
      <c r="H96" s="64" t="e">
        <f t="shared" ca="1" si="8"/>
        <v>#REF!</v>
      </c>
      <c r="I96" s="64">
        <f t="shared" ca="1" si="9"/>
        <v>0</v>
      </c>
      <c r="J96" s="64"/>
      <c r="K96" s="64" t="e">
        <f t="shared" ca="1" si="10"/>
        <v>#REF!</v>
      </c>
      <c r="L96" s="64" t="e">
        <f t="shared" ca="1" si="11"/>
        <v>#REF!</v>
      </c>
      <c r="M96" s="12">
        <f t="shared" ca="1" si="12"/>
        <v>0</v>
      </c>
    </row>
    <row r="97" spans="1:13" x14ac:dyDescent="0.2">
      <c r="A97" s="26">
        <f ca="1">swap_model!A73</f>
        <v>37165</v>
      </c>
      <c r="B97" s="67">
        <f ca="1">IF($A97&lt;$B$69,0,IF($A97&gt;$B$70,0,Fwd_curves!H117))</f>
        <v>0</v>
      </c>
      <c r="C97">
        <f ca="1">IF($A97&lt;$B$69,0,IF($A97&gt;$B$70,0,IF('H-rate_model'!$B$61="P",external_curves!AI34,external_curves!AH34)))</f>
        <v>0</v>
      </c>
      <c r="D97">
        <f t="shared" ca="1" si="6"/>
        <v>0</v>
      </c>
      <c r="E97">
        <f ca="1">IF($A97&lt;$B$69,0,IF($A97&gt;$B$70,0,IF('H-rate_model'!$B$9="P",external_curves!AB35,external_curves!X35)))</f>
        <v>0</v>
      </c>
      <c r="G97" s="64">
        <f t="shared" ca="1" si="7"/>
        <v>0</v>
      </c>
      <c r="H97" s="64" t="e">
        <f t="shared" ca="1" si="8"/>
        <v>#REF!</v>
      </c>
      <c r="I97" s="64">
        <f t="shared" ca="1" si="9"/>
        <v>0</v>
      </c>
      <c r="J97" s="64"/>
      <c r="K97" s="64" t="e">
        <f t="shared" ca="1" si="10"/>
        <v>#REF!</v>
      </c>
      <c r="L97" s="64" t="e">
        <f t="shared" ca="1" si="11"/>
        <v>#REF!</v>
      </c>
      <c r="M97" s="12">
        <f t="shared" ca="1" si="12"/>
        <v>0</v>
      </c>
    </row>
    <row r="98" spans="1:13" x14ac:dyDescent="0.2">
      <c r="A98" s="26">
        <f ca="1">swap_model!A74</f>
        <v>37196</v>
      </c>
      <c r="B98" s="67">
        <f ca="1">IF($A98&lt;$B$69,0,IF($A98&gt;$B$70,0,Fwd_curves!H118))</f>
        <v>0</v>
      </c>
      <c r="C98">
        <f ca="1">IF($A98&lt;$B$69,0,IF($A98&gt;$B$70,0,IF('H-rate_model'!$B$61="P",external_curves!AI35,external_curves!AH35)))</f>
        <v>0</v>
      </c>
      <c r="D98">
        <f t="shared" ca="1" si="6"/>
        <v>0</v>
      </c>
      <c r="E98">
        <f ca="1">IF($A98&lt;$B$69,0,IF($A98&gt;$B$70,0,IF('H-rate_model'!$B$9="P",external_curves!AB36,external_curves!X36)))</f>
        <v>0</v>
      </c>
      <c r="G98" s="64">
        <f t="shared" ca="1" si="7"/>
        <v>0</v>
      </c>
      <c r="H98" s="64" t="e">
        <f t="shared" ca="1" si="8"/>
        <v>#REF!</v>
      </c>
      <c r="I98" s="64">
        <f t="shared" ca="1" si="9"/>
        <v>0</v>
      </c>
      <c r="J98" s="64"/>
      <c r="K98" s="64" t="e">
        <f t="shared" ca="1" si="10"/>
        <v>#REF!</v>
      </c>
      <c r="L98" s="64" t="e">
        <f t="shared" ca="1" si="11"/>
        <v>#REF!</v>
      </c>
      <c r="M98" s="12">
        <f t="shared" ca="1" si="12"/>
        <v>0</v>
      </c>
    </row>
    <row r="99" spans="1:13" x14ac:dyDescent="0.2">
      <c r="A99" s="26">
        <f ca="1">swap_model!A75</f>
        <v>37226</v>
      </c>
      <c r="B99" s="67">
        <f ca="1">IF($A99&lt;$B$69,0,IF($A99&gt;$B$70,0,Fwd_curves!H119))</f>
        <v>0</v>
      </c>
      <c r="C99">
        <f ca="1">IF($A99&lt;$B$69,0,IF($A99&gt;$B$70,0,IF('H-rate_model'!$B$61="P",external_curves!AI36,external_curves!AH36)))</f>
        <v>0</v>
      </c>
      <c r="D99">
        <f t="shared" ca="1" si="6"/>
        <v>0</v>
      </c>
      <c r="E99">
        <f ca="1">IF($A99&lt;$B$69,0,IF($A99&gt;$B$70,0,IF('H-rate_model'!$B$9="P",external_curves!AB37,external_curves!X37)))</f>
        <v>0</v>
      </c>
      <c r="G99" s="64">
        <f t="shared" ca="1" si="7"/>
        <v>0</v>
      </c>
      <c r="H99" s="64" t="e">
        <f t="shared" ca="1" si="8"/>
        <v>#REF!</v>
      </c>
      <c r="I99" s="64">
        <f t="shared" ca="1" si="9"/>
        <v>0</v>
      </c>
      <c r="J99" s="64"/>
      <c r="K99" s="64" t="e">
        <f t="shared" ca="1" si="10"/>
        <v>#REF!</v>
      </c>
      <c r="L99" s="64" t="e">
        <f t="shared" ca="1" si="11"/>
        <v>#REF!</v>
      </c>
      <c r="M99" s="12">
        <f t="shared" ca="1" si="12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52"/>
  <sheetViews>
    <sheetView workbookViewId="0">
      <selection activeCell="B14" sqref="B14"/>
    </sheetView>
  </sheetViews>
  <sheetFormatPr defaultRowHeight="12.75" x14ac:dyDescent="0.2"/>
  <cols>
    <col min="1" max="1" width="25.42578125" customWidth="1"/>
    <col min="2" max="2" width="18.7109375" customWidth="1"/>
    <col min="3" max="3" width="14.42578125" customWidth="1"/>
    <col min="4" max="4" width="13" customWidth="1"/>
    <col min="5" max="5" width="14" customWidth="1"/>
    <col min="6" max="6" width="26" customWidth="1"/>
    <col min="7" max="7" width="17.42578125" customWidth="1"/>
    <col min="8" max="8" width="15" customWidth="1"/>
    <col min="9" max="9" width="16.28515625" customWidth="1"/>
    <col min="10" max="10" width="15.140625" customWidth="1"/>
    <col min="11" max="11" width="12.85546875" customWidth="1"/>
    <col min="12" max="12" width="13.140625" customWidth="1"/>
    <col min="13" max="13" width="16.28515625" customWidth="1"/>
  </cols>
  <sheetData>
    <row r="2" spans="1:11" ht="15.75" x14ac:dyDescent="0.25">
      <c r="A2" s="29" t="s">
        <v>198</v>
      </c>
    </row>
    <row r="4" spans="1:11" ht="15.75" x14ac:dyDescent="0.25">
      <c r="A4" s="29" t="s">
        <v>44</v>
      </c>
      <c r="F4" s="29" t="s">
        <v>161</v>
      </c>
    </row>
    <row r="5" spans="1:11" x14ac:dyDescent="0.2">
      <c r="K5" t="s">
        <v>159</v>
      </c>
    </row>
    <row r="6" spans="1:11" x14ac:dyDescent="0.2">
      <c r="A6" t="s">
        <v>196</v>
      </c>
      <c r="B6" s="118">
        <v>10000</v>
      </c>
      <c r="F6" t="s">
        <v>204</v>
      </c>
      <c r="G6" s="12">
        <f>(1/B8)*G9</f>
        <v>2.4375</v>
      </c>
    </row>
    <row r="7" spans="1:11" x14ac:dyDescent="0.2">
      <c r="A7" t="s">
        <v>218</v>
      </c>
      <c r="B7" s="71">
        <f ca="1">SUM(F27:F50)</f>
        <v>310000</v>
      </c>
    </row>
    <row r="8" spans="1:11" ht="15" x14ac:dyDescent="0.2">
      <c r="A8" s="47" t="s">
        <v>246</v>
      </c>
      <c r="B8" s="117">
        <v>16</v>
      </c>
      <c r="F8" t="s">
        <v>219</v>
      </c>
      <c r="G8" s="74">
        <v>2.9</v>
      </c>
    </row>
    <row r="9" spans="1:11" ht="15" x14ac:dyDescent="0.2">
      <c r="A9" s="47" t="s">
        <v>24</v>
      </c>
      <c r="B9" s="68" t="s">
        <v>174</v>
      </c>
      <c r="C9" t="s">
        <v>152</v>
      </c>
      <c r="F9" t="s">
        <v>235</v>
      </c>
      <c r="G9" s="74">
        <v>39</v>
      </c>
    </row>
    <row r="10" spans="1:11" ht="15" x14ac:dyDescent="0.2">
      <c r="A10" s="47" t="s">
        <v>215</v>
      </c>
      <c r="B10" s="69">
        <v>3.66</v>
      </c>
      <c r="C10" s="47"/>
      <c r="F10" t="s">
        <v>162</v>
      </c>
      <c r="G10" s="64">
        <f ca="1">SUM(O27:O50)</f>
        <v>191365.03269909511</v>
      </c>
    </row>
    <row r="11" spans="1:11" ht="15" x14ac:dyDescent="0.2">
      <c r="A11" s="47" t="s">
        <v>234</v>
      </c>
      <c r="B11" s="75">
        <v>48</v>
      </c>
      <c r="C11" s="47"/>
      <c r="F11" t="s">
        <v>216</v>
      </c>
      <c r="G11" s="12">
        <f ca="1">G10/B13</f>
        <v>9.8769049135016829</v>
      </c>
    </row>
    <row r="12" spans="1:11" ht="15" x14ac:dyDescent="0.2">
      <c r="A12" s="47" t="s">
        <v>247</v>
      </c>
      <c r="B12" s="119">
        <f>B11/B10</f>
        <v>13.114754098360656</v>
      </c>
      <c r="C12" s="47"/>
      <c r="F12" t="s">
        <v>217</v>
      </c>
      <c r="G12" s="12">
        <f ca="1">G10/B7</f>
        <v>0.61730655709385518</v>
      </c>
    </row>
    <row r="13" spans="1:11" ht="14.25" customHeight="1" x14ac:dyDescent="0.2">
      <c r="A13" s="47" t="s">
        <v>200</v>
      </c>
      <c r="B13" s="71">
        <f ca="1">(1/B8)*B7</f>
        <v>19375</v>
      </c>
      <c r="C13" s="47" t="s">
        <v>240</v>
      </c>
    </row>
    <row r="14" spans="1:11" ht="15" x14ac:dyDescent="0.2">
      <c r="A14" s="47" t="s">
        <v>9</v>
      </c>
      <c r="B14" s="71">
        <f ca="1">SUM(E27:E50)/(IF(B9="F",24,16))</f>
        <v>31</v>
      </c>
      <c r="C14" s="47"/>
      <c r="F14" t="s">
        <v>237</v>
      </c>
      <c r="G14" s="64">
        <f ca="1">SUM(N27:N50)</f>
        <v>204600</v>
      </c>
    </row>
    <row r="15" spans="1:11" ht="15" x14ac:dyDescent="0.2">
      <c r="A15" s="47" t="s">
        <v>202</v>
      </c>
      <c r="B15" s="80">
        <f ca="1">B13/B14</f>
        <v>625</v>
      </c>
      <c r="C15" s="47"/>
      <c r="F15" t="s">
        <v>238</v>
      </c>
      <c r="G15" s="64">
        <f ca="1">(B8-B12)*B13*B10</f>
        <v>204599.99999999997</v>
      </c>
    </row>
    <row r="16" spans="1:11" ht="15" x14ac:dyDescent="0.2">
      <c r="A16" s="47" t="s">
        <v>202</v>
      </c>
      <c r="B16" s="34">
        <f ca="1">B15/(IF(B9="F",24,16))</f>
        <v>26.041666666666668</v>
      </c>
      <c r="F16" t="s">
        <v>239</v>
      </c>
    </row>
    <row r="18" spans="1:15" x14ac:dyDescent="0.2">
      <c r="F18" s="121" t="s">
        <v>245</v>
      </c>
      <c r="G18" s="82"/>
    </row>
    <row r="20" spans="1:15" ht="15" x14ac:dyDescent="0.2">
      <c r="A20" s="47" t="s">
        <v>78</v>
      </c>
      <c r="B20" s="73">
        <v>36678</v>
      </c>
      <c r="F20" t="s">
        <v>248</v>
      </c>
      <c r="G20">
        <v>18.8</v>
      </c>
    </row>
    <row r="21" spans="1:15" ht="15" x14ac:dyDescent="0.2">
      <c r="A21" s="47" t="s">
        <v>79</v>
      </c>
      <c r="B21" s="73">
        <v>36678</v>
      </c>
      <c r="F21" t="s">
        <v>241</v>
      </c>
      <c r="G21" s="120">
        <v>17.5</v>
      </c>
    </row>
    <row r="22" spans="1:15" ht="15" x14ac:dyDescent="0.2">
      <c r="A22" s="47" t="s">
        <v>80</v>
      </c>
      <c r="B22" s="15">
        <f ca="1">COUNTIF(B27:B50,"&gt;0")</f>
        <v>1</v>
      </c>
      <c r="F22" t="s">
        <v>242</v>
      </c>
      <c r="G22" s="120">
        <v>15.7</v>
      </c>
    </row>
    <row r="23" spans="1:15" x14ac:dyDescent="0.2">
      <c r="F23" t="s">
        <v>243</v>
      </c>
      <c r="G23" s="120">
        <v>17.96</v>
      </c>
    </row>
    <row r="24" spans="1:15" x14ac:dyDescent="0.2">
      <c r="F24" t="s">
        <v>244</v>
      </c>
      <c r="G24" s="120">
        <v>22</v>
      </c>
      <c r="J24" t="s">
        <v>176</v>
      </c>
    </row>
    <row r="25" spans="1:15" x14ac:dyDescent="0.2">
      <c r="J25" t="s">
        <v>166</v>
      </c>
      <c r="K25" t="s">
        <v>205</v>
      </c>
      <c r="L25" t="s">
        <v>170</v>
      </c>
    </row>
    <row r="26" spans="1:15" x14ac:dyDescent="0.2">
      <c r="A26" t="s">
        <v>16</v>
      </c>
      <c r="B26" t="s">
        <v>12</v>
      </c>
      <c r="E26" s="7" t="s">
        <v>155</v>
      </c>
      <c r="F26" s="7" t="s">
        <v>197</v>
      </c>
      <c r="G26" s="7" t="s">
        <v>156</v>
      </c>
      <c r="H26" s="7" t="s">
        <v>206</v>
      </c>
      <c r="J26" t="s">
        <v>175</v>
      </c>
      <c r="L26" t="s">
        <v>183</v>
      </c>
      <c r="N26" t="s">
        <v>172</v>
      </c>
      <c r="O26" t="s">
        <v>173</v>
      </c>
    </row>
    <row r="27" spans="1:15" x14ac:dyDescent="0.2">
      <c r="A27" s="26">
        <f ca="1">swap_model!A52</f>
        <v>36526</v>
      </c>
      <c r="B27" s="67">
        <f ca="1">IF($A27&lt;$B$20,0,IF($A27&gt;$B$21,0,Fwd_curves!H96))</f>
        <v>0</v>
      </c>
      <c r="D27" s="67"/>
      <c r="E27">
        <f ca="1">IF($A27&lt;$B$20,0,IF($A27&gt;$B$21,0,IF(ab_gas_deal!$B$9="P",external_curves!AI14,external_curves!AH14)))</f>
        <v>0</v>
      </c>
      <c r="F27" s="71">
        <f t="shared" ref="F27:F50" ca="1" si="0">$B$6*H27</f>
        <v>0</v>
      </c>
      <c r="G27" s="71">
        <f t="shared" ref="G27:G50" ca="1" si="1">E27*$B$16</f>
        <v>0</v>
      </c>
      <c r="H27">
        <f ca="1">IF($A27&lt;$B$20,0,IF($A27&gt;$B$21,0,IF(ab_gas_deal!$B$9="P",external_curves!X15,external_curves!X15)))</f>
        <v>0</v>
      </c>
      <c r="J27" s="64">
        <f t="shared" ref="J27:J50" ca="1" si="2">($G$8-((1/($B$8))*$G$9))*F27</f>
        <v>0</v>
      </c>
      <c r="K27" s="64">
        <f t="shared" ref="K27:K50" ca="1" si="3">F27*($B$10-$G$8)</f>
        <v>0</v>
      </c>
      <c r="L27" s="64">
        <f t="shared" ref="L27:L50" ca="1" si="4">G27*($G$9-$B$11)</f>
        <v>0</v>
      </c>
      <c r="M27" s="64"/>
      <c r="N27" s="64">
        <f t="shared" ref="N27:N50" ca="1" si="5">SUM(J27:L27)</f>
        <v>0</v>
      </c>
      <c r="O27" s="64">
        <f t="shared" ref="O27:O50" ca="1" si="6">N27*B27</f>
        <v>0</v>
      </c>
    </row>
    <row r="28" spans="1:15" x14ac:dyDescent="0.2">
      <c r="A28" s="26">
        <f ca="1">swap_model!A53</f>
        <v>36557</v>
      </c>
      <c r="B28" s="67">
        <f ca="1">IF($A28&lt;$B$20,0,IF($A28&gt;$B$21,0,Fwd_curves!H97))</f>
        <v>0</v>
      </c>
      <c r="C28" s="67"/>
      <c r="D28" s="67"/>
      <c r="E28">
        <f ca="1">IF($A28&lt;$B$20,0,IF($A28&gt;$B$21,0,IF(ab_gas_deal!$B$9="P",external_curves!AI15,external_curves!AH15)))</f>
        <v>0</v>
      </c>
      <c r="F28" s="71">
        <f t="shared" ca="1" si="0"/>
        <v>0</v>
      </c>
      <c r="G28" s="71">
        <f t="shared" ca="1" si="1"/>
        <v>0</v>
      </c>
      <c r="H28">
        <f ca="1">IF($A28&lt;$B$20,0,IF($A28&gt;$B$21,0,IF(ab_gas_deal!$B$9="P",external_curves!X16,external_curves!X16)))</f>
        <v>0</v>
      </c>
      <c r="J28" s="64">
        <f t="shared" ca="1" si="2"/>
        <v>0</v>
      </c>
      <c r="K28" s="64">
        <f t="shared" ca="1" si="3"/>
        <v>0</v>
      </c>
      <c r="L28" s="64">
        <f t="shared" ca="1" si="4"/>
        <v>0</v>
      </c>
      <c r="M28" s="64"/>
      <c r="N28" s="64">
        <f t="shared" ca="1" si="5"/>
        <v>0</v>
      </c>
      <c r="O28" s="64">
        <f t="shared" ca="1" si="6"/>
        <v>0</v>
      </c>
    </row>
    <row r="29" spans="1:15" x14ac:dyDescent="0.2">
      <c r="A29" s="26">
        <f ca="1">swap_model!A54</f>
        <v>36586</v>
      </c>
      <c r="B29" s="67">
        <f ca="1">IF($A29&lt;$B$20,0,IF($A29&gt;$B$21,0,Fwd_curves!H98))</f>
        <v>0</v>
      </c>
      <c r="C29" s="67"/>
      <c r="D29" s="67"/>
      <c r="E29">
        <f ca="1">IF($A29&lt;$B$20,0,IF($A29&gt;$B$21,0,IF(ab_gas_deal!$B$9="P",external_curves!AI16,external_curves!AH16)))</f>
        <v>0</v>
      </c>
      <c r="F29" s="71">
        <f t="shared" ca="1" si="0"/>
        <v>0</v>
      </c>
      <c r="G29" s="71">
        <f t="shared" ca="1" si="1"/>
        <v>0</v>
      </c>
      <c r="H29">
        <f ca="1">IF($A29&lt;$B$20,0,IF($A29&gt;$B$21,0,IF(ab_gas_deal!$B$9="P",external_curves!#REF!,external_curves!#REF!)))</f>
        <v>0</v>
      </c>
      <c r="J29" s="64">
        <f t="shared" ca="1" si="2"/>
        <v>0</v>
      </c>
      <c r="K29" s="64">
        <f t="shared" ca="1" si="3"/>
        <v>0</v>
      </c>
      <c r="L29" s="64">
        <f t="shared" ca="1" si="4"/>
        <v>0</v>
      </c>
      <c r="M29" s="64"/>
      <c r="N29" s="64">
        <f t="shared" ca="1" si="5"/>
        <v>0</v>
      </c>
      <c r="O29" s="64">
        <f t="shared" ca="1" si="6"/>
        <v>0</v>
      </c>
    </row>
    <row r="30" spans="1:15" x14ac:dyDescent="0.2">
      <c r="A30" s="26">
        <f ca="1">swap_model!A55</f>
        <v>36617</v>
      </c>
      <c r="B30" s="67">
        <f ca="1">IF($A30&lt;$B$20,0,IF($A30&gt;$B$21,0,Fwd_curves!H99))</f>
        <v>0</v>
      </c>
      <c r="C30" s="67"/>
      <c r="D30" s="67"/>
      <c r="E30">
        <f ca="1">IF($A30&lt;$B$20,0,IF($A30&gt;$B$21,0,IF(ab_gas_deal!$B$9="P",external_curves!#REF!,external_curves!#REF!)))</f>
        <v>0</v>
      </c>
      <c r="F30" s="71">
        <f t="shared" ca="1" si="0"/>
        <v>0</v>
      </c>
      <c r="G30" s="71">
        <f t="shared" ca="1" si="1"/>
        <v>0</v>
      </c>
      <c r="H30">
        <f ca="1">IF($A30&lt;$B$20,0,IF($A30&gt;$B$21,0,IF(ab_gas_deal!$B$9="P",external_curves!X17,external_curves!X17)))</f>
        <v>0</v>
      </c>
      <c r="J30" s="64">
        <f t="shared" ca="1" si="2"/>
        <v>0</v>
      </c>
      <c r="K30" s="64">
        <f t="shared" ca="1" si="3"/>
        <v>0</v>
      </c>
      <c r="L30" s="64">
        <f t="shared" ca="1" si="4"/>
        <v>0</v>
      </c>
      <c r="M30" s="64"/>
      <c r="N30" s="64">
        <f t="shared" ca="1" si="5"/>
        <v>0</v>
      </c>
      <c r="O30" s="64">
        <f t="shared" ca="1" si="6"/>
        <v>0</v>
      </c>
    </row>
    <row r="31" spans="1:15" x14ac:dyDescent="0.2">
      <c r="A31" s="26">
        <f ca="1">swap_model!A56</f>
        <v>36647</v>
      </c>
      <c r="B31" s="67">
        <f ca="1">IF($A31&lt;$B$20,0,IF($A31&gt;$B$21,0,Fwd_curves!H100))</f>
        <v>0</v>
      </c>
      <c r="C31" s="67"/>
      <c r="D31" s="67"/>
      <c r="E31">
        <f ca="1">IF($A31&lt;$B$20,0,IF($A31&gt;$B$21,0,IF(ab_gas_deal!$B$9="P",external_curves!AI17,external_curves!AH17)))</f>
        <v>0</v>
      </c>
      <c r="F31" s="71">
        <f t="shared" ca="1" si="0"/>
        <v>0</v>
      </c>
      <c r="G31" s="71">
        <f t="shared" ca="1" si="1"/>
        <v>0</v>
      </c>
      <c r="H31">
        <f ca="1">IF($A31&lt;$B$20,0,IF($A31&gt;$B$21,0,IF(ab_gas_deal!$B$9="P",external_curves!X17,external_curves!X17)))</f>
        <v>0</v>
      </c>
      <c r="J31" s="64">
        <f t="shared" ca="1" si="2"/>
        <v>0</v>
      </c>
      <c r="K31" s="64">
        <f t="shared" ca="1" si="3"/>
        <v>0</v>
      </c>
      <c r="L31" s="64">
        <f t="shared" ca="1" si="4"/>
        <v>0</v>
      </c>
      <c r="M31" s="64"/>
      <c r="N31" s="64">
        <f t="shared" ca="1" si="5"/>
        <v>0</v>
      </c>
      <c r="O31" s="64">
        <f t="shared" ca="1" si="6"/>
        <v>0</v>
      </c>
    </row>
    <row r="32" spans="1:15" x14ac:dyDescent="0.2">
      <c r="A32" s="26">
        <f ca="1">swap_model!A57</f>
        <v>36678</v>
      </c>
      <c r="B32" s="67">
        <f ca="1">IF($A32&lt;$B$20,0,IF($A32&gt;$B$21,0,Fwd_curves!H101))</f>
        <v>0.93531296529371999</v>
      </c>
      <c r="C32" s="67"/>
      <c r="D32" s="67"/>
      <c r="E32">
        <f ca="1">IF($A32&lt;$B$20,0,IF($A32&gt;$B$21,0,IF(ab_gas_deal!$B$9="P",external_curves!AI18,external_curves!AH18)))</f>
        <v>744</v>
      </c>
      <c r="F32" s="71">
        <f t="shared" ca="1" si="0"/>
        <v>310000</v>
      </c>
      <c r="G32" s="71">
        <f t="shared" ca="1" si="1"/>
        <v>19375</v>
      </c>
      <c r="H32">
        <f ca="1">IF($A32&lt;$B$20,0,IF($A32&gt;$B$21,0,IF(ab_gas_deal!$B$9="P",external_curves!X18,external_curves!X18)))</f>
        <v>31</v>
      </c>
      <c r="J32" s="64">
        <f t="shared" ca="1" si="2"/>
        <v>143374.99999999997</v>
      </c>
      <c r="K32" s="64">
        <f t="shared" ca="1" si="3"/>
        <v>235600.00000000006</v>
      </c>
      <c r="L32" s="64">
        <f t="shared" ca="1" si="4"/>
        <v>-174375</v>
      </c>
      <c r="M32" s="64"/>
      <c r="N32" s="64">
        <f t="shared" ca="1" si="5"/>
        <v>204600</v>
      </c>
      <c r="O32" s="64">
        <f t="shared" ca="1" si="6"/>
        <v>191365.03269909511</v>
      </c>
    </row>
    <row r="33" spans="1:15" x14ac:dyDescent="0.2">
      <c r="A33" s="26">
        <f ca="1">swap_model!A58</f>
        <v>36708</v>
      </c>
      <c r="B33" s="67">
        <f ca="1">IF($A33&lt;$B$20,0,IF($A33&gt;$B$21,0,Fwd_curves!H102))</f>
        <v>0</v>
      </c>
      <c r="C33" s="67"/>
      <c r="D33" s="67"/>
      <c r="E33">
        <f ca="1">IF($A33&lt;$B$20,0,IF($A33&gt;$B$21,0,IF(ab_gas_deal!$B$9="P",external_curves!AI19,external_curves!AH19)))</f>
        <v>0</v>
      </c>
      <c r="F33" s="71">
        <f t="shared" ca="1" si="0"/>
        <v>0</v>
      </c>
      <c r="G33" s="71">
        <f t="shared" ca="1" si="1"/>
        <v>0</v>
      </c>
      <c r="H33">
        <f ca="1">IF($A33&lt;$B$20,0,IF($A33&gt;$B$21,0,IF(ab_gas_deal!$B$9="P",external_curves!X19,external_curves!X19)))</f>
        <v>0</v>
      </c>
      <c r="J33" s="64">
        <f t="shared" ca="1" si="2"/>
        <v>0</v>
      </c>
      <c r="K33" s="64">
        <f t="shared" ca="1" si="3"/>
        <v>0</v>
      </c>
      <c r="L33" s="64">
        <f t="shared" ca="1" si="4"/>
        <v>0</v>
      </c>
      <c r="M33" s="64"/>
      <c r="N33" s="64">
        <f t="shared" ca="1" si="5"/>
        <v>0</v>
      </c>
      <c r="O33" s="64">
        <f t="shared" ca="1" si="6"/>
        <v>0</v>
      </c>
    </row>
    <row r="34" spans="1:15" x14ac:dyDescent="0.2">
      <c r="A34" s="26">
        <f ca="1">swap_model!A59</f>
        <v>36739</v>
      </c>
      <c r="B34" s="67">
        <f ca="1">IF($A34&lt;$B$20,0,IF($A34&gt;$B$21,0,Fwd_curves!H103))</f>
        <v>0</v>
      </c>
      <c r="C34" s="67"/>
      <c r="D34" s="67"/>
      <c r="E34">
        <f ca="1">IF($A34&lt;$B$20,0,IF($A34&gt;$B$21,0,IF(ab_gas_deal!$B$9="P",external_curves!AI20,external_curves!AH20)))</f>
        <v>0</v>
      </c>
      <c r="F34" s="71">
        <f t="shared" ca="1" si="0"/>
        <v>0</v>
      </c>
      <c r="G34" s="71">
        <f t="shared" ca="1" si="1"/>
        <v>0</v>
      </c>
      <c r="H34">
        <f ca="1">IF($A34&lt;$B$20,0,IF($A34&gt;$B$21,0,IF(ab_gas_deal!$B$9="P",external_curves!X20,external_curves!X20)))</f>
        <v>0</v>
      </c>
      <c r="J34" s="64">
        <f t="shared" ca="1" si="2"/>
        <v>0</v>
      </c>
      <c r="K34" s="64">
        <f t="shared" ca="1" si="3"/>
        <v>0</v>
      </c>
      <c r="L34" s="64">
        <f t="shared" ca="1" si="4"/>
        <v>0</v>
      </c>
      <c r="M34" s="64"/>
      <c r="N34" s="64">
        <f t="shared" ca="1" si="5"/>
        <v>0</v>
      </c>
      <c r="O34" s="64">
        <f t="shared" ca="1" si="6"/>
        <v>0</v>
      </c>
    </row>
    <row r="35" spans="1:15" x14ac:dyDescent="0.2">
      <c r="A35" s="26">
        <f ca="1">swap_model!A60</f>
        <v>36770</v>
      </c>
      <c r="B35" s="67">
        <f ca="1">IF($A35&lt;$B$20,0,IF($A35&gt;$B$21,0,Fwd_curves!H104))</f>
        <v>0</v>
      </c>
      <c r="C35" s="67"/>
      <c r="D35" s="67"/>
      <c r="E35">
        <f ca="1">IF($A35&lt;$B$20,0,IF($A35&gt;$B$21,0,IF(ab_gas_deal!$B$9="P",external_curves!AI21,external_curves!AH21)))</f>
        <v>0</v>
      </c>
      <c r="F35" s="71">
        <f t="shared" ca="1" si="0"/>
        <v>0</v>
      </c>
      <c r="G35" s="71">
        <f t="shared" ca="1" si="1"/>
        <v>0</v>
      </c>
      <c r="H35">
        <f ca="1">IF($A35&lt;$B$20,0,IF($A35&gt;$B$21,0,IF(ab_gas_deal!$B$9="P",external_curves!X21,external_curves!X21)))</f>
        <v>0</v>
      </c>
      <c r="J35" s="64">
        <f t="shared" ca="1" si="2"/>
        <v>0</v>
      </c>
      <c r="K35" s="64">
        <f t="shared" ca="1" si="3"/>
        <v>0</v>
      </c>
      <c r="L35" s="64">
        <f t="shared" ca="1" si="4"/>
        <v>0</v>
      </c>
      <c r="M35" s="64"/>
      <c r="N35" s="64">
        <f t="shared" ca="1" si="5"/>
        <v>0</v>
      </c>
      <c r="O35" s="64">
        <f t="shared" ca="1" si="6"/>
        <v>0</v>
      </c>
    </row>
    <row r="36" spans="1:15" x14ac:dyDescent="0.2">
      <c r="A36" s="26">
        <f ca="1">swap_model!A61</f>
        <v>36800</v>
      </c>
      <c r="B36" s="67">
        <f ca="1">IF($A36&lt;$B$20,0,IF($A36&gt;$B$21,0,Fwd_curves!H105))</f>
        <v>0</v>
      </c>
      <c r="C36" s="67"/>
      <c r="D36" s="67"/>
      <c r="E36">
        <f ca="1">IF($A36&lt;$B$20,0,IF($A36&gt;$B$21,0,IF(ab_gas_deal!$B$9="P",external_curves!AI22,external_curves!AH22)))</f>
        <v>0</v>
      </c>
      <c r="F36" s="71">
        <f t="shared" ca="1" si="0"/>
        <v>0</v>
      </c>
      <c r="G36" s="71">
        <f t="shared" ca="1" si="1"/>
        <v>0</v>
      </c>
      <c r="H36">
        <f ca="1">IF($A36&lt;$B$20,0,IF($A36&gt;$B$21,0,IF(ab_gas_deal!$B$9="P",external_curves!X22,external_curves!X22)))</f>
        <v>0</v>
      </c>
      <c r="J36" s="64">
        <f t="shared" ca="1" si="2"/>
        <v>0</v>
      </c>
      <c r="K36" s="64">
        <f t="shared" ca="1" si="3"/>
        <v>0</v>
      </c>
      <c r="L36" s="64">
        <f t="shared" ca="1" si="4"/>
        <v>0</v>
      </c>
      <c r="M36" s="64"/>
      <c r="N36" s="64">
        <f t="shared" ca="1" si="5"/>
        <v>0</v>
      </c>
      <c r="O36" s="64">
        <f t="shared" ca="1" si="6"/>
        <v>0</v>
      </c>
    </row>
    <row r="37" spans="1:15" x14ac:dyDescent="0.2">
      <c r="A37" s="26">
        <f ca="1">swap_model!A62</f>
        <v>36831</v>
      </c>
      <c r="B37" s="67">
        <f ca="1">IF($A37&lt;$B$20,0,IF($A37&gt;$B$21,0,Fwd_curves!H106))</f>
        <v>0</v>
      </c>
      <c r="C37" s="67"/>
      <c r="D37" s="67"/>
      <c r="E37">
        <f ca="1">IF($A37&lt;$B$20,0,IF($A37&gt;$B$21,0,IF(ab_gas_deal!$B$9="P",external_curves!AI23,external_curves!AH23)))</f>
        <v>0</v>
      </c>
      <c r="F37" s="71">
        <f t="shared" ca="1" si="0"/>
        <v>0</v>
      </c>
      <c r="G37" s="71">
        <f t="shared" ca="1" si="1"/>
        <v>0</v>
      </c>
      <c r="H37">
        <f ca="1">IF($A37&lt;$B$20,0,IF($A37&gt;$B$21,0,IF(ab_gas_deal!$B$9="P",external_curves!X23,external_curves!X23)))</f>
        <v>0</v>
      </c>
      <c r="J37" s="64">
        <f t="shared" ca="1" si="2"/>
        <v>0</v>
      </c>
      <c r="K37" s="64">
        <f t="shared" ca="1" si="3"/>
        <v>0</v>
      </c>
      <c r="L37" s="64">
        <f t="shared" ca="1" si="4"/>
        <v>0</v>
      </c>
      <c r="M37" s="64"/>
      <c r="N37" s="64">
        <f t="shared" ca="1" si="5"/>
        <v>0</v>
      </c>
      <c r="O37" s="64">
        <f t="shared" ca="1" si="6"/>
        <v>0</v>
      </c>
    </row>
    <row r="38" spans="1:15" x14ac:dyDescent="0.2">
      <c r="A38" s="26">
        <f ca="1">swap_model!A63</f>
        <v>36861</v>
      </c>
      <c r="B38" s="67">
        <f ca="1">IF($A38&lt;$B$20,0,IF($A38&gt;$B$21,0,Fwd_curves!H107))</f>
        <v>0</v>
      </c>
      <c r="C38" s="67"/>
      <c r="D38" s="67"/>
      <c r="E38">
        <f ca="1">IF($A38&lt;$B$20,0,IF($A38&gt;$B$21,0,IF(ab_gas_deal!$B$9="P",external_curves!AI24,external_curves!AH24)))</f>
        <v>0</v>
      </c>
      <c r="F38" s="71">
        <f t="shared" ca="1" si="0"/>
        <v>0</v>
      </c>
      <c r="G38" s="71">
        <f t="shared" ca="1" si="1"/>
        <v>0</v>
      </c>
      <c r="H38">
        <f ca="1">IF($A38&lt;$B$20,0,IF($A38&gt;$B$21,0,IF(ab_gas_deal!$B$9="P",external_curves!X24,external_curves!X24)))</f>
        <v>0</v>
      </c>
      <c r="J38" s="64">
        <f t="shared" ca="1" si="2"/>
        <v>0</v>
      </c>
      <c r="K38" s="64">
        <f t="shared" ca="1" si="3"/>
        <v>0</v>
      </c>
      <c r="L38" s="64">
        <f t="shared" ca="1" si="4"/>
        <v>0</v>
      </c>
      <c r="M38" s="64"/>
      <c r="N38" s="64">
        <f t="shared" ca="1" si="5"/>
        <v>0</v>
      </c>
      <c r="O38" s="64">
        <f t="shared" ca="1" si="6"/>
        <v>0</v>
      </c>
    </row>
    <row r="39" spans="1:15" x14ac:dyDescent="0.2">
      <c r="A39" s="26">
        <f ca="1">swap_model!A64</f>
        <v>36892</v>
      </c>
      <c r="B39" s="67">
        <f ca="1">IF($A39&lt;$B$20,0,IF($A39&gt;$B$21,0,Fwd_curves!H108))</f>
        <v>0</v>
      </c>
      <c r="C39" s="67"/>
      <c r="D39" s="67"/>
      <c r="E39">
        <f ca="1">IF($A39&lt;$B$20,0,IF($A39&gt;$B$21,0,IF(ab_gas_deal!$B$9="P",external_curves!AI25,external_curves!AH25)))</f>
        <v>0</v>
      </c>
      <c r="F39" s="71">
        <f t="shared" ca="1" si="0"/>
        <v>0</v>
      </c>
      <c r="G39" s="71">
        <f t="shared" ca="1" si="1"/>
        <v>0</v>
      </c>
      <c r="H39">
        <f ca="1">IF($A39&lt;$B$20,0,IF($A39&gt;$B$21,0,IF(ab_gas_deal!$B$9="P",external_curves!X25,external_curves!X25)))</f>
        <v>0</v>
      </c>
      <c r="J39" s="64">
        <f t="shared" ca="1" si="2"/>
        <v>0</v>
      </c>
      <c r="K39" s="64">
        <f t="shared" ca="1" si="3"/>
        <v>0</v>
      </c>
      <c r="L39" s="64">
        <f t="shared" ca="1" si="4"/>
        <v>0</v>
      </c>
      <c r="M39" s="64"/>
      <c r="N39" s="64">
        <f t="shared" ca="1" si="5"/>
        <v>0</v>
      </c>
      <c r="O39" s="64">
        <f t="shared" ca="1" si="6"/>
        <v>0</v>
      </c>
    </row>
    <row r="40" spans="1:15" x14ac:dyDescent="0.2">
      <c r="A40" s="26">
        <f ca="1">swap_model!A65</f>
        <v>36923</v>
      </c>
      <c r="B40" s="67">
        <f ca="1">IF($A40&lt;$B$20,0,IF($A40&gt;$B$21,0,Fwd_curves!H109))</f>
        <v>0</v>
      </c>
      <c r="C40" s="67"/>
      <c r="D40" s="67"/>
      <c r="E40">
        <f ca="1">IF($A40&lt;$B$20,0,IF($A40&gt;$B$21,0,IF(ab_gas_deal!$B$9="P",external_curves!AI26,external_curves!AH26)))</f>
        <v>0</v>
      </c>
      <c r="F40" s="71">
        <f t="shared" ca="1" si="0"/>
        <v>0</v>
      </c>
      <c r="G40" s="71">
        <f t="shared" ca="1" si="1"/>
        <v>0</v>
      </c>
      <c r="H40">
        <f ca="1">IF($A40&lt;$B$20,0,IF($A40&gt;$B$21,0,IF(ab_gas_deal!$B$9="P",external_curves!X26,external_curves!X26)))</f>
        <v>0</v>
      </c>
      <c r="J40" s="64">
        <f t="shared" ca="1" si="2"/>
        <v>0</v>
      </c>
      <c r="K40" s="64">
        <f t="shared" ca="1" si="3"/>
        <v>0</v>
      </c>
      <c r="L40" s="64">
        <f t="shared" ca="1" si="4"/>
        <v>0</v>
      </c>
      <c r="M40" s="64"/>
      <c r="N40" s="64">
        <f t="shared" ca="1" si="5"/>
        <v>0</v>
      </c>
      <c r="O40" s="64">
        <f t="shared" ca="1" si="6"/>
        <v>0</v>
      </c>
    </row>
    <row r="41" spans="1:15" x14ac:dyDescent="0.2">
      <c r="A41" s="26">
        <f ca="1">swap_model!A66</f>
        <v>36951</v>
      </c>
      <c r="B41" s="67">
        <f ca="1">IF($A41&lt;$B$20,0,IF($A41&gt;$B$21,0,Fwd_curves!H110))</f>
        <v>0</v>
      </c>
      <c r="C41" s="67"/>
      <c r="D41" s="67"/>
      <c r="E41">
        <f ca="1">IF($A41&lt;$B$20,0,IF($A41&gt;$B$21,0,IF(ab_gas_deal!$B$9="P",external_curves!AI27,external_curves!AH27)))</f>
        <v>0</v>
      </c>
      <c r="F41" s="71">
        <f t="shared" ca="1" si="0"/>
        <v>0</v>
      </c>
      <c r="G41" s="71">
        <f t="shared" ca="1" si="1"/>
        <v>0</v>
      </c>
      <c r="H41">
        <f ca="1">IF($A41&lt;$B$20,0,IF($A41&gt;$B$21,0,IF(ab_gas_deal!$B$9="P",external_curves!X27,external_curves!X27)))</f>
        <v>0</v>
      </c>
      <c r="J41" s="64">
        <f t="shared" ca="1" si="2"/>
        <v>0</v>
      </c>
      <c r="K41" s="64">
        <f t="shared" ca="1" si="3"/>
        <v>0</v>
      </c>
      <c r="L41" s="64">
        <f t="shared" ca="1" si="4"/>
        <v>0</v>
      </c>
      <c r="M41" s="64"/>
      <c r="N41" s="64">
        <f t="shared" ca="1" si="5"/>
        <v>0</v>
      </c>
      <c r="O41" s="64">
        <f t="shared" ca="1" si="6"/>
        <v>0</v>
      </c>
    </row>
    <row r="42" spans="1:15" x14ac:dyDescent="0.2">
      <c r="A42" s="26">
        <f ca="1">swap_model!A67</f>
        <v>36982</v>
      </c>
      <c r="B42" s="67">
        <f ca="1">IF($A42&lt;$B$20,0,IF($A42&gt;$B$21,0,Fwd_curves!H111))</f>
        <v>0</v>
      </c>
      <c r="C42" s="67"/>
      <c r="D42" s="67"/>
      <c r="E42">
        <f ca="1">IF($A42&lt;$B$20,0,IF($A42&gt;$B$21,0,IF(ab_gas_deal!$B$9="P",external_curves!AI28,external_curves!AH28)))</f>
        <v>0</v>
      </c>
      <c r="F42" s="71">
        <f t="shared" ca="1" si="0"/>
        <v>0</v>
      </c>
      <c r="G42" s="71">
        <f t="shared" ca="1" si="1"/>
        <v>0</v>
      </c>
      <c r="H42">
        <f ca="1">IF($A42&lt;$B$20,0,IF($A42&gt;$B$21,0,IF(ab_gas_deal!$B$9="P",external_curves!X28,external_curves!X28)))</f>
        <v>0</v>
      </c>
      <c r="J42" s="64">
        <f t="shared" ca="1" si="2"/>
        <v>0</v>
      </c>
      <c r="K42" s="64">
        <f t="shared" ca="1" si="3"/>
        <v>0</v>
      </c>
      <c r="L42" s="64">
        <f t="shared" ca="1" si="4"/>
        <v>0</v>
      </c>
      <c r="M42" s="64"/>
      <c r="N42" s="64">
        <f t="shared" ca="1" si="5"/>
        <v>0</v>
      </c>
      <c r="O42" s="64">
        <f t="shared" ca="1" si="6"/>
        <v>0</v>
      </c>
    </row>
    <row r="43" spans="1:15" x14ac:dyDescent="0.2">
      <c r="A43" s="26">
        <f ca="1">swap_model!A68</f>
        <v>37012</v>
      </c>
      <c r="B43" s="67">
        <f ca="1">IF($A43&lt;$B$20,0,IF($A43&gt;$B$21,0,Fwd_curves!H112))</f>
        <v>0</v>
      </c>
      <c r="C43" s="67"/>
      <c r="D43" s="67"/>
      <c r="E43">
        <f ca="1">IF($A43&lt;$B$20,0,IF($A43&gt;$B$21,0,IF(ab_gas_deal!$B$9="P",external_curves!AI29,external_curves!AH29)))</f>
        <v>0</v>
      </c>
      <c r="F43" s="71">
        <f t="shared" ca="1" si="0"/>
        <v>0</v>
      </c>
      <c r="G43" s="71">
        <f t="shared" ca="1" si="1"/>
        <v>0</v>
      </c>
      <c r="H43">
        <f ca="1">IF($A43&lt;$B$20,0,IF($A43&gt;$B$21,0,IF(ab_gas_deal!$B$9="P",external_curves!X29,external_curves!X29)))</f>
        <v>0</v>
      </c>
      <c r="J43" s="64">
        <f t="shared" ca="1" si="2"/>
        <v>0</v>
      </c>
      <c r="K43" s="64">
        <f t="shared" ca="1" si="3"/>
        <v>0</v>
      </c>
      <c r="L43" s="64">
        <f t="shared" ca="1" si="4"/>
        <v>0</v>
      </c>
      <c r="M43" s="64"/>
      <c r="N43" s="64">
        <f t="shared" ca="1" si="5"/>
        <v>0</v>
      </c>
      <c r="O43" s="64">
        <f t="shared" ca="1" si="6"/>
        <v>0</v>
      </c>
    </row>
    <row r="44" spans="1:15" x14ac:dyDescent="0.2">
      <c r="A44" s="26">
        <f ca="1">swap_model!A69</f>
        <v>37043</v>
      </c>
      <c r="B44" s="67">
        <f ca="1">IF($A44&lt;$B$20,0,IF($A44&gt;$B$21,0,Fwd_curves!H113))</f>
        <v>0</v>
      </c>
      <c r="C44" s="67"/>
      <c r="D44" s="67"/>
      <c r="E44">
        <f ca="1">IF($A44&lt;$B$20,0,IF($A44&gt;$B$21,0,IF(ab_gas_deal!$B$9="P",external_curves!AI30,external_curves!AH30)))</f>
        <v>0</v>
      </c>
      <c r="F44" s="71">
        <f t="shared" ca="1" si="0"/>
        <v>0</v>
      </c>
      <c r="G44" s="71">
        <f t="shared" ca="1" si="1"/>
        <v>0</v>
      </c>
      <c r="H44">
        <f ca="1">IF($A44&lt;$B$20,0,IF($A44&gt;$B$21,0,IF(ab_gas_deal!$B$9="P",external_curves!X30,external_curves!X30)))</f>
        <v>0</v>
      </c>
      <c r="J44" s="64">
        <f t="shared" ca="1" si="2"/>
        <v>0</v>
      </c>
      <c r="K44" s="64">
        <f t="shared" ca="1" si="3"/>
        <v>0</v>
      </c>
      <c r="L44" s="64">
        <f t="shared" ca="1" si="4"/>
        <v>0</v>
      </c>
      <c r="M44" s="64"/>
      <c r="N44" s="64">
        <f t="shared" ca="1" si="5"/>
        <v>0</v>
      </c>
      <c r="O44" s="64">
        <f t="shared" ca="1" si="6"/>
        <v>0</v>
      </c>
    </row>
    <row r="45" spans="1:15" x14ac:dyDescent="0.2">
      <c r="A45" s="26">
        <f ca="1">swap_model!A70</f>
        <v>37073</v>
      </c>
      <c r="B45" s="67">
        <f ca="1">IF($A45&lt;$B$20,0,IF($A45&gt;$B$21,0,Fwd_curves!H114))</f>
        <v>0</v>
      </c>
      <c r="C45" s="67"/>
      <c r="D45" s="67"/>
      <c r="E45">
        <f ca="1">IF($A45&lt;$B$20,0,IF($A45&gt;$B$21,0,IF(ab_gas_deal!$B$9="P",external_curves!AI31,external_curves!AH31)))</f>
        <v>0</v>
      </c>
      <c r="F45" s="71">
        <f t="shared" ca="1" si="0"/>
        <v>0</v>
      </c>
      <c r="G45" s="71">
        <f t="shared" ca="1" si="1"/>
        <v>0</v>
      </c>
      <c r="H45">
        <f ca="1">IF($A45&lt;$B$20,0,IF($A45&gt;$B$21,0,IF(ab_gas_deal!$B$9="P",external_curves!X31,external_curves!X31)))</f>
        <v>0</v>
      </c>
      <c r="J45" s="64">
        <f t="shared" ca="1" si="2"/>
        <v>0</v>
      </c>
      <c r="K45" s="64">
        <f t="shared" ca="1" si="3"/>
        <v>0</v>
      </c>
      <c r="L45" s="64">
        <f t="shared" ca="1" si="4"/>
        <v>0</v>
      </c>
      <c r="M45" s="64"/>
      <c r="N45" s="64">
        <f t="shared" ca="1" si="5"/>
        <v>0</v>
      </c>
      <c r="O45" s="64">
        <f t="shared" ca="1" si="6"/>
        <v>0</v>
      </c>
    </row>
    <row r="46" spans="1:15" x14ac:dyDescent="0.2">
      <c r="A46" s="26">
        <f ca="1">swap_model!A71</f>
        <v>37104</v>
      </c>
      <c r="B46" s="67">
        <f ca="1">IF($A46&lt;$B$20,0,IF($A46&gt;$B$21,0,Fwd_curves!H115))</f>
        <v>0</v>
      </c>
      <c r="C46" s="67"/>
      <c r="D46" s="67"/>
      <c r="E46">
        <f ca="1">IF($A46&lt;$B$20,0,IF($A46&gt;$B$21,0,IF(ab_gas_deal!$B$9="P",external_curves!AI32,external_curves!AH32)))</f>
        <v>0</v>
      </c>
      <c r="F46" s="71">
        <f t="shared" ca="1" si="0"/>
        <v>0</v>
      </c>
      <c r="G46" s="71">
        <f t="shared" ca="1" si="1"/>
        <v>0</v>
      </c>
      <c r="H46">
        <f ca="1">IF($A46&lt;$B$20,0,IF($A46&gt;$B$21,0,IF(ab_gas_deal!$B$9="P",external_curves!X32,external_curves!X32)))</f>
        <v>0</v>
      </c>
      <c r="J46" s="64">
        <f t="shared" ca="1" si="2"/>
        <v>0</v>
      </c>
      <c r="K46" s="64">
        <f t="shared" ca="1" si="3"/>
        <v>0</v>
      </c>
      <c r="L46" s="64">
        <f t="shared" ca="1" si="4"/>
        <v>0</v>
      </c>
      <c r="M46" s="64"/>
      <c r="N46" s="64">
        <f t="shared" ca="1" si="5"/>
        <v>0</v>
      </c>
      <c r="O46" s="64">
        <f t="shared" ca="1" si="6"/>
        <v>0</v>
      </c>
    </row>
    <row r="47" spans="1:15" x14ac:dyDescent="0.2">
      <c r="A47" s="26">
        <f ca="1">swap_model!A72</f>
        <v>37135</v>
      </c>
      <c r="B47" s="67">
        <f ca="1">IF($A47&lt;$B$20,0,IF($A47&gt;$B$21,0,Fwd_curves!H116))</f>
        <v>0</v>
      </c>
      <c r="C47" s="67"/>
      <c r="D47" s="67"/>
      <c r="E47">
        <f ca="1">IF($A47&lt;$B$20,0,IF($A47&gt;$B$21,0,IF(ab_gas_deal!$B$9="P",external_curves!AI33,external_curves!AH33)))</f>
        <v>0</v>
      </c>
      <c r="F47" s="71">
        <f t="shared" ca="1" si="0"/>
        <v>0</v>
      </c>
      <c r="G47" s="71">
        <f t="shared" ca="1" si="1"/>
        <v>0</v>
      </c>
      <c r="H47">
        <f ca="1">IF($A47&lt;$B$20,0,IF($A47&gt;$B$21,0,IF(ab_gas_deal!$B$9="P",external_curves!X33,external_curves!X33)))</f>
        <v>0</v>
      </c>
      <c r="J47" s="64">
        <f t="shared" ca="1" si="2"/>
        <v>0</v>
      </c>
      <c r="K47" s="64">
        <f t="shared" ca="1" si="3"/>
        <v>0</v>
      </c>
      <c r="L47" s="64">
        <f t="shared" ca="1" si="4"/>
        <v>0</v>
      </c>
      <c r="M47" s="64"/>
      <c r="N47" s="64">
        <f t="shared" ca="1" si="5"/>
        <v>0</v>
      </c>
      <c r="O47" s="64">
        <f t="shared" ca="1" si="6"/>
        <v>0</v>
      </c>
    </row>
    <row r="48" spans="1:15" x14ac:dyDescent="0.2">
      <c r="A48" s="26">
        <f ca="1">swap_model!A73</f>
        <v>37165</v>
      </c>
      <c r="B48" s="67">
        <f ca="1">IF($A48&lt;$B$20,0,IF($A48&gt;$B$21,0,Fwd_curves!H117))</f>
        <v>0</v>
      </c>
      <c r="C48" s="67"/>
      <c r="D48" s="67"/>
      <c r="E48">
        <f ca="1">IF($A48&lt;$B$20,0,IF($A48&gt;$B$21,0,IF(ab_gas_deal!$B$9="P",external_curves!AI34,external_curves!AH34)))</f>
        <v>0</v>
      </c>
      <c r="F48" s="71">
        <f t="shared" ca="1" si="0"/>
        <v>0</v>
      </c>
      <c r="G48" s="71">
        <f t="shared" ca="1" si="1"/>
        <v>0</v>
      </c>
      <c r="H48">
        <f ca="1">IF($A48&lt;$B$20,0,IF($A48&gt;$B$21,0,IF(ab_gas_deal!$B$9="P",external_curves!X34,external_curves!X34)))</f>
        <v>0</v>
      </c>
      <c r="J48" s="64">
        <f t="shared" ca="1" si="2"/>
        <v>0</v>
      </c>
      <c r="K48" s="64">
        <f t="shared" ca="1" si="3"/>
        <v>0</v>
      </c>
      <c r="L48" s="64">
        <f t="shared" ca="1" si="4"/>
        <v>0</v>
      </c>
      <c r="M48" s="64"/>
      <c r="N48" s="64">
        <f t="shared" ca="1" si="5"/>
        <v>0</v>
      </c>
      <c r="O48" s="64">
        <f t="shared" ca="1" si="6"/>
        <v>0</v>
      </c>
    </row>
    <row r="49" spans="1:15" x14ac:dyDescent="0.2">
      <c r="A49" s="26">
        <f ca="1">swap_model!A74</f>
        <v>37196</v>
      </c>
      <c r="B49" s="67">
        <f ca="1">IF($A49&lt;$B$20,0,IF($A49&gt;$B$21,0,Fwd_curves!H118))</f>
        <v>0</v>
      </c>
      <c r="C49" s="67"/>
      <c r="D49" s="67"/>
      <c r="E49">
        <f ca="1">IF($A49&lt;$B$20,0,IF($A49&gt;$B$21,0,IF(ab_gas_deal!$B$9="P",external_curves!AI35,external_curves!AH35)))</f>
        <v>0</v>
      </c>
      <c r="F49" s="71">
        <f t="shared" ca="1" si="0"/>
        <v>0</v>
      </c>
      <c r="G49" s="71">
        <f t="shared" ca="1" si="1"/>
        <v>0</v>
      </c>
      <c r="H49">
        <f ca="1">IF($A49&lt;$B$20,0,IF($A49&gt;$B$21,0,IF(ab_gas_deal!$B$9="P",external_curves!X35,external_curves!X35)))</f>
        <v>0</v>
      </c>
      <c r="J49" s="64">
        <f t="shared" ca="1" si="2"/>
        <v>0</v>
      </c>
      <c r="K49" s="64">
        <f t="shared" ca="1" si="3"/>
        <v>0</v>
      </c>
      <c r="L49" s="64">
        <f t="shared" ca="1" si="4"/>
        <v>0</v>
      </c>
      <c r="M49" s="64"/>
      <c r="N49" s="64">
        <f t="shared" ca="1" si="5"/>
        <v>0</v>
      </c>
      <c r="O49" s="64">
        <f t="shared" ca="1" si="6"/>
        <v>0</v>
      </c>
    </row>
    <row r="50" spans="1:15" x14ac:dyDescent="0.2">
      <c r="A50" s="26">
        <f ca="1">swap_model!A75</f>
        <v>37226</v>
      </c>
      <c r="B50" s="67">
        <f ca="1">IF($A50&lt;$B$20,0,IF($A50&gt;$B$21,0,Fwd_curves!H119))</f>
        <v>0</v>
      </c>
      <c r="C50" s="67"/>
      <c r="D50" s="67"/>
      <c r="E50">
        <f ca="1">IF($A50&lt;$B$20,0,IF($A50&gt;$B$21,0,IF(ab_gas_deal!$B$9="P",external_curves!AI36,external_curves!AH36)))</f>
        <v>0</v>
      </c>
      <c r="F50" s="71">
        <f t="shared" ca="1" si="0"/>
        <v>0</v>
      </c>
      <c r="G50" s="71">
        <f t="shared" ca="1" si="1"/>
        <v>0</v>
      </c>
      <c r="H50">
        <f ca="1">IF($A50&lt;$B$20,0,IF($A50&gt;$B$21,0,IF(ab_gas_deal!$B$9="P",external_curves!X36,external_curves!X36)))</f>
        <v>0</v>
      </c>
      <c r="J50" s="64">
        <f t="shared" ca="1" si="2"/>
        <v>0</v>
      </c>
      <c r="K50" s="64">
        <f t="shared" ca="1" si="3"/>
        <v>0</v>
      </c>
      <c r="L50" s="64">
        <f t="shared" ca="1" si="4"/>
        <v>0</v>
      </c>
      <c r="M50" s="64"/>
      <c r="N50" s="64">
        <f t="shared" ca="1" si="5"/>
        <v>0</v>
      </c>
      <c r="O50" s="64">
        <f t="shared" ca="1" si="6"/>
        <v>0</v>
      </c>
    </row>
    <row r="51" spans="1:15" x14ac:dyDescent="0.2">
      <c r="A51" s="26"/>
    </row>
    <row r="52" spans="1:15" x14ac:dyDescent="0.2">
      <c r="A52" s="26"/>
    </row>
  </sheetData>
  <pageMargins left="0.75" right="0.75" top="1" bottom="1" header="0.5" footer="0.5"/>
  <pageSetup scale="52" orientation="landscape" horizont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55"/>
  <sheetViews>
    <sheetView workbookViewId="0">
      <selection activeCell="C26" sqref="C26:C27"/>
    </sheetView>
  </sheetViews>
  <sheetFormatPr defaultRowHeight="12.75" x14ac:dyDescent="0.2"/>
  <cols>
    <col min="1" max="1" width="23.85546875" customWidth="1"/>
    <col min="2" max="2" width="18.7109375" customWidth="1"/>
    <col min="3" max="3" width="11.5703125" customWidth="1"/>
    <col min="6" max="6" width="26" customWidth="1"/>
    <col min="7" max="7" width="17.42578125" customWidth="1"/>
    <col min="8" max="8" width="15" customWidth="1"/>
    <col min="9" max="9" width="16.28515625" customWidth="1"/>
    <col min="10" max="10" width="11.42578125" customWidth="1"/>
    <col min="11" max="11" width="12.85546875" customWidth="1"/>
    <col min="12" max="12" width="13.140625" customWidth="1"/>
    <col min="13" max="13" width="16.28515625" customWidth="1"/>
  </cols>
  <sheetData>
    <row r="2" spans="1:7" ht="15.75" x14ac:dyDescent="0.25">
      <c r="A2" s="29" t="s">
        <v>198</v>
      </c>
    </row>
    <row r="3" spans="1:7" x14ac:dyDescent="0.2">
      <c r="A3" t="s">
        <v>195</v>
      </c>
    </row>
    <row r="4" spans="1:7" ht="15.75" x14ac:dyDescent="0.25">
      <c r="A4" s="29" t="s">
        <v>44</v>
      </c>
      <c r="F4" s="29" t="s">
        <v>161</v>
      </c>
    </row>
    <row r="5" spans="1:7" x14ac:dyDescent="0.2">
      <c r="C5">
        <v>1.055056</v>
      </c>
    </row>
    <row r="6" spans="1:7" x14ac:dyDescent="0.2">
      <c r="A6" t="s">
        <v>196</v>
      </c>
      <c r="B6" s="125">
        <v>5000</v>
      </c>
      <c r="C6">
        <v>2500</v>
      </c>
      <c r="F6" t="s">
        <v>204</v>
      </c>
      <c r="G6" s="12">
        <f>(1/B8)*G9</f>
        <v>1.4717929773850138</v>
      </c>
    </row>
    <row r="7" spans="1:7" x14ac:dyDescent="0.2">
      <c r="A7" t="s">
        <v>218</v>
      </c>
      <c r="B7" s="71">
        <f ca="1">SUM(F30:F53)</f>
        <v>1070000</v>
      </c>
    </row>
    <row r="8" spans="1:7" ht="15" x14ac:dyDescent="0.2">
      <c r="A8" s="47" t="s">
        <v>151</v>
      </c>
      <c r="B8" s="83">
        <v>21.742188264042081</v>
      </c>
      <c r="F8" t="s">
        <v>219</v>
      </c>
      <c r="G8" s="74">
        <v>2.58</v>
      </c>
    </row>
    <row r="9" spans="1:7" ht="15" x14ac:dyDescent="0.2">
      <c r="A9" s="47" t="s">
        <v>24</v>
      </c>
      <c r="B9" s="68" t="s">
        <v>212</v>
      </c>
      <c r="C9" t="s">
        <v>152</v>
      </c>
      <c r="F9" t="s">
        <v>203</v>
      </c>
      <c r="G9" s="74">
        <v>32</v>
      </c>
    </row>
    <row r="10" spans="1:7" ht="15" x14ac:dyDescent="0.2">
      <c r="A10" s="47" t="s">
        <v>215</v>
      </c>
      <c r="B10" s="79">
        <v>2.87</v>
      </c>
      <c r="C10" s="47" t="s">
        <v>150</v>
      </c>
      <c r="F10" t="s">
        <v>162</v>
      </c>
      <c r="G10" s="64">
        <f ca="1">SUM(O30:O53)</f>
        <v>22.569199107749995</v>
      </c>
    </row>
    <row r="11" spans="1:7" ht="15" x14ac:dyDescent="0.2">
      <c r="A11" s="47" t="s">
        <v>199</v>
      </c>
      <c r="B11" s="75">
        <v>62.4</v>
      </c>
      <c r="C11" s="47"/>
      <c r="F11" t="s">
        <v>216</v>
      </c>
      <c r="G11">
        <f ca="1">G10/B13</f>
        <v>4.5860165978444013E-4</v>
      </c>
    </row>
    <row r="12" spans="1:7" ht="15" x14ac:dyDescent="0.2">
      <c r="A12" s="47" t="s">
        <v>188</v>
      </c>
      <c r="B12" s="76">
        <f>B11/B10</f>
        <v>21.742160278745644</v>
      </c>
      <c r="C12" s="47"/>
      <c r="F12" t="s">
        <v>217</v>
      </c>
      <c r="G12" s="12">
        <f ca="1">G10/B7</f>
        <v>2.1092709446495322E-5</v>
      </c>
    </row>
    <row r="13" spans="1:7" ht="14.25" customHeight="1" x14ac:dyDescent="0.2">
      <c r="A13" s="47" t="s">
        <v>200</v>
      </c>
      <c r="B13" s="71">
        <f ca="1">(1/B8)*B7</f>
        <v>49213.077681311399</v>
      </c>
      <c r="C13" s="47" t="s">
        <v>201</v>
      </c>
      <c r="F13" t="s">
        <v>209</v>
      </c>
    </row>
    <row r="14" spans="1:7" ht="15" x14ac:dyDescent="0.2">
      <c r="A14" s="47" t="s">
        <v>9</v>
      </c>
      <c r="B14" s="71">
        <f ca="1">SUM(E30:E53)/(IF(B9="F",24,16))</f>
        <v>150</v>
      </c>
      <c r="C14" s="47"/>
      <c r="F14" t="s">
        <v>207</v>
      </c>
      <c r="G14">
        <v>9.5</v>
      </c>
    </row>
    <row r="15" spans="1:7" ht="15" x14ac:dyDescent="0.2">
      <c r="A15" s="47" t="s">
        <v>202</v>
      </c>
      <c r="B15" s="80">
        <f ca="1">B13/B14</f>
        <v>328.08718454207599</v>
      </c>
      <c r="C15" s="47"/>
      <c r="F15" t="s">
        <v>208</v>
      </c>
      <c r="G15">
        <v>7</v>
      </c>
    </row>
    <row r="16" spans="1:7" x14ac:dyDescent="0.2">
      <c r="A16" t="s">
        <v>202</v>
      </c>
      <c r="B16" s="35">
        <f ca="1">B15/(IF(B9="F",24,16))</f>
        <v>20.505449033879749</v>
      </c>
    </row>
    <row r="17" spans="1:15" x14ac:dyDescent="0.2">
      <c r="F17" t="s">
        <v>210</v>
      </c>
    </row>
    <row r="18" spans="1:15" x14ac:dyDescent="0.2">
      <c r="F18" t="s">
        <v>207</v>
      </c>
      <c r="G18" s="81">
        <f ca="1">G14*B13</f>
        <v>467524.2379724583</v>
      </c>
    </row>
    <row r="19" spans="1:15" x14ac:dyDescent="0.2">
      <c r="B19" s="77"/>
      <c r="F19" t="s">
        <v>208</v>
      </c>
      <c r="G19" s="81">
        <f ca="1">G15*B13</f>
        <v>344491.54376917979</v>
      </c>
    </row>
    <row r="20" spans="1:15" x14ac:dyDescent="0.2">
      <c r="B20" s="12"/>
    </row>
    <row r="21" spans="1:15" x14ac:dyDescent="0.2">
      <c r="F21" t="s">
        <v>211</v>
      </c>
      <c r="G21" s="82">
        <f ca="1">G10-G19</f>
        <v>-344468.97457007202</v>
      </c>
    </row>
    <row r="23" spans="1:15" ht="15" x14ac:dyDescent="0.2">
      <c r="A23" s="47" t="s">
        <v>78</v>
      </c>
      <c r="B23" s="73">
        <v>36982</v>
      </c>
    </row>
    <row r="24" spans="1:15" ht="15" x14ac:dyDescent="0.2">
      <c r="A24" s="47" t="s">
        <v>79</v>
      </c>
      <c r="B24" s="73">
        <v>37165</v>
      </c>
    </row>
    <row r="25" spans="1:15" ht="15" x14ac:dyDescent="0.2">
      <c r="A25" s="47" t="s">
        <v>80</v>
      </c>
      <c r="B25" s="15">
        <f ca="1">COUNTIF(B30:B53,"&gt;0")</f>
        <v>7</v>
      </c>
    </row>
    <row r="27" spans="1:15" x14ac:dyDescent="0.2">
      <c r="J27" t="s">
        <v>176</v>
      </c>
    </row>
    <row r="28" spans="1:15" x14ac:dyDescent="0.2">
      <c r="J28" t="s">
        <v>166</v>
      </c>
      <c r="K28" t="s">
        <v>205</v>
      </c>
      <c r="L28" t="s">
        <v>170</v>
      </c>
    </row>
    <row r="29" spans="1:15" x14ac:dyDescent="0.2">
      <c r="A29" t="s">
        <v>16</v>
      </c>
      <c r="B29" t="s">
        <v>12</v>
      </c>
      <c r="E29" t="s">
        <v>155</v>
      </c>
      <c r="F29" t="s">
        <v>197</v>
      </c>
      <c r="G29" t="s">
        <v>156</v>
      </c>
      <c r="H29" t="s">
        <v>206</v>
      </c>
      <c r="J29" t="s">
        <v>175</v>
      </c>
      <c r="L29" t="s">
        <v>183</v>
      </c>
      <c r="N29" t="s">
        <v>172</v>
      </c>
      <c r="O29" t="s">
        <v>173</v>
      </c>
    </row>
    <row r="30" spans="1:15" x14ac:dyDescent="0.2">
      <c r="A30" s="26">
        <f ca="1">swap_model!A52</f>
        <v>36526</v>
      </c>
      <c r="B30" s="67">
        <f ca="1">IF($A30&lt;$B$23,0,IF($A30&gt;$B$24,0,Fwd_curves!H96))</f>
        <v>0</v>
      </c>
      <c r="D30" s="67"/>
      <c r="E30">
        <f ca="1">IF($A30&lt;$B$23,0,IF($A30&gt;$B$24,0,IF(PJM_deal!$B$9="P",external_curves!AI14,external_curves!AH14)))</f>
        <v>0</v>
      </c>
      <c r="F30" s="71">
        <f ca="1">$B$6*H30</f>
        <v>0</v>
      </c>
      <c r="G30" s="71">
        <f ca="1">E30*$B$16</f>
        <v>0</v>
      </c>
      <c r="H30">
        <f ca="1">IF($A30&lt;$B$23,0,IF($A30&gt;$B$24,0,IF(PJM_deal!$B$9="P",external_curves!X15,external_curves!X15)))</f>
        <v>0</v>
      </c>
      <c r="J30" s="64">
        <f t="shared" ref="J30:J53" ca="1" si="0">($G$8-((1/($B$8))*$G$9))*F30</f>
        <v>0</v>
      </c>
      <c r="K30" s="64">
        <f ca="1">F30*($B$10-$G$8)</f>
        <v>0</v>
      </c>
      <c r="L30" s="64">
        <f ca="1">G30*($G$9-$B$11)</f>
        <v>0</v>
      </c>
      <c r="M30" s="64"/>
      <c r="N30" s="64">
        <f t="shared" ref="N30:N53" ca="1" si="1">SUM(J30:L30)</f>
        <v>0</v>
      </c>
      <c r="O30" s="64">
        <f t="shared" ref="O30:O53" ca="1" si="2">N30*B30</f>
        <v>0</v>
      </c>
    </row>
    <row r="31" spans="1:15" x14ac:dyDescent="0.2">
      <c r="A31" s="26">
        <f ca="1">swap_model!A53</f>
        <v>36557</v>
      </c>
      <c r="B31" s="67">
        <f ca="1">IF($A31&lt;$B$23,0,IF($A31&gt;$B$24,0,Fwd_curves!H97))</f>
        <v>0</v>
      </c>
      <c r="C31" s="67"/>
      <c r="D31" s="67"/>
      <c r="E31">
        <f ca="1">IF($A31&lt;$B$23,0,IF($A31&gt;$B$24,0,IF(PJM_deal!$B$9="P",external_curves!AI15,external_curves!AH15)))</f>
        <v>0</v>
      </c>
      <c r="F31" s="71">
        <f t="shared" ref="F31:F53" ca="1" si="3">$B$6*H31</f>
        <v>0</v>
      </c>
      <c r="G31" s="71">
        <f t="shared" ref="G31:G53" ca="1" si="4">E31*$B$16</f>
        <v>0</v>
      </c>
      <c r="H31">
        <f ca="1">IF($A31&lt;$B$23,0,IF($A31&gt;$B$24,0,IF(PJM_deal!$B$9="P",external_curves!X16,external_curves!X16)))</f>
        <v>0</v>
      </c>
      <c r="J31" s="64">
        <f t="shared" ca="1" si="0"/>
        <v>0</v>
      </c>
      <c r="K31" s="64">
        <f t="shared" ref="K31:K53" ca="1" si="5">F31*($B$10-$G$8)</f>
        <v>0</v>
      </c>
      <c r="L31" s="64">
        <f t="shared" ref="L31:L53" ca="1" si="6">G31*($G$9-$B$11)</f>
        <v>0</v>
      </c>
      <c r="M31" s="64"/>
      <c r="N31" s="64">
        <f t="shared" ca="1" si="1"/>
        <v>0</v>
      </c>
      <c r="O31" s="64">
        <f t="shared" ca="1" si="2"/>
        <v>0</v>
      </c>
    </row>
    <row r="32" spans="1:15" x14ac:dyDescent="0.2">
      <c r="A32" s="26">
        <f ca="1">swap_model!A54</f>
        <v>36586</v>
      </c>
      <c r="B32" s="67">
        <f ca="1">IF($A32&lt;$B$23,0,IF($A32&gt;$B$24,0,Fwd_curves!H98))</f>
        <v>0</v>
      </c>
      <c r="C32" s="67"/>
      <c r="D32" s="67"/>
      <c r="E32">
        <f ca="1">IF($A32&lt;$B$23,0,IF($A32&gt;$B$24,0,IF(PJM_deal!$B$9="P",external_curves!AI16,external_curves!AH16)))</f>
        <v>0</v>
      </c>
      <c r="F32" s="71">
        <f t="shared" ca="1" si="3"/>
        <v>0</v>
      </c>
      <c r="G32" s="71">
        <f t="shared" ca="1" si="4"/>
        <v>0</v>
      </c>
      <c r="H32">
        <f ca="1">IF($A32&lt;$B$23,0,IF($A32&gt;$B$24,0,IF(PJM_deal!$B$9="P",external_curves!#REF!,external_curves!#REF!)))</f>
        <v>0</v>
      </c>
      <c r="J32" s="64">
        <f t="shared" ca="1" si="0"/>
        <v>0</v>
      </c>
      <c r="K32" s="64">
        <f t="shared" ca="1" si="5"/>
        <v>0</v>
      </c>
      <c r="L32" s="64">
        <f t="shared" ca="1" si="6"/>
        <v>0</v>
      </c>
      <c r="M32" s="64"/>
      <c r="N32" s="64">
        <f t="shared" ca="1" si="1"/>
        <v>0</v>
      </c>
      <c r="O32" s="64">
        <f t="shared" ca="1" si="2"/>
        <v>0</v>
      </c>
    </row>
    <row r="33" spans="1:15" x14ac:dyDescent="0.2">
      <c r="A33" s="26">
        <f ca="1">swap_model!A55</f>
        <v>36617</v>
      </c>
      <c r="B33" s="67">
        <f ca="1">IF($A33&lt;$B$23,0,IF($A33&gt;$B$24,0,Fwd_curves!H99))</f>
        <v>0</v>
      </c>
      <c r="C33" s="67"/>
      <c r="D33" s="67"/>
      <c r="E33">
        <f ca="1">IF($A33&lt;$B$23,0,IF($A33&gt;$B$24,0,IF(PJM_deal!$B$9="P",external_curves!#REF!,external_curves!#REF!)))</f>
        <v>0</v>
      </c>
      <c r="F33" s="71">
        <f t="shared" ca="1" si="3"/>
        <v>0</v>
      </c>
      <c r="G33" s="71">
        <f t="shared" ca="1" si="4"/>
        <v>0</v>
      </c>
      <c r="H33">
        <f ca="1">IF($A33&lt;$B$23,0,IF($A33&gt;$B$24,0,IF(PJM_deal!$B$9="P",external_curves!X16,external_curves!X16)))</f>
        <v>0</v>
      </c>
      <c r="J33" s="64">
        <f t="shared" ca="1" si="0"/>
        <v>0</v>
      </c>
      <c r="K33" s="64">
        <f t="shared" ca="1" si="5"/>
        <v>0</v>
      </c>
      <c r="L33" s="64">
        <f t="shared" ca="1" si="6"/>
        <v>0</v>
      </c>
      <c r="M33" s="64"/>
      <c r="N33" s="64">
        <f t="shared" ca="1" si="1"/>
        <v>0</v>
      </c>
      <c r="O33" s="64">
        <f t="shared" ca="1" si="2"/>
        <v>0</v>
      </c>
    </row>
    <row r="34" spans="1:15" x14ac:dyDescent="0.2">
      <c r="A34" s="26">
        <f ca="1">swap_model!A56</f>
        <v>36647</v>
      </c>
      <c r="B34" s="67">
        <f ca="1">IF($A34&lt;$B$23,0,IF($A34&gt;$B$24,0,Fwd_curves!H100))</f>
        <v>0</v>
      </c>
      <c r="C34" s="67"/>
      <c r="D34" s="67"/>
      <c r="E34">
        <f ca="1">IF($A34&lt;$B$23,0,IF($A34&gt;$B$24,0,IF(PJM_deal!$B$9="P",external_curves!AI17,external_curves!AH17)))</f>
        <v>0</v>
      </c>
      <c r="F34" s="71">
        <f t="shared" ca="1" si="3"/>
        <v>0</v>
      </c>
      <c r="G34" s="71">
        <f t="shared" ca="1" si="4"/>
        <v>0</v>
      </c>
      <c r="H34">
        <f ca="1">IF($A34&lt;$B$23,0,IF($A34&gt;$B$24,0,IF(PJM_deal!$B$9="P",external_curves!X17,external_curves!X17)))</f>
        <v>0</v>
      </c>
      <c r="J34" s="64">
        <f t="shared" ca="1" si="0"/>
        <v>0</v>
      </c>
      <c r="K34" s="64">
        <f t="shared" ca="1" si="5"/>
        <v>0</v>
      </c>
      <c r="L34" s="64">
        <f t="shared" ca="1" si="6"/>
        <v>0</v>
      </c>
      <c r="M34" s="64"/>
      <c r="N34" s="64">
        <f t="shared" ca="1" si="1"/>
        <v>0</v>
      </c>
      <c r="O34" s="64">
        <f t="shared" ca="1" si="2"/>
        <v>0</v>
      </c>
    </row>
    <row r="35" spans="1:15" x14ac:dyDescent="0.2">
      <c r="A35" s="26">
        <f ca="1">swap_model!A57</f>
        <v>36678</v>
      </c>
      <c r="B35" s="67">
        <f ca="1">IF($A35&lt;$B$23,0,IF($A35&gt;$B$24,0,Fwd_curves!H101))</f>
        <v>0</v>
      </c>
      <c r="C35" s="67"/>
      <c r="D35" s="67"/>
      <c r="E35">
        <f ca="1">IF($A35&lt;$B$23,0,IF($A35&gt;$B$24,0,IF(PJM_deal!$B$9="P",external_curves!AI18,external_curves!AH18)))</f>
        <v>0</v>
      </c>
      <c r="F35" s="71">
        <f t="shared" ca="1" si="3"/>
        <v>0</v>
      </c>
      <c r="G35" s="71">
        <f t="shared" ca="1" si="4"/>
        <v>0</v>
      </c>
      <c r="H35">
        <f ca="1">IF($A35&lt;$B$23,0,IF($A35&gt;$B$24,0,IF(PJM_deal!$B$9="P",external_curves!X18,external_curves!X18)))</f>
        <v>0</v>
      </c>
      <c r="J35" s="64">
        <f t="shared" ca="1" si="0"/>
        <v>0</v>
      </c>
      <c r="K35" s="64">
        <f t="shared" ca="1" si="5"/>
        <v>0</v>
      </c>
      <c r="L35" s="64">
        <f t="shared" ca="1" si="6"/>
        <v>0</v>
      </c>
      <c r="M35" s="64"/>
      <c r="N35" s="64">
        <f t="shared" ca="1" si="1"/>
        <v>0</v>
      </c>
      <c r="O35" s="64">
        <f t="shared" ca="1" si="2"/>
        <v>0</v>
      </c>
    </row>
    <row r="36" spans="1:15" x14ac:dyDescent="0.2">
      <c r="A36" s="26">
        <f ca="1">swap_model!A58</f>
        <v>36708</v>
      </c>
      <c r="B36" s="67">
        <f ca="1">IF($A36&lt;$B$23,0,IF($A36&gt;$B$24,0,Fwd_curves!H102))</f>
        <v>0</v>
      </c>
      <c r="C36" s="67"/>
      <c r="D36" s="67"/>
      <c r="E36">
        <f ca="1">IF($A36&lt;$B$23,0,IF($A36&gt;$B$24,0,IF(PJM_deal!$B$9="P",external_curves!AI19,external_curves!AH19)))</f>
        <v>0</v>
      </c>
      <c r="F36" s="71">
        <f t="shared" ca="1" si="3"/>
        <v>0</v>
      </c>
      <c r="G36" s="71">
        <f t="shared" ca="1" si="4"/>
        <v>0</v>
      </c>
      <c r="H36">
        <f ca="1">IF($A36&lt;$B$23,0,IF($A36&gt;$B$24,0,IF(PJM_deal!$B$9="P",external_curves!X19,external_curves!X19)))</f>
        <v>0</v>
      </c>
      <c r="J36" s="64">
        <f t="shared" ca="1" si="0"/>
        <v>0</v>
      </c>
      <c r="K36" s="64">
        <f t="shared" ca="1" si="5"/>
        <v>0</v>
      </c>
      <c r="L36" s="64">
        <f t="shared" ca="1" si="6"/>
        <v>0</v>
      </c>
      <c r="M36" s="64"/>
      <c r="N36" s="64">
        <f t="shared" ca="1" si="1"/>
        <v>0</v>
      </c>
      <c r="O36" s="64">
        <f t="shared" ca="1" si="2"/>
        <v>0</v>
      </c>
    </row>
    <row r="37" spans="1:15" x14ac:dyDescent="0.2">
      <c r="A37" s="26">
        <f ca="1">swap_model!A59</f>
        <v>36739</v>
      </c>
      <c r="B37" s="67">
        <f ca="1">IF($A37&lt;$B$23,0,IF($A37&gt;$B$24,0,Fwd_curves!H103))</f>
        <v>0</v>
      </c>
      <c r="C37" s="67"/>
      <c r="D37" s="67"/>
      <c r="E37">
        <f ca="1">IF($A37&lt;$B$23,0,IF($A37&gt;$B$24,0,IF(PJM_deal!$B$9="P",external_curves!AI20,external_curves!AH20)))</f>
        <v>0</v>
      </c>
      <c r="F37" s="71">
        <f t="shared" ca="1" si="3"/>
        <v>0</v>
      </c>
      <c r="G37" s="71">
        <f t="shared" ca="1" si="4"/>
        <v>0</v>
      </c>
      <c r="H37">
        <f ca="1">IF($A37&lt;$B$23,0,IF($A37&gt;$B$24,0,IF(PJM_deal!$B$9="P",external_curves!X20,external_curves!X20)))</f>
        <v>0</v>
      </c>
      <c r="J37" s="64">
        <f t="shared" ca="1" si="0"/>
        <v>0</v>
      </c>
      <c r="K37" s="64">
        <f t="shared" ca="1" si="5"/>
        <v>0</v>
      </c>
      <c r="L37" s="64">
        <f t="shared" ca="1" si="6"/>
        <v>0</v>
      </c>
      <c r="M37" s="64"/>
      <c r="N37" s="64">
        <f t="shared" ca="1" si="1"/>
        <v>0</v>
      </c>
      <c r="O37" s="64">
        <f t="shared" ca="1" si="2"/>
        <v>0</v>
      </c>
    </row>
    <row r="38" spans="1:15" x14ac:dyDescent="0.2">
      <c r="A38" s="26">
        <f ca="1">swap_model!A60</f>
        <v>36770</v>
      </c>
      <c r="B38" s="67">
        <f ca="1">IF($A38&lt;$B$23,0,IF($A38&gt;$B$24,0,Fwd_curves!H104))</f>
        <v>0</v>
      </c>
      <c r="C38" s="67"/>
      <c r="D38" s="67"/>
      <c r="E38">
        <f ca="1">IF($A38&lt;$B$23,0,IF($A38&gt;$B$24,0,IF(PJM_deal!$B$9="P",external_curves!AI21,external_curves!AH21)))</f>
        <v>0</v>
      </c>
      <c r="F38" s="71">
        <f t="shared" ca="1" si="3"/>
        <v>0</v>
      </c>
      <c r="G38" s="71">
        <f t="shared" ca="1" si="4"/>
        <v>0</v>
      </c>
      <c r="H38">
        <f ca="1">IF($A38&lt;$B$23,0,IF($A38&gt;$B$24,0,IF(PJM_deal!$B$9="P",external_curves!X21,external_curves!X21)))</f>
        <v>0</v>
      </c>
      <c r="J38" s="64">
        <f t="shared" ca="1" si="0"/>
        <v>0</v>
      </c>
      <c r="K38" s="64">
        <f t="shared" ca="1" si="5"/>
        <v>0</v>
      </c>
      <c r="L38" s="64">
        <f t="shared" ca="1" si="6"/>
        <v>0</v>
      </c>
      <c r="M38" s="64"/>
      <c r="N38" s="64">
        <f t="shared" ca="1" si="1"/>
        <v>0</v>
      </c>
      <c r="O38" s="64">
        <f t="shared" ca="1" si="2"/>
        <v>0</v>
      </c>
    </row>
    <row r="39" spans="1:15" x14ac:dyDescent="0.2">
      <c r="A39" s="26">
        <f ca="1">swap_model!A61</f>
        <v>36800</v>
      </c>
      <c r="B39" s="67">
        <f ca="1">IF($A39&lt;$B$23,0,IF($A39&gt;$B$24,0,Fwd_curves!H105))</f>
        <v>0</v>
      </c>
      <c r="C39" s="67"/>
      <c r="D39" s="67"/>
      <c r="E39">
        <f ca="1">IF($A39&lt;$B$23,0,IF($A39&gt;$B$24,0,IF(PJM_deal!$B$9="P",external_curves!AI22,external_curves!AH22)))</f>
        <v>0</v>
      </c>
      <c r="F39" s="71">
        <f t="shared" ca="1" si="3"/>
        <v>0</v>
      </c>
      <c r="G39" s="71">
        <f t="shared" ca="1" si="4"/>
        <v>0</v>
      </c>
      <c r="H39">
        <f ca="1">IF($A39&lt;$B$23,0,IF($A39&gt;$B$24,0,IF(PJM_deal!$B$9="P",external_curves!X22,external_curves!X22)))</f>
        <v>0</v>
      </c>
      <c r="J39" s="64">
        <f t="shared" ca="1" si="0"/>
        <v>0</v>
      </c>
      <c r="K39" s="64">
        <f t="shared" ca="1" si="5"/>
        <v>0</v>
      </c>
      <c r="L39" s="64">
        <f t="shared" ca="1" si="6"/>
        <v>0</v>
      </c>
      <c r="M39" s="64"/>
      <c r="N39" s="64">
        <f t="shared" ca="1" si="1"/>
        <v>0</v>
      </c>
      <c r="O39" s="64">
        <f t="shared" ca="1" si="2"/>
        <v>0</v>
      </c>
    </row>
    <row r="40" spans="1:15" x14ac:dyDescent="0.2">
      <c r="A40" s="26">
        <f ca="1">swap_model!A62</f>
        <v>36831</v>
      </c>
      <c r="B40" s="67">
        <f ca="1">IF($A40&lt;$B$23,0,IF($A40&gt;$B$24,0,Fwd_curves!H106))</f>
        <v>0</v>
      </c>
      <c r="C40" s="67"/>
      <c r="D40" s="67"/>
      <c r="E40">
        <f ca="1">IF($A40&lt;$B$23,0,IF($A40&gt;$B$24,0,IF(PJM_deal!$B$9="P",external_curves!AI23,external_curves!AH23)))</f>
        <v>0</v>
      </c>
      <c r="F40" s="71">
        <f t="shared" ca="1" si="3"/>
        <v>0</v>
      </c>
      <c r="G40" s="71">
        <f t="shared" ca="1" si="4"/>
        <v>0</v>
      </c>
      <c r="H40">
        <f ca="1">IF($A40&lt;$B$23,0,IF($A40&gt;$B$24,0,IF(PJM_deal!$B$9="P",external_curves!X23,external_curves!X23)))</f>
        <v>0</v>
      </c>
      <c r="J40" s="64">
        <f t="shared" ca="1" si="0"/>
        <v>0</v>
      </c>
      <c r="K40" s="64">
        <f t="shared" ca="1" si="5"/>
        <v>0</v>
      </c>
      <c r="L40" s="64">
        <f t="shared" ca="1" si="6"/>
        <v>0</v>
      </c>
      <c r="M40" s="64"/>
      <c r="N40" s="64">
        <f t="shared" ca="1" si="1"/>
        <v>0</v>
      </c>
      <c r="O40" s="64">
        <f t="shared" ca="1" si="2"/>
        <v>0</v>
      </c>
    </row>
    <row r="41" spans="1:15" x14ac:dyDescent="0.2">
      <c r="A41" s="26">
        <f ca="1">swap_model!A63</f>
        <v>36861</v>
      </c>
      <c r="B41" s="67">
        <f ca="1">IF($A41&lt;$B$23,0,IF($A41&gt;$B$24,0,Fwd_curves!H107))</f>
        <v>0</v>
      </c>
      <c r="C41" s="67"/>
      <c r="D41" s="67"/>
      <c r="E41">
        <f ca="1">IF($A41&lt;$B$23,0,IF($A41&gt;$B$24,0,IF(PJM_deal!$B$9="P",external_curves!AI24,external_curves!AH24)))</f>
        <v>0</v>
      </c>
      <c r="F41" s="71">
        <f t="shared" ca="1" si="3"/>
        <v>0</v>
      </c>
      <c r="G41" s="71">
        <f t="shared" ca="1" si="4"/>
        <v>0</v>
      </c>
      <c r="H41">
        <f ca="1">IF($A41&lt;$B$23,0,IF($A41&gt;$B$24,0,IF(PJM_deal!$B$9="P",external_curves!X24,external_curves!X24)))</f>
        <v>0</v>
      </c>
      <c r="J41" s="64">
        <f t="shared" ca="1" si="0"/>
        <v>0</v>
      </c>
      <c r="K41" s="64">
        <f t="shared" ca="1" si="5"/>
        <v>0</v>
      </c>
      <c r="L41" s="64">
        <f t="shared" ca="1" si="6"/>
        <v>0</v>
      </c>
      <c r="M41" s="64"/>
      <c r="N41" s="64">
        <f t="shared" ca="1" si="1"/>
        <v>0</v>
      </c>
      <c r="O41" s="64">
        <f t="shared" ca="1" si="2"/>
        <v>0</v>
      </c>
    </row>
    <row r="42" spans="1:15" x14ac:dyDescent="0.2">
      <c r="A42" s="26">
        <f ca="1">swap_model!A64</f>
        <v>36892</v>
      </c>
      <c r="B42" s="67">
        <f ca="1">IF($A42&lt;$B$23,0,IF($A42&gt;$B$24,0,Fwd_curves!H108))</f>
        <v>0</v>
      </c>
      <c r="C42" s="67"/>
      <c r="D42" s="67"/>
      <c r="E42">
        <f ca="1">IF($A42&lt;$B$23,0,IF($A42&gt;$B$24,0,IF(PJM_deal!$B$9="P",external_curves!AI25,external_curves!AH25)))</f>
        <v>0</v>
      </c>
      <c r="F42" s="71">
        <f t="shared" ca="1" si="3"/>
        <v>0</v>
      </c>
      <c r="G42" s="71">
        <f t="shared" ca="1" si="4"/>
        <v>0</v>
      </c>
      <c r="H42">
        <f ca="1">IF($A42&lt;$B$23,0,IF($A42&gt;$B$24,0,IF(PJM_deal!$B$9="P",external_curves!X25,external_curves!X25)))</f>
        <v>0</v>
      </c>
      <c r="J42" s="64">
        <f t="shared" ca="1" si="0"/>
        <v>0</v>
      </c>
      <c r="K42" s="64">
        <f t="shared" ca="1" si="5"/>
        <v>0</v>
      </c>
      <c r="L42" s="64">
        <f t="shared" ca="1" si="6"/>
        <v>0</v>
      </c>
      <c r="M42" s="64"/>
      <c r="N42" s="64">
        <f t="shared" ca="1" si="1"/>
        <v>0</v>
      </c>
      <c r="O42" s="64">
        <f t="shared" ca="1" si="2"/>
        <v>0</v>
      </c>
    </row>
    <row r="43" spans="1:15" x14ac:dyDescent="0.2">
      <c r="A43" s="26">
        <f ca="1">swap_model!A65</f>
        <v>36923</v>
      </c>
      <c r="B43" s="67">
        <f ca="1">IF($A43&lt;$B$23,0,IF($A43&gt;$B$24,0,Fwd_curves!H109))</f>
        <v>0</v>
      </c>
      <c r="C43" s="67"/>
      <c r="D43" s="67"/>
      <c r="E43">
        <f ca="1">IF($A43&lt;$B$23,0,IF($A43&gt;$B$24,0,IF(PJM_deal!$B$9="P",external_curves!AI26,external_curves!AH26)))</f>
        <v>0</v>
      </c>
      <c r="F43" s="71">
        <f t="shared" ca="1" si="3"/>
        <v>0</v>
      </c>
      <c r="G43" s="71">
        <f t="shared" ca="1" si="4"/>
        <v>0</v>
      </c>
      <c r="H43">
        <f ca="1">IF($A43&lt;$B$23,0,IF($A43&gt;$B$24,0,IF(PJM_deal!$B$9="P",external_curves!X26,external_curves!X26)))</f>
        <v>0</v>
      </c>
      <c r="J43" s="64">
        <f t="shared" ca="1" si="0"/>
        <v>0</v>
      </c>
      <c r="K43" s="64">
        <f t="shared" ca="1" si="5"/>
        <v>0</v>
      </c>
      <c r="L43" s="64">
        <f t="shared" ca="1" si="6"/>
        <v>0</v>
      </c>
      <c r="M43" s="64"/>
      <c r="N43" s="64">
        <f t="shared" ca="1" si="1"/>
        <v>0</v>
      </c>
      <c r="O43" s="64">
        <f t="shared" ca="1" si="2"/>
        <v>0</v>
      </c>
    </row>
    <row r="44" spans="1:15" x14ac:dyDescent="0.2">
      <c r="A44" s="26">
        <f ca="1">swap_model!A66</f>
        <v>36951</v>
      </c>
      <c r="B44" s="67">
        <f ca="1">IF($A44&lt;$B$23,0,IF($A44&gt;$B$24,0,Fwd_curves!H110))</f>
        <v>0</v>
      </c>
      <c r="C44" s="67"/>
      <c r="D44" s="67"/>
      <c r="E44">
        <f ca="1">IF($A44&lt;$B$23,0,IF($A44&gt;$B$24,0,IF(PJM_deal!$B$9="P",external_curves!AI27,external_curves!AH27)))</f>
        <v>0</v>
      </c>
      <c r="F44" s="71">
        <f t="shared" ca="1" si="3"/>
        <v>0</v>
      </c>
      <c r="G44" s="71">
        <f t="shared" ca="1" si="4"/>
        <v>0</v>
      </c>
      <c r="H44">
        <f ca="1">IF($A44&lt;$B$23,0,IF($A44&gt;$B$24,0,IF(PJM_deal!$B$9="P",external_curves!X27,external_curves!X27)))</f>
        <v>0</v>
      </c>
      <c r="J44" s="64">
        <f t="shared" ca="1" si="0"/>
        <v>0</v>
      </c>
      <c r="K44" s="64">
        <f t="shared" ca="1" si="5"/>
        <v>0</v>
      </c>
      <c r="L44" s="64">
        <f t="shared" ca="1" si="6"/>
        <v>0</v>
      </c>
      <c r="M44" s="64"/>
      <c r="N44" s="64">
        <f t="shared" ca="1" si="1"/>
        <v>0</v>
      </c>
      <c r="O44" s="64">
        <f t="shared" ca="1" si="2"/>
        <v>0</v>
      </c>
    </row>
    <row r="45" spans="1:15" x14ac:dyDescent="0.2">
      <c r="A45" s="26">
        <f ca="1">swap_model!A67</f>
        <v>36982</v>
      </c>
      <c r="B45" s="67">
        <f ca="1">IF($A45&lt;$B$23,0,IF($A45&gt;$B$24,0,Fwd_curves!H111))</f>
        <v>0.88872357302434013</v>
      </c>
      <c r="C45" s="67"/>
      <c r="D45" s="67"/>
      <c r="E45">
        <f ca="1">IF($A45&lt;$B$23,0,IF($A45&gt;$B$24,0,IF(PJM_deal!$B$9="P",(external_curves!AB28-external_curves!AC28)*16,external_curves!AH28)))</f>
        <v>352</v>
      </c>
      <c r="F45" s="71">
        <f t="shared" ca="1" si="3"/>
        <v>155000</v>
      </c>
      <c r="G45" s="71">
        <f t="shared" ca="1" si="4"/>
        <v>7217.9180599256715</v>
      </c>
      <c r="H45">
        <f ca="1">IF($A45&lt;$B$23,0,IF($A45&gt;$B$24,0,IF(PJM_deal!$B$9="P",external_curves!X28,external_curves!X28)))</f>
        <v>31</v>
      </c>
      <c r="J45" s="64">
        <f t="shared" ca="1" si="0"/>
        <v>171772.08850532287</v>
      </c>
      <c r="K45" s="64">
        <f t="shared" ca="1" si="5"/>
        <v>44950.000000000007</v>
      </c>
      <c r="L45" s="64">
        <f t="shared" ca="1" si="6"/>
        <v>-219424.70902174039</v>
      </c>
      <c r="M45" s="64"/>
      <c r="N45" s="64">
        <f t="shared" ca="1" si="1"/>
        <v>-2702.620516417519</v>
      </c>
      <c r="O45" s="64">
        <f t="shared" ca="1" si="2"/>
        <v>-2401.8825618794649</v>
      </c>
    </row>
    <row r="46" spans="1:15" x14ac:dyDescent="0.2">
      <c r="A46" s="26">
        <f ca="1">swap_model!A68</f>
        <v>37012</v>
      </c>
      <c r="B46" s="67">
        <f ca="1">IF($A46&lt;$B$23,0,IF($A46&gt;$B$24,0,Fwd_curves!H112))</f>
        <v>0.88424585983989634</v>
      </c>
      <c r="C46" s="67"/>
      <c r="D46" s="67"/>
      <c r="E46">
        <f ca="1">IF($A46&lt;$B$23,0,IF($A46&gt;$B$24,0,IF(PJM_deal!$B$9="P",(external_curves!AB29-external_curves!AC29)*16,external_curves!AH29)))</f>
        <v>336</v>
      </c>
      <c r="F46" s="71">
        <f t="shared" ca="1" si="3"/>
        <v>150000</v>
      </c>
      <c r="G46" s="71">
        <f t="shared" ca="1" si="4"/>
        <v>6889.8308753835954</v>
      </c>
      <c r="H46">
        <f ca="1">IF($A46&lt;$B$23,0,IF($A46&gt;$B$24,0,IF(PJM_deal!$B$9="P",external_curves!X29,external_curves!X29)))</f>
        <v>30</v>
      </c>
      <c r="J46" s="64">
        <f t="shared" ca="1" si="0"/>
        <v>166231.05339224794</v>
      </c>
      <c r="K46" s="64">
        <f t="shared" ca="1" si="5"/>
        <v>43500.000000000007</v>
      </c>
      <c r="L46" s="64">
        <f t="shared" ca="1" si="6"/>
        <v>-209450.8586116613</v>
      </c>
      <c r="M46" s="64"/>
      <c r="N46" s="64">
        <f t="shared" ca="1" si="1"/>
        <v>280.19478058663663</v>
      </c>
      <c r="O46" s="64">
        <f t="shared" ca="1" si="2"/>
        <v>247.76107468248159</v>
      </c>
    </row>
    <row r="47" spans="1:15" x14ac:dyDescent="0.2">
      <c r="A47" s="26">
        <f ca="1">swap_model!A69</f>
        <v>37043</v>
      </c>
      <c r="B47" s="67">
        <f ca="1">IF($A47&lt;$B$23,0,IF($A47&gt;$B$24,0,Fwd_curves!H113))</f>
        <v>0.87969045149766145</v>
      </c>
      <c r="C47" s="67"/>
      <c r="D47" s="67"/>
      <c r="E47">
        <f ca="1">IF($A47&lt;$B$23,0,IF($A47&gt;$B$24,0,IF(PJM_deal!$B$9="P",(external_curves!AB30-external_curves!AC30)*16,external_curves!AH30)))</f>
        <v>336</v>
      </c>
      <c r="F47" s="71">
        <f t="shared" ca="1" si="3"/>
        <v>155000</v>
      </c>
      <c r="G47" s="71">
        <f t="shared" ca="1" si="4"/>
        <v>6889.8308753835954</v>
      </c>
      <c r="H47">
        <f ca="1">IF($A47&lt;$B$23,0,IF($A47&gt;$B$24,0,IF(PJM_deal!$B$9="P",external_curves!X30,external_curves!X30)))</f>
        <v>31</v>
      </c>
      <c r="J47" s="64">
        <f t="shared" ca="1" si="0"/>
        <v>171772.08850532287</v>
      </c>
      <c r="K47" s="64">
        <f t="shared" ca="1" si="5"/>
        <v>44950.000000000007</v>
      </c>
      <c r="L47" s="64">
        <f t="shared" ca="1" si="6"/>
        <v>-209450.8586116613</v>
      </c>
      <c r="M47" s="64"/>
      <c r="N47" s="64">
        <f t="shared" ca="1" si="1"/>
        <v>7271.2298936615698</v>
      </c>
      <c r="O47" s="64">
        <f t="shared" ca="1" si="2"/>
        <v>6396.4315080984388</v>
      </c>
    </row>
    <row r="48" spans="1:15" x14ac:dyDescent="0.2">
      <c r="A48" s="26">
        <f ca="1">swap_model!A70</f>
        <v>37073</v>
      </c>
      <c r="B48" s="67">
        <f ca="1">IF($A48&lt;$B$23,0,IF($A48&gt;$B$24,0,Fwd_curves!H114))</f>
        <v>0.87515672846675319</v>
      </c>
      <c r="C48" s="67"/>
      <c r="D48" s="67"/>
      <c r="E48">
        <f ca="1">IF($A48&lt;$B$23,0,IF($A48&gt;$B$24,0,IF(PJM_deal!$B$9="P",(external_curves!AB31-external_curves!AC31)*16,external_curves!AH31)))</f>
        <v>368</v>
      </c>
      <c r="F48" s="71">
        <f t="shared" ca="1" si="3"/>
        <v>155000</v>
      </c>
      <c r="G48" s="71">
        <f t="shared" ca="1" si="4"/>
        <v>7546.0052444677476</v>
      </c>
      <c r="H48">
        <f ca="1">IF($A48&lt;$B$23,0,IF($A48&gt;$B$24,0,IF(PJM_deal!$B$9="P",external_curves!X31,external_curves!X31)))</f>
        <v>31</v>
      </c>
      <c r="J48" s="64">
        <f t="shared" ca="1" si="0"/>
        <v>171772.08850532287</v>
      </c>
      <c r="K48" s="64">
        <f t="shared" ca="1" si="5"/>
        <v>44950.000000000007</v>
      </c>
      <c r="L48" s="64">
        <f t="shared" ca="1" si="6"/>
        <v>-229398.55943181951</v>
      </c>
      <c r="M48" s="64"/>
      <c r="N48" s="64">
        <f t="shared" ca="1" si="1"/>
        <v>-12676.470926496637</v>
      </c>
      <c r="O48" s="64">
        <f t="shared" ca="1" si="2"/>
        <v>-11093.898824536709</v>
      </c>
    </row>
    <row r="49" spans="1:15" x14ac:dyDescent="0.2">
      <c r="A49" s="26">
        <f ca="1">swap_model!A71</f>
        <v>37104</v>
      </c>
      <c r="B49" s="67">
        <f ca="1">IF($A49&lt;$B$23,0,IF($A49&gt;$B$24,0,Fwd_curves!H115))</f>
        <v>0.87078981398590283</v>
      </c>
      <c r="C49" s="67"/>
      <c r="D49" s="67"/>
      <c r="E49">
        <f ca="1">IF($A49&lt;$B$23,0,IF($A49&gt;$B$24,0,IF(PJM_deal!$B$9="P",(external_curves!AB32-external_curves!AC32)*16,external_curves!AH32)))</f>
        <v>304</v>
      </c>
      <c r="F49" s="71">
        <f t="shared" ca="1" si="3"/>
        <v>150000</v>
      </c>
      <c r="G49" s="71">
        <f t="shared" ca="1" si="4"/>
        <v>6233.6565062994441</v>
      </c>
      <c r="H49">
        <f ca="1">IF($A49&lt;$B$23,0,IF($A49&gt;$B$24,0,IF(PJM_deal!$B$9="P",external_curves!X32,external_curves!X32)))</f>
        <v>30</v>
      </c>
      <c r="J49" s="64">
        <f t="shared" ca="1" si="0"/>
        <v>166231.05339224794</v>
      </c>
      <c r="K49" s="64">
        <f t="shared" ca="1" si="5"/>
        <v>43500.000000000007</v>
      </c>
      <c r="L49" s="64">
        <f t="shared" ca="1" si="6"/>
        <v>-189503.15779150309</v>
      </c>
      <c r="M49" s="64"/>
      <c r="N49" s="64">
        <f t="shared" ca="1" si="1"/>
        <v>20227.895600744843</v>
      </c>
      <c r="O49" s="64">
        <f t="shared" ca="1" si="2"/>
        <v>17614.245447498863</v>
      </c>
    </row>
    <row r="50" spans="1:15" x14ac:dyDescent="0.2">
      <c r="A50" s="26">
        <f ca="1">swap_model!A72</f>
        <v>37135</v>
      </c>
      <c r="B50" s="67">
        <f ca="1">IF($A50&lt;$B$23,0,IF($A50&gt;$B$24,0,Fwd_curves!H116))</f>
        <v>0.86629848994563052</v>
      </c>
      <c r="C50" s="67"/>
      <c r="D50" s="67"/>
      <c r="E50">
        <f ca="1">IF($A50&lt;$B$23,0,IF($A50&gt;$B$24,0,IF(PJM_deal!$B$9="P",(external_curves!AB33-external_curves!AC33)*16,external_curves!AH33)))</f>
        <v>368</v>
      </c>
      <c r="F50" s="71">
        <f t="shared" ca="1" si="3"/>
        <v>155000</v>
      </c>
      <c r="G50" s="71">
        <f t="shared" ca="1" si="4"/>
        <v>7546.0052444677476</v>
      </c>
      <c r="H50">
        <f ca="1">IF($A50&lt;$B$23,0,IF($A50&gt;$B$24,0,IF(PJM_deal!$B$9="P",external_curves!X33,external_curves!X33)))</f>
        <v>31</v>
      </c>
      <c r="J50" s="64">
        <f t="shared" ca="1" si="0"/>
        <v>171772.08850532287</v>
      </c>
      <c r="K50" s="64">
        <f t="shared" ca="1" si="5"/>
        <v>44950.000000000007</v>
      </c>
      <c r="L50" s="64">
        <f t="shared" ca="1" si="6"/>
        <v>-229398.55943181951</v>
      </c>
      <c r="M50" s="64"/>
      <c r="N50" s="64">
        <f t="shared" ca="1" si="1"/>
        <v>-12676.470926496637</v>
      </c>
      <c r="O50" s="64">
        <f t="shared" ca="1" si="2"/>
        <v>-10981.607621463725</v>
      </c>
    </row>
    <row r="51" spans="1:15" x14ac:dyDescent="0.2">
      <c r="A51" s="26">
        <f ca="1">swap_model!A73</f>
        <v>37165</v>
      </c>
      <c r="B51" s="67">
        <f ca="1">IF($A51&lt;$B$23,0,IF($A51&gt;$B$24,0,Fwd_curves!H117))</f>
        <v>0.8619724328990046</v>
      </c>
      <c r="C51" s="67"/>
      <c r="D51" s="67"/>
      <c r="E51">
        <f ca="1">IF($A51&lt;$B$23,0,IF($A51&gt;$B$24,0,IF(PJM_deal!$B$9="P",(external_curves!AB34-external_curves!AC34)*16,external_curves!AH34)))</f>
        <v>336</v>
      </c>
      <c r="F51" s="71">
        <f t="shared" ca="1" si="3"/>
        <v>150000</v>
      </c>
      <c r="G51" s="71">
        <f t="shared" ca="1" si="4"/>
        <v>6889.8308753835954</v>
      </c>
      <c r="H51">
        <f ca="1">IF($A51&lt;$B$23,0,IF($A51&gt;$B$24,0,IF(PJM_deal!$B$9="P",external_curves!X34,external_curves!X34)))</f>
        <v>30</v>
      </c>
      <c r="J51" s="64">
        <f t="shared" ca="1" si="0"/>
        <v>166231.05339224794</v>
      </c>
      <c r="K51" s="64">
        <f t="shared" ca="1" si="5"/>
        <v>43500.000000000007</v>
      </c>
      <c r="L51" s="64">
        <f t="shared" ca="1" si="6"/>
        <v>-209450.8586116613</v>
      </c>
      <c r="M51" s="64"/>
      <c r="N51" s="64">
        <f t="shared" ca="1" si="1"/>
        <v>280.19478058663663</v>
      </c>
      <c r="O51" s="64">
        <f t="shared" ca="1" si="2"/>
        <v>241.52017670786594</v>
      </c>
    </row>
    <row r="52" spans="1:15" x14ac:dyDescent="0.2">
      <c r="A52" s="26">
        <f ca="1">swap_model!A74</f>
        <v>37196</v>
      </c>
      <c r="B52" s="67">
        <f ca="1">IF($A52&lt;$B$23,0,IF($A52&gt;$B$24,0,Fwd_curves!H118))</f>
        <v>0</v>
      </c>
      <c r="C52" s="67"/>
      <c r="D52" s="67"/>
      <c r="E52">
        <f ca="1">IF($A52&lt;$B$23,0,IF($A52&gt;$B$24,0,IF(PJM_deal!$B$9="P",(external_curves!AB35-external_curves!AC35)*16,external_curves!AH35)))</f>
        <v>0</v>
      </c>
      <c r="F52" s="71">
        <f t="shared" ca="1" si="3"/>
        <v>0</v>
      </c>
      <c r="G52" s="71">
        <f t="shared" ca="1" si="4"/>
        <v>0</v>
      </c>
      <c r="H52">
        <f ca="1">IF($A52&lt;$B$23,0,IF($A52&gt;$B$24,0,IF(PJM_deal!$B$9="P",external_curves!X35,external_curves!X35)))</f>
        <v>0</v>
      </c>
      <c r="J52" s="64">
        <f t="shared" ca="1" si="0"/>
        <v>0</v>
      </c>
      <c r="K52" s="64">
        <f t="shared" ca="1" si="5"/>
        <v>0</v>
      </c>
      <c r="L52" s="64">
        <f t="shared" ca="1" si="6"/>
        <v>0</v>
      </c>
      <c r="M52" s="64"/>
      <c r="N52" s="64">
        <f t="shared" ca="1" si="1"/>
        <v>0</v>
      </c>
      <c r="O52" s="64">
        <f t="shared" ca="1" si="2"/>
        <v>0</v>
      </c>
    </row>
    <row r="53" spans="1:15" x14ac:dyDescent="0.2">
      <c r="A53" s="26">
        <f ca="1">swap_model!A75</f>
        <v>37226</v>
      </c>
      <c r="B53" s="67">
        <f ca="1">IF($A53&lt;$B$23,0,IF($A53&gt;$B$24,0,Fwd_curves!H119))</f>
        <v>0</v>
      </c>
      <c r="C53" s="67"/>
      <c r="D53" s="67"/>
      <c r="E53">
        <f ca="1">IF($A53&lt;$B$23,0,IF($A53&gt;$B$24,0,IF(PJM_deal!$B$9="P",external_curves!AI36,external_curves!AH36)))</f>
        <v>0</v>
      </c>
      <c r="F53" s="71">
        <f t="shared" ca="1" si="3"/>
        <v>0</v>
      </c>
      <c r="G53" s="71">
        <f t="shared" ca="1" si="4"/>
        <v>0</v>
      </c>
      <c r="H53">
        <f ca="1">IF($A53&lt;$B$23,0,IF($A53&gt;$B$24,0,IF(PJM_deal!$B$9="P",external_curves!X36,external_curves!X36)))</f>
        <v>0</v>
      </c>
      <c r="J53" s="64">
        <f t="shared" ca="1" si="0"/>
        <v>0</v>
      </c>
      <c r="K53" s="64">
        <f t="shared" ca="1" si="5"/>
        <v>0</v>
      </c>
      <c r="L53" s="64">
        <f t="shared" ca="1" si="6"/>
        <v>0</v>
      </c>
      <c r="M53" s="64"/>
      <c r="N53" s="64">
        <f t="shared" ca="1" si="1"/>
        <v>0</v>
      </c>
      <c r="O53" s="64">
        <f t="shared" ca="1" si="2"/>
        <v>0</v>
      </c>
    </row>
    <row r="54" spans="1:15" x14ac:dyDescent="0.2">
      <c r="A54" s="26"/>
    </row>
    <row r="55" spans="1:15" x14ac:dyDescent="0.2">
      <c r="A55" s="26"/>
    </row>
  </sheetData>
  <pageMargins left="0.75" right="0.75" top="1" bottom="1" header="0.5" footer="0.5"/>
  <pageSetup scale="56" orientation="landscape" horizont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workbookViewId="0">
      <selection activeCell="B24" sqref="B24"/>
    </sheetView>
  </sheetViews>
  <sheetFormatPr defaultRowHeight="12.75" x14ac:dyDescent="0.2"/>
  <cols>
    <col min="1" max="1" width="12.28515625" customWidth="1"/>
    <col min="2" max="2" width="19.28515625" customWidth="1"/>
    <col min="10" max="10" width="14" customWidth="1"/>
    <col min="12" max="15" width="9.140625" style="220"/>
  </cols>
  <sheetData>
    <row r="1" spans="1:16" x14ac:dyDescent="0.2">
      <c r="A1" s="30" t="str">
        <f ca="1">+[4]Peak!A1</f>
        <v>ref_dt</v>
      </c>
      <c r="B1" s="30" t="str">
        <f ca="1">+[4]Peak!B1</f>
        <v>Book_ID</v>
      </c>
      <c r="C1" s="30" t="str">
        <f ca="1">+[4]Peak!C1</f>
        <v>book_type_cd</v>
      </c>
      <c r="D1" s="30" t="str">
        <f ca="1">+[4]Peak!D1</f>
        <v>reg_cd</v>
      </c>
      <c r="E1" s="30" t="str">
        <f ca="1">+[4]Peak!E1</f>
        <v>instr</v>
      </c>
      <c r="F1" s="30" t="str">
        <f ca="1">+[4]Peak!F1</f>
        <v>commodity</v>
      </c>
      <c r="G1" s="30" t="str">
        <f ca="1">+[4]Peak!G1</f>
        <v>F/P</v>
      </c>
      <c r="H1" s="30" t="str">
        <f ca="1">+[4]Peak!H1</f>
        <v>Location</v>
      </c>
      <c r="I1" s="30" t="str">
        <f ca="1">+[4]Peak!I1</f>
        <v>E/O</v>
      </c>
      <c r="J1" s="30" t="str">
        <f ca="1">+[4]Peak!J1</f>
        <v>ctrparty_cd</v>
      </c>
      <c r="K1" s="30" t="str">
        <f ca="1">+[4]Peak!K1</f>
        <v>Delta</v>
      </c>
      <c r="L1" s="213" t="str">
        <f ca="1">+[4]Peak!L1</f>
        <v>Gamma</v>
      </c>
      <c r="M1" s="213" t="str">
        <f ca="1">+[4]Peak!M1</f>
        <v>Gross_pos</v>
      </c>
      <c r="N1" s="213" t="str">
        <f ca="1">+[4]Peak!N1</f>
        <v>Crv_shift</v>
      </c>
      <c r="O1" s="213" t="str">
        <f ca="1">+[4]Peak!O1</f>
        <v>Baseline P/L</v>
      </c>
      <c r="P1" s="30" t="str">
        <f ca="1">+[4]Peak!P1</f>
        <v>Peakness</v>
      </c>
    </row>
    <row r="2" spans="1:16" s="163" customFormat="1" x14ac:dyDescent="0.2">
      <c r="A2" s="214">
        <f ca="1">+[5]Peak!A3</f>
        <v>36678</v>
      </c>
      <c r="B2" s="215" t="str">
        <f ca="1">+[6]Peak!B3</f>
        <v>FT-CAN-PWRF-HDGI-PRC</v>
      </c>
      <c r="C2" s="215" t="str">
        <f ca="1">+[5]Peak!C3</f>
        <v>P</v>
      </c>
      <c r="D2" s="215" t="str">
        <f ca="1">+[5]Peak!D3</f>
        <v>DESK</v>
      </c>
      <c r="E2" s="215" t="str">
        <f ca="1">+[5]Peak!E3</f>
        <v>S</v>
      </c>
      <c r="F2" s="215" t="str">
        <f ca="1">+[5]Peak!F3</f>
        <v>PWR</v>
      </c>
      <c r="G2" s="215" t="str">
        <f ca="1">+[5]Peak!G3</f>
        <v>P</v>
      </c>
      <c r="H2" s="215" t="str">
        <f ca="1">+[5]Peak!H3</f>
        <v>R9</v>
      </c>
      <c r="I2" s="215" t="str">
        <f ca="1">+[5]Peak!I3</f>
        <v>O</v>
      </c>
      <c r="J2" s="215" t="str">
        <f ca="1">+[5]Peak!J3</f>
        <v>PWRCAN</v>
      </c>
      <c r="K2" s="216">
        <f ca="1">+Peak!K2</f>
        <v>-2925</v>
      </c>
      <c r="L2" s="215">
        <f ca="1">+[5]Peak!L3</f>
        <v>0</v>
      </c>
      <c r="M2" s="215">
        <f ca="1">+[5]Peak!M3</f>
        <v>0</v>
      </c>
      <c r="N2" s="215">
        <f ca="1">+[5]Peak!N3</f>
        <v>0</v>
      </c>
      <c r="O2" s="215">
        <f ca="1">+[5]Peak!O3</f>
        <v>0</v>
      </c>
      <c r="P2" s="215" t="str">
        <f ca="1">+[5]Peak!P3</f>
        <v>P</v>
      </c>
    </row>
    <row r="3" spans="1:16" s="163" customFormat="1" x14ac:dyDescent="0.2">
      <c r="A3" s="214">
        <f ca="1">+[5]Peak!A4</f>
        <v>36708</v>
      </c>
      <c r="B3" s="215" t="str">
        <f ca="1">+[6]Peak!B4</f>
        <v>FT-CAN-PWRF-HDGI-PRC</v>
      </c>
      <c r="C3" s="215" t="str">
        <f ca="1">+[5]Peak!C4</f>
        <v>P</v>
      </c>
      <c r="D3" s="215" t="str">
        <f ca="1">+[5]Peak!D4</f>
        <v>DESK</v>
      </c>
      <c r="E3" s="215" t="str">
        <f ca="1">+[5]Peak!E4</f>
        <v>S</v>
      </c>
      <c r="F3" s="215" t="str">
        <f ca="1">+[5]Peak!F4</f>
        <v>PWR</v>
      </c>
      <c r="G3" s="215" t="str">
        <f ca="1">+[5]Peak!G4</f>
        <v>P</v>
      </c>
      <c r="H3" s="215" t="str">
        <f ca="1">+[5]Peak!H4</f>
        <v>R9</v>
      </c>
      <c r="I3" s="215" t="str">
        <f ca="1">+[5]Peak!I4</f>
        <v>O</v>
      </c>
      <c r="J3" s="215" t="str">
        <f ca="1">+[5]Peak!J4</f>
        <v>PWRCAN</v>
      </c>
      <c r="K3" s="216">
        <f ca="1">+Peak!K3</f>
        <v>0</v>
      </c>
      <c r="L3" s="215">
        <f ca="1">+[5]Peak!L4</f>
        <v>0</v>
      </c>
      <c r="M3" s="215">
        <f ca="1">+[5]Peak!M4</f>
        <v>0</v>
      </c>
      <c r="N3" s="215">
        <f ca="1">+[5]Peak!N4</f>
        <v>0</v>
      </c>
      <c r="O3" s="215">
        <f ca="1">+[5]Peak!O4</f>
        <v>0</v>
      </c>
      <c r="P3" s="215" t="str">
        <f ca="1">+[5]Peak!P4</f>
        <v>P</v>
      </c>
    </row>
    <row r="4" spans="1:16" s="163" customFormat="1" x14ac:dyDescent="0.2">
      <c r="A4" s="214">
        <f ca="1">+[5]Peak!A5</f>
        <v>36739</v>
      </c>
      <c r="B4" s="215" t="str">
        <f ca="1">+[6]Peak!B5</f>
        <v>FT-CAN-PWRF-HDGI-PRC</v>
      </c>
      <c r="C4" s="215" t="str">
        <f ca="1">+[5]Peak!C5</f>
        <v>P</v>
      </c>
      <c r="D4" s="215" t="str">
        <f ca="1">+[5]Peak!D5</f>
        <v>DESK</v>
      </c>
      <c r="E4" s="215" t="str">
        <f ca="1">+[5]Peak!E5</f>
        <v>S</v>
      </c>
      <c r="F4" s="215" t="str">
        <f ca="1">+[5]Peak!F5</f>
        <v>PWR</v>
      </c>
      <c r="G4" s="215" t="str">
        <f ca="1">+[5]Peak!G5</f>
        <v>P</v>
      </c>
      <c r="H4" s="215" t="str">
        <f ca="1">+[5]Peak!H5</f>
        <v>R9</v>
      </c>
      <c r="I4" s="215" t="str">
        <f ca="1">+[5]Peak!I5</f>
        <v>O</v>
      </c>
      <c r="J4" s="215" t="str">
        <f ca="1">+[5]Peak!J5</f>
        <v>PWRCAN</v>
      </c>
      <c r="K4" s="216">
        <f ca="1">+Peak!K4</f>
        <v>0</v>
      </c>
      <c r="L4" s="215">
        <f ca="1">+[5]Peak!L5</f>
        <v>0</v>
      </c>
      <c r="M4" s="215">
        <f ca="1">+[5]Peak!M5</f>
        <v>0</v>
      </c>
      <c r="N4" s="215">
        <f ca="1">+[5]Peak!N5</f>
        <v>0</v>
      </c>
      <c r="O4" s="215">
        <f ca="1">+[5]Peak!O5</f>
        <v>0</v>
      </c>
      <c r="P4" s="215" t="str">
        <f ca="1">+[5]Peak!P5</f>
        <v>P</v>
      </c>
    </row>
    <row r="5" spans="1:16" s="163" customFormat="1" x14ac:dyDescent="0.2">
      <c r="A5" s="214">
        <f ca="1">+[5]Peak!A6</f>
        <v>36770</v>
      </c>
      <c r="B5" s="215" t="str">
        <f ca="1">+[6]Peak!B6</f>
        <v>FT-CAN-PWRF-HDGI-PRC</v>
      </c>
      <c r="C5" s="215" t="str">
        <f ca="1">+[5]Peak!C6</f>
        <v>P</v>
      </c>
      <c r="D5" s="215" t="str">
        <f ca="1">+[5]Peak!D6</f>
        <v>DESK</v>
      </c>
      <c r="E5" s="215" t="str">
        <f ca="1">+[5]Peak!E6</f>
        <v>S</v>
      </c>
      <c r="F5" s="215" t="str">
        <f ca="1">+[5]Peak!F6</f>
        <v>PWR</v>
      </c>
      <c r="G5" s="215" t="str">
        <f ca="1">+[5]Peak!G6</f>
        <v>P</v>
      </c>
      <c r="H5" s="215" t="str">
        <f ca="1">+[5]Peak!H6</f>
        <v>R9</v>
      </c>
      <c r="I5" s="215" t="str">
        <f ca="1">+[5]Peak!I6</f>
        <v>O</v>
      </c>
      <c r="J5" s="215" t="str">
        <f ca="1">+[5]Peak!J6</f>
        <v>PWRCAN</v>
      </c>
      <c r="K5" s="216">
        <f ca="1">+Peak!K5</f>
        <v>0</v>
      </c>
      <c r="L5" s="215">
        <f ca="1">+[5]Peak!L6</f>
        <v>0</v>
      </c>
      <c r="M5" s="215">
        <f ca="1">+[5]Peak!M6</f>
        <v>0</v>
      </c>
      <c r="N5" s="215">
        <f ca="1">+[5]Peak!N6</f>
        <v>0</v>
      </c>
      <c r="O5" s="215">
        <f ca="1">+[5]Peak!O6</f>
        <v>0</v>
      </c>
      <c r="P5" s="215" t="str">
        <f ca="1">+[5]Peak!P6</f>
        <v>P</v>
      </c>
    </row>
    <row r="6" spans="1:16" s="163" customFormat="1" x14ac:dyDescent="0.2">
      <c r="A6" s="214">
        <f ca="1">+[5]Peak!A7</f>
        <v>36800</v>
      </c>
      <c r="B6" s="215" t="str">
        <f ca="1">+[6]Peak!B7</f>
        <v>FT-CAN-PWRF-HDGI-PRC</v>
      </c>
      <c r="C6" s="215" t="str">
        <f ca="1">+[5]Peak!C7</f>
        <v>P</v>
      </c>
      <c r="D6" s="215" t="str">
        <f ca="1">+[5]Peak!D7</f>
        <v>DESK</v>
      </c>
      <c r="E6" s="215" t="str">
        <f ca="1">+[5]Peak!E7</f>
        <v>S</v>
      </c>
      <c r="F6" s="215" t="str">
        <f ca="1">+[5]Peak!F7</f>
        <v>PWR</v>
      </c>
      <c r="G6" s="215" t="str">
        <f ca="1">+[5]Peak!G7</f>
        <v>P</v>
      </c>
      <c r="H6" s="215" t="str">
        <f ca="1">+[5]Peak!H7</f>
        <v>R9</v>
      </c>
      <c r="I6" s="215" t="str">
        <f ca="1">+[5]Peak!I7</f>
        <v>O</v>
      </c>
      <c r="J6" s="215" t="str">
        <f ca="1">+[5]Peak!J7</f>
        <v>PWRCAN</v>
      </c>
      <c r="K6" s="216">
        <f ca="1">+Peak!K6</f>
        <v>-7150</v>
      </c>
      <c r="L6" s="215">
        <f ca="1">+[5]Peak!L7</f>
        <v>0</v>
      </c>
      <c r="M6" s="215">
        <f ca="1">+[5]Peak!M7</f>
        <v>0</v>
      </c>
      <c r="N6" s="215">
        <f ca="1">+[5]Peak!N7</f>
        <v>0</v>
      </c>
      <c r="O6" s="215">
        <f ca="1">+[5]Peak!O7</f>
        <v>0</v>
      </c>
      <c r="P6" s="215" t="str">
        <f ca="1">+[5]Peak!P7</f>
        <v>P</v>
      </c>
    </row>
    <row r="7" spans="1:16" s="163" customFormat="1" x14ac:dyDescent="0.2">
      <c r="A7" s="214">
        <f ca="1">+[5]Peak!A8</f>
        <v>36831</v>
      </c>
      <c r="B7" s="215" t="str">
        <f ca="1">+[6]Peak!B8</f>
        <v>FT-CAN-PWRF-HDGI-PRC</v>
      </c>
      <c r="C7" s="215" t="str">
        <f ca="1">+[5]Peak!C8</f>
        <v>P</v>
      </c>
      <c r="D7" s="215" t="str">
        <f ca="1">+[5]Peak!D8</f>
        <v>DESK</v>
      </c>
      <c r="E7" s="215" t="str">
        <f ca="1">+[5]Peak!E8</f>
        <v>S</v>
      </c>
      <c r="F7" s="215" t="str">
        <f ca="1">+[5]Peak!F8</f>
        <v>PWR</v>
      </c>
      <c r="G7" s="215" t="str">
        <f ca="1">+[5]Peak!G8</f>
        <v>P</v>
      </c>
      <c r="H7" s="215" t="str">
        <f ca="1">+[5]Peak!H8</f>
        <v>R9</v>
      </c>
      <c r="I7" s="215" t="str">
        <f ca="1">+[5]Peak!I8</f>
        <v>O</v>
      </c>
      <c r="J7" s="215" t="str">
        <f ca="1">+[5]Peak!J8</f>
        <v>PWRCAN</v>
      </c>
      <c r="K7" s="216">
        <f ca="1">+Peak!K7</f>
        <v>0</v>
      </c>
      <c r="L7" s="215">
        <f ca="1">+[5]Peak!L8</f>
        <v>0</v>
      </c>
      <c r="M7" s="215">
        <f ca="1">+[5]Peak!M8</f>
        <v>0</v>
      </c>
      <c r="N7" s="215">
        <f ca="1">+[5]Peak!N8</f>
        <v>0</v>
      </c>
      <c r="O7" s="215">
        <f ca="1">+[5]Peak!O8</f>
        <v>0</v>
      </c>
      <c r="P7" s="215" t="str">
        <f ca="1">+[5]Peak!P8</f>
        <v>P</v>
      </c>
    </row>
    <row r="8" spans="1:16" s="163" customFormat="1" x14ac:dyDescent="0.2">
      <c r="A8" s="214">
        <f ca="1">+[5]Peak!A9</f>
        <v>36861</v>
      </c>
      <c r="B8" s="215" t="str">
        <f ca="1">+[6]Peak!B9</f>
        <v>FT-CAN-PWRF-HDGI-PRC</v>
      </c>
      <c r="C8" s="215" t="str">
        <f ca="1">+[5]Peak!C9</f>
        <v>P</v>
      </c>
      <c r="D8" s="215" t="str">
        <f ca="1">+[5]Peak!D9</f>
        <v>DESK</v>
      </c>
      <c r="E8" s="215" t="str">
        <f ca="1">+[5]Peak!E9</f>
        <v>S</v>
      </c>
      <c r="F8" s="215" t="str">
        <f ca="1">+[5]Peak!F9</f>
        <v>PWR</v>
      </c>
      <c r="G8" s="215" t="str">
        <f ca="1">+[5]Peak!G9</f>
        <v>P</v>
      </c>
      <c r="H8" s="215" t="str">
        <f ca="1">+[5]Peak!H9</f>
        <v>R9</v>
      </c>
      <c r="I8" s="215" t="str">
        <f ca="1">+[5]Peak!I9</f>
        <v>O</v>
      </c>
      <c r="J8" s="215" t="str">
        <f ca="1">+[5]Peak!J9</f>
        <v>PWRCAN</v>
      </c>
      <c r="K8" s="216">
        <f ca="1">+Peak!K8</f>
        <v>0</v>
      </c>
      <c r="L8" s="215">
        <f ca="1">+[5]Peak!L9</f>
        <v>0</v>
      </c>
      <c r="M8" s="215">
        <f ca="1">+[5]Peak!M9</f>
        <v>0</v>
      </c>
      <c r="N8" s="215">
        <f ca="1">+[5]Peak!N9</f>
        <v>0</v>
      </c>
      <c r="O8" s="215">
        <f ca="1">+[5]Peak!O9</f>
        <v>0</v>
      </c>
      <c r="P8" s="215" t="str">
        <f ca="1">+[5]Peak!P9</f>
        <v>P</v>
      </c>
    </row>
    <row r="9" spans="1:16" s="163" customFormat="1" x14ac:dyDescent="0.2">
      <c r="A9" s="214">
        <f ca="1">+[5]Peak!A11</f>
        <v>36678</v>
      </c>
      <c r="B9" s="215" t="str">
        <f ca="1">+[6]Peak!B11</f>
        <v>FT-CAN-PWRF-HDGI-PRC</v>
      </c>
      <c r="C9" s="215" t="str">
        <f ca="1">+[5]Peak!C11</f>
        <v>P</v>
      </c>
      <c r="D9" s="215" t="str">
        <f ca="1">+[5]Peak!D11</f>
        <v>DESK</v>
      </c>
      <c r="E9" s="215" t="str">
        <f ca="1">+[5]Peak!E11</f>
        <v>S</v>
      </c>
      <c r="F9" s="215" t="str">
        <f ca="1">+[5]Peak!F11</f>
        <v>PWR</v>
      </c>
      <c r="G9" s="215" t="str">
        <f ca="1">+[5]Peak!G11</f>
        <v>P</v>
      </c>
      <c r="H9" s="215" t="str">
        <f ca="1">+[5]Peak!H11</f>
        <v>R9</v>
      </c>
      <c r="I9" s="215" t="str">
        <f ca="1">+[5]Peak!I11</f>
        <v>O</v>
      </c>
      <c r="J9" s="215" t="str">
        <f ca="1">+[5]Peak!J11</f>
        <v>PWRCAN</v>
      </c>
      <c r="K9" s="216">
        <f ca="1">+Peak!K9</f>
        <v>-7350</v>
      </c>
      <c r="L9" s="215">
        <f ca="1">+[5]Peak!L11</f>
        <v>0</v>
      </c>
      <c r="M9" s="215">
        <f ca="1">+[5]Peak!M11</f>
        <v>0</v>
      </c>
      <c r="N9" s="215">
        <f ca="1">+[5]Peak!N11</f>
        <v>0</v>
      </c>
      <c r="O9" s="215">
        <f ca="1">+[5]Peak!O11</f>
        <v>0</v>
      </c>
      <c r="P9" s="215" t="str">
        <f ca="1">+[5]Peak!P11</f>
        <v>P</v>
      </c>
    </row>
    <row r="10" spans="1:16" s="163" customFormat="1" x14ac:dyDescent="0.2">
      <c r="A10" s="214">
        <f ca="1">+[5]Peak!A12</f>
        <v>36708</v>
      </c>
      <c r="B10" s="215" t="str">
        <f ca="1">+[6]Peak!B12</f>
        <v>FT-CAN-PWRF-HDGI-PRC</v>
      </c>
      <c r="C10" s="215" t="str">
        <f ca="1">+[5]Peak!C12</f>
        <v>P</v>
      </c>
      <c r="D10" s="215" t="str">
        <f ca="1">+[5]Peak!D12</f>
        <v>DESK</v>
      </c>
      <c r="E10" s="215" t="str">
        <f ca="1">+[5]Peak!E12</f>
        <v>S</v>
      </c>
      <c r="F10" s="215" t="str">
        <f ca="1">+[5]Peak!F12</f>
        <v>PWR</v>
      </c>
      <c r="G10" s="215" t="str">
        <f ca="1">+[5]Peak!G12</f>
        <v>P</v>
      </c>
      <c r="H10" s="215" t="str">
        <f ca="1">+[5]Peak!H12</f>
        <v>R9</v>
      </c>
      <c r="I10" s="215" t="str">
        <f ca="1">+[5]Peak!I12</f>
        <v>O</v>
      </c>
      <c r="J10" s="215" t="str">
        <f ca="1">+[5]Peak!J12</f>
        <v>PWRCAN</v>
      </c>
      <c r="K10" s="216">
        <f ca="1">+Peak!K10</f>
        <v>-11775</v>
      </c>
      <c r="L10" s="215">
        <f ca="1">+[5]Peak!L12</f>
        <v>0</v>
      </c>
      <c r="M10" s="215">
        <f ca="1">+[5]Peak!M12</f>
        <v>0</v>
      </c>
      <c r="N10" s="215">
        <f ca="1">+[5]Peak!N12</f>
        <v>0</v>
      </c>
      <c r="O10" s="215">
        <f ca="1">+[5]Peak!O12</f>
        <v>0</v>
      </c>
      <c r="P10" s="215" t="str">
        <f ca="1">+[5]Peak!P12</f>
        <v>P</v>
      </c>
    </row>
    <row r="11" spans="1:16" s="163" customFormat="1" x14ac:dyDescent="0.2">
      <c r="A11" s="214">
        <f ca="1">+[5]Peak!A13</f>
        <v>36739</v>
      </c>
      <c r="B11" s="215" t="str">
        <f ca="1">+[6]Peak!B13</f>
        <v>FT-CAN-PWRF-HDGI-PRC</v>
      </c>
      <c r="C11" s="215" t="str">
        <f ca="1">+[5]Peak!C13</f>
        <v>P</v>
      </c>
      <c r="D11" s="215" t="str">
        <f ca="1">+[5]Peak!D13</f>
        <v>DESK</v>
      </c>
      <c r="E11" s="215" t="str">
        <f ca="1">+[5]Peak!E13</f>
        <v>S</v>
      </c>
      <c r="F11" s="215" t="str">
        <f ca="1">+[5]Peak!F13</f>
        <v>PWR</v>
      </c>
      <c r="G11" s="215" t="str">
        <f ca="1">+[5]Peak!G13</f>
        <v>P</v>
      </c>
      <c r="H11" s="215" t="str">
        <f ca="1">+[5]Peak!H13</f>
        <v>R9</v>
      </c>
      <c r="I11" s="215" t="str">
        <f ca="1">+[5]Peak!I13</f>
        <v>O</v>
      </c>
      <c r="J11" s="215" t="str">
        <f ca="1">+[5]Peak!J13</f>
        <v>PWRCAN</v>
      </c>
      <c r="K11" s="216">
        <f ca="1">+Peak!K11</f>
        <v>-11125</v>
      </c>
      <c r="L11" s="215">
        <f ca="1">+[5]Peak!L13</f>
        <v>0</v>
      </c>
      <c r="M11" s="215">
        <f ca="1">+[5]Peak!M13</f>
        <v>0</v>
      </c>
      <c r="N11" s="215">
        <f ca="1">+[5]Peak!N13</f>
        <v>0</v>
      </c>
      <c r="O11" s="215">
        <f ca="1">+[5]Peak!O13</f>
        <v>0</v>
      </c>
      <c r="P11" s="215" t="str">
        <f ca="1">+[5]Peak!P13</f>
        <v>P</v>
      </c>
    </row>
    <row r="12" spans="1:16" s="163" customFormat="1" x14ac:dyDescent="0.2">
      <c r="A12" s="214">
        <f ca="1">+[5]Peak!A14</f>
        <v>36770</v>
      </c>
      <c r="B12" s="215" t="str">
        <f ca="1">+[6]Peak!B14</f>
        <v>FT-CAN-PWRF-HDGI-PRC</v>
      </c>
      <c r="C12" s="215" t="str">
        <f ca="1">+[5]Peak!C14</f>
        <v>P</v>
      </c>
      <c r="D12" s="215" t="str">
        <f ca="1">+[5]Peak!D14</f>
        <v>DESK</v>
      </c>
      <c r="E12" s="215" t="str">
        <f ca="1">+[5]Peak!E14</f>
        <v>S</v>
      </c>
      <c r="F12" s="215" t="str">
        <f ca="1">+[5]Peak!F14</f>
        <v>PWR</v>
      </c>
      <c r="G12" s="215" t="str">
        <f ca="1">+[5]Peak!G14</f>
        <v>P</v>
      </c>
      <c r="H12" s="215" t="str">
        <f ca="1">+[5]Peak!H14</f>
        <v>R9</v>
      </c>
      <c r="I12" s="215" t="str">
        <f ca="1">+[5]Peak!I14</f>
        <v>O</v>
      </c>
      <c r="J12" s="215" t="str">
        <f ca="1">+[5]Peak!J14</f>
        <v>PWRCAN</v>
      </c>
      <c r="K12" s="216">
        <f ca="1">+Peak!K12</f>
        <v>-11175</v>
      </c>
      <c r="L12" s="215">
        <f ca="1">+[5]Peak!L14</f>
        <v>0</v>
      </c>
      <c r="M12" s="215">
        <f ca="1">+[5]Peak!M14</f>
        <v>0</v>
      </c>
      <c r="N12" s="215">
        <f ca="1">+[5]Peak!N14</f>
        <v>0</v>
      </c>
      <c r="O12" s="215">
        <f ca="1">+[5]Peak!O14</f>
        <v>0</v>
      </c>
      <c r="P12" s="215" t="str">
        <f ca="1">+[5]Peak!P14</f>
        <v>P</v>
      </c>
    </row>
    <row r="13" spans="1:16" s="163" customFormat="1" x14ac:dyDescent="0.2">
      <c r="A13" s="214">
        <f ca="1">+[5]Peak!A15</f>
        <v>36800</v>
      </c>
      <c r="B13" s="215" t="str">
        <f ca="1">+[6]Peak!B15</f>
        <v>FT-CAN-PWRF-HDGI-PRC</v>
      </c>
      <c r="C13" s="215" t="str">
        <f ca="1">+[5]Peak!C15</f>
        <v>P</v>
      </c>
      <c r="D13" s="215" t="str">
        <f ca="1">+[5]Peak!D15</f>
        <v>DESK</v>
      </c>
      <c r="E13" s="215" t="str">
        <f ca="1">+[5]Peak!E15</f>
        <v>S</v>
      </c>
      <c r="F13" s="215" t="str">
        <f ca="1">+[5]Peak!F15</f>
        <v>PWR</v>
      </c>
      <c r="G13" s="215" t="str">
        <f ca="1">+[5]Peak!G15</f>
        <v>P</v>
      </c>
      <c r="H13" s="215" t="str">
        <f ca="1">+[5]Peak!H15</f>
        <v>R9</v>
      </c>
      <c r="I13" s="215" t="str">
        <f ca="1">+[5]Peak!I15</f>
        <v>O</v>
      </c>
      <c r="J13" s="215" t="str">
        <f ca="1">+[5]Peak!J15</f>
        <v>PWRCAN</v>
      </c>
      <c r="K13" s="216">
        <f ca="1">+Peak!K13</f>
        <v>-11450</v>
      </c>
      <c r="L13" s="215">
        <f ca="1">+[5]Peak!L15</f>
        <v>0</v>
      </c>
      <c r="M13" s="215">
        <f ca="1">+[5]Peak!M15</f>
        <v>0</v>
      </c>
      <c r="N13" s="215">
        <f ca="1">+[5]Peak!N15</f>
        <v>0</v>
      </c>
      <c r="O13" s="215">
        <f ca="1">+[5]Peak!O15</f>
        <v>0</v>
      </c>
      <c r="P13" s="215" t="str">
        <f ca="1">+[5]Peak!P15</f>
        <v>P</v>
      </c>
    </row>
    <row r="14" spans="1:16" s="163" customFormat="1" x14ac:dyDescent="0.2">
      <c r="A14" s="214">
        <f ca="1">+[5]Peak!A16</f>
        <v>36831</v>
      </c>
      <c r="B14" s="215" t="str">
        <f ca="1">+[6]Peak!B16</f>
        <v>FT-CAN-PWRF-HDGI-PRC</v>
      </c>
      <c r="C14" s="215" t="str">
        <f ca="1">+[5]Peak!C16</f>
        <v>P</v>
      </c>
      <c r="D14" s="215" t="str">
        <f ca="1">+[5]Peak!D16</f>
        <v>DESK</v>
      </c>
      <c r="E14" s="215" t="str">
        <f ca="1">+[5]Peak!E16</f>
        <v>S</v>
      </c>
      <c r="F14" s="215" t="str">
        <f ca="1">+[5]Peak!F16</f>
        <v>PWR</v>
      </c>
      <c r="G14" s="215" t="str">
        <f ca="1">+[5]Peak!G16</f>
        <v>P</v>
      </c>
      <c r="H14" s="215" t="str">
        <f ca="1">+[5]Peak!H16</f>
        <v>R9</v>
      </c>
      <c r="I14" s="215" t="str">
        <f ca="1">+[5]Peak!I16</f>
        <v>O</v>
      </c>
      <c r="J14" s="215" t="str">
        <f ca="1">+[5]Peak!J16</f>
        <v>PWRCAN</v>
      </c>
      <c r="K14" s="216">
        <f ca="1">+Peak!K14</f>
        <v>0</v>
      </c>
      <c r="L14" s="215">
        <f ca="1">+[5]Peak!L16</f>
        <v>0</v>
      </c>
      <c r="M14" s="215">
        <f ca="1">+[5]Peak!M16</f>
        <v>0</v>
      </c>
      <c r="N14" s="215">
        <f ca="1">+[5]Peak!N16</f>
        <v>0</v>
      </c>
      <c r="O14" s="215">
        <f ca="1">+[5]Peak!O16</f>
        <v>0</v>
      </c>
      <c r="P14" s="215" t="str">
        <f ca="1">+[5]Peak!P16</f>
        <v>P</v>
      </c>
    </row>
    <row r="15" spans="1:16" s="163" customFormat="1" x14ac:dyDescent="0.2">
      <c r="A15" s="214">
        <f ca="1">+[5]Peak!A17</f>
        <v>36861</v>
      </c>
      <c r="B15" s="215" t="str">
        <f ca="1">+[6]Peak!B17</f>
        <v>FT-CAN-PWRF-HDGI-PRC</v>
      </c>
      <c r="C15" s="215" t="str">
        <f ca="1">+[5]Peak!C17</f>
        <v>P</v>
      </c>
      <c r="D15" s="215" t="str">
        <f ca="1">+[5]Peak!D17</f>
        <v>DESK</v>
      </c>
      <c r="E15" s="215" t="str">
        <f ca="1">+[5]Peak!E17</f>
        <v>S</v>
      </c>
      <c r="F15" s="215" t="str">
        <f ca="1">+[5]Peak!F17</f>
        <v>PWR</v>
      </c>
      <c r="G15" s="215" t="str">
        <f ca="1">+[5]Peak!G17</f>
        <v>P</v>
      </c>
      <c r="H15" s="215" t="str">
        <f ca="1">+[5]Peak!H17</f>
        <v>R9</v>
      </c>
      <c r="I15" s="215" t="str">
        <f ca="1">+[5]Peak!I17</f>
        <v>O</v>
      </c>
      <c r="J15" s="215" t="str">
        <f ca="1">+[5]Peak!J17</f>
        <v>PWRCAN</v>
      </c>
      <c r="K15" s="216">
        <f ca="1">+Peak!K15</f>
        <v>0</v>
      </c>
      <c r="L15" s="215">
        <f ca="1">+[5]Peak!L17</f>
        <v>0</v>
      </c>
      <c r="M15" s="215">
        <f ca="1">+[5]Peak!M17</f>
        <v>0</v>
      </c>
      <c r="N15" s="215">
        <f ca="1">+[5]Peak!N17</f>
        <v>0</v>
      </c>
      <c r="O15" s="215">
        <f ca="1">+[5]Peak!O17</f>
        <v>0</v>
      </c>
      <c r="P15" s="215" t="str">
        <f ca="1">+[5]Peak!P17</f>
        <v>P</v>
      </c>
    </row>
    <row r="16" spans="1:16" s="163" customFormat="1" x14ac:dyDescent="0.2">
      <c r="A16" s="214">
        <f ca="1">+'[5]Non-Peak'!A2</f>
        <v>36647</v>
      </c>
      <c r="B16" s="215" t="str">
        <f ca="1">+'[5]Non-Peak'!B2</f>
        <v>FT-CAN-PWRF-HDGI-PRC</v>
      </c>
      <c r="C16" s="215" t="str">
        <f ca="1">+'[5]Non-Peak'!C2</f>
        <v>P</v>
      </c>
      <c r="D16" s="215" t="str">
        <f ca="1">+'[5]Non-Peak'!D2</f>
        <v>DESK</v>
      </c>
      <c r="E16" s="215" t="str">
        <f ca="1">+'[5]Non-Peak'!E2</f>
        <v>S</v>
      </c>
      <c r="F16" s="215" t="str">
        <f ca="1">+'[5]Non-Peak'!F2</f>
        <v>PWR</v>
      </c>
      <c r="G16" s="215" t="str">
        <f ca="1">+'[5]Non-Peak'!G2</f>
        <v>P</v>
      </c>
      <c r="H16" s="215" t="str">
        <f ca="1">+'[5]Non-Peak'!H2</f>
        <v>R9</v>
      </c>
      <c r="I16" s="215" t="str">
        <f ca="1">+'[5]Non-Peak'!I2</f>
        <v>E</v>
      </c>
      <c r="J16" s="215" t="str">
        <f ca="1">+'[5]Non-Peak'!J2</f>
        <v>PWRCAN</v>
      </c>
      <c r="K16" s="216">
        <f ca="1">+'Non-Peak'!K2</f>
        <v>0</v>
      </c>
      <c r="L16" s="215">
        <f ca="1">+'[5]Non-Peak'!L2</f>
        <v>0</v>
      </c>
      <c r="M16" s="215">
        <f ca="1">+'[5]Non-Peak'!M2</f>
        <v>0</v>
      </c>
      <c r="N16" s="215">
        <f ca="1">+'[5]Non-Peak'!N2</f>
        <v>0</v>
      </c>
      <c r="O16" s="215">
        <f ca="1">+'[5]Non-Peak'!O2</f>
        <v>0</v>
      </c>
      <c r="P16" s="215" t="str">
        <f ca="1">+'[5]Non-Peak'!P2</f>
        <v>O</v>
      </c>
    </row>
    <row r="17" spans="1:16" s="163" customFormat="1" x14ac:dyDescent="0.2">
      <c r="A17" s="214">
        <f ca="1">+'[5]Non-Peak'!A3</f>
        <v>36678</v>
      </c>
      <c r="B17" s="215" t="str">
        <f ca="1">+'[5]Non-Peak'!B3</f>
        <v>FT-CAN-PWRF-HDGI-PRC</v>
      </c>
      <c r="C17" s="215" t="str">
        <f ca="1">+'[5]Non-Peak'!C3</f>
        <v>P</v>
      </c>
      <c r="D17" s="215" t="str">
        <f ca="1">+'[5]Non-Peak'!D3</f>
        <v>DESK</v>
      </c>
      <c r="E17" s="215" t="str">
        <f ca="1">+'[5]Non-Peak'!E3</f>
        <v>S</v>
      </c>
      <c r="F17" s="215" t="str">
        <f ca="1">+'[5]Non-Peak'!F3</f>
        <v>PWR</v>
      </c>
      <c r="G17" s="215" t="str">
        <f ca="1">+'[5]Non-Peak'!G3</f>
        <v>P</v>
      </c>
      <c r="H17" s="215" t="str">
        <f ca="1">+'[5]Non-Peak'!H3</f>
        <v>R9</v>
      </c>
      <c r="I17" s="215" t="str">
        <f ca="1">+'[5]Non-Peak'!I3</f>
        <v>E</v>
      </c>
      <c r="J17" s="215" t="str">
        <f ca="1">+'[5]Non-Peak'!J3</f>
        <v>PWRCAN</v>
      </c>
      <c r="K17" s="216">
        <f ca="1">+'Non-Peak'!K3</f>
        <v>0</v>
      </c>
      <c r="L17" s="215">
        <f ca="1">+'[5]Non-Peak'!L3</f>
        <v>0</v>
      </c>
      <c r="M17" s="215">
        <f ca="1">+'[5]Non-Peak'!M3</f>
        <v>0</v>
      </c>
      <c r="N17" s="215">
        <f ca="1">+'[5]Non-Peak'!N3</f>
        <v>0</v>
      </c>
      <c r="O17" s="215">
        <f ca="1">+'[5]Non-Peak'!O3</f>
        <v>0</v>
      </c>
      <c r="P17" s="215" t="str">
        <f ca="1">+'[5]Non-Peak'!P3</f>
        <v>O</v>
      </c>
    </row>
    <row r="18" spans="1:16" s="163" customFormat="1" x14ac:dyDescent="0.2">
      <c r="A18" s="214">
        <f ca="1">+'[5]Non-Peak'!A4</f>
        <v>36708</v>
      </c>
      <c r="B18" s="215" t="str">
        <f ca="1">+'[5]Non-Peak'!B4</f>
        <v>FT-CAN-PWRF-HDGI-PRC</v>
      </c>
      <c r="C18" s="215" t="str">
        <f ca="1">+'[5]Non-Peak'!C4</f>
        <v>P</v>
      </c>
      <c r="D18" s="215" t="str">
        <f ca="1">+'[5]Non-Peak'!D4</f>
        <v>DESK</v>
      </c>
      <c r="E18" s="215" t="str">
        <f ca="1">+'[5]Non-Peak'!E4</f>
        <v>S</v>
      </c>
      <c r="F18" s="215" t="str">
        <f ca="1">+'[5]Non-Peak'!F4</f>
        <v>PWR</v>
      </c>
      <c r="G18" s="215" t="str">
        <f ca="1">+'[5]Non-Peak'!G4</f>
        <v>P</v>
      </c>
      <c r="H18" s="215" t="str">
        <f ca="1">+'[5]Non-Peak'!H4</f>
        <v>R9</v>
      </c>
      <c r="I18" s="215" t="str">
        <f ca="1">+'[5]Non-Peak'!I4</f>
        <v>E</v>
      </c>
      <c r="J18" s="215" t="str">
        <f ca="1">+'[5]Non-Peak'!J4</f>
        <v>PWRCAN</v>
      </c>
      <c r="K18" s="216">
        <f ca="1">+'Non-Peak'!K4</f>
        <v>0</v>
      </c>
      <c r="L18" s="215">
        <f ca="1">+'[5]Non-Peak'!L4</f>
        <v>0</v>
      </c>
      <c r="M18" s="215">
        <f ca="1">+'[5]Non-Peak'!M4</f>
        <v>0</v>
      </c>
      <c r="N18" s="215">
        <f ca="1">+'[5]Non-Peak'!N4</f>
        <v>0</v>
      </c>
      <c r="O18" s="215">
        <f ca="1">+'[5]Non-Peak'!O4</f>
        <v>0</v>
      </c>
      <c r="P18" s="215" t="str">
        <f ca="1">+'[5]Non-Peak'!P4</f>
        <v>O</v>
      </c>
    </row>
    <row r="19" spans="1:16" s="163" customFormat="1" x14ac:dyDescent="0.2">
      <c r="A19" s="214">
        <f ca="1">+'[5]Non-Peak'!A5</f>
        <v>36739</v>
      </c>
      <c r="B19" s="215" t="str">
        <f ca="1">+'[5]Non-Peak'!B5</f>
        <v>FT-CAN-PWRF-HDGI-PRC</v>
      </c>
      <c r="C19" s="215" t="str">
        <f ca="1">+'[5]Non-Peak'!C5</f>
        <v>P</v>
      </c>
      <c r="D19" s="215" t="str">
        <f ca="1">+'[5]Non-Peak'!D5</f>
        <v>DESK</v>
      </c>
      <c r="E19" s="215" t="str">
        <f ca="1">+'[5]Non-Peak'!E5</f>
        <v>S</v>
      </c>
      <c r="F19" s="215" t="str">
        <f ca="1">+'[5]Non-Peak'!F5</f>
        <v>PWR</v>
      </c>
      <c r="G19" s="215" t="str">
        <f ca="1">+'[5]Non-Peak'!G5</f>
        <v>P</v>
      </c>
      <c r="H19" s="215" t="str">
        <f ca="1">+'[5]Non-Peak'!H5</f>
        <v>R9</v>
      </c>
      <c r="I19" s="215" t="str">
        <f ca="1">+'[5]Non-Peak'!I5</f>
        <v>E</v>
      </c>
      <c r="J19" s="215" t="str">
        <f ca="1">+'[5]Non-Peak'!J5</f>
        <v>PWRCAN</v>
      </c>
      <c r="K19" s="216">
        <f ca="1">+'Non-Peak'!K5</f>
        <v>0</v>
      </c>
      <c r="L19" s="215">
        <f ca="1">+'[5]Non-Peak'!L5</f>
        <v>0</v>
      </c>
      <c r="M19" s="215">
        <f ca="1">+'[5]Non-Peak'!M5</f>
        <v>0</v>
      </c>
      <c r="N19" s="215">
        <f ca="1">+'[5]Non-Peak'!N5</f>
        <v>0</v>
      </c>
      <c r="O19" s="215">
        <f ca="1">+'[5]Non-Peak'!O5</f>
        <v>0</v>
      </c>
      <c r="P19" s="215" t="str">
        <f ca="1">+'[5]Non-Peak'!P5</f>
        <v>O</v>
      </c>
    </row>
    <row r="20" spans="1:16" s="163" customFormat="1" x14ac:dyDescent="0.2">
      <c r="A20" s="214">
        <f ca="1">+'[5]Non-Peak'!A6</f>
        <v>36770</v>
      </c>
      <c r="B20" s="215" t="str">
        <f ca="1">+'[5]Non-Peak'!B6</f>
        <v>FT-CAN-PWRF-HDGI-PRC</v>
      </c>
      <c r="C20" s="215" t="str">
        <f ca="1">+'[5]Non-Peak'!C6</f>
        <v>P</v>
      </c>
      <c r="D20" s="215" t="str">
        <f ca="1">+'[5]Non-Peak'!D6</f>
        <v>DESK</v>
      </c>
      <c r="E20" s="215" t="str">
        <f ca="1">+'[5]Non-Peak'!E6</f>
        <v>S</v>
      </c>
      <c r="F20" s="215" t="str">
        <f ca="1">+'[5]Non-Peak'!F6</f>
        <v>PWR</v>
      </c>
      <c r="G20" s="215" t="str">
        <f ca="1">+'[5]Non-Peak'!G6</f>
        <v>P</v>
      </c>
      <c r="H20" s="215" t="str">
        <f ca="1">+'[5]Non-Peak'!H6</f>
        <v>R9</v>
      </c>
      <c r="I20" s="215" t="str">
        <f ca="1">+'[5]Non-Peak'!I6</f>
        <v>E</v>
      </c>
      <c r="J20" s="215" t="str">
        <f ca="1">+'[5]Non-Peak'!J6</f>
        <v>PWRCAN</v>
      </c>
      <c r="K20" s="216">
        <f ca="1">+'Non-Peak'!K6</f>
        <v>0</v>
      </c>
      <c r="L20" s="215">
        <f ca="1">+'[5]Non-Peak'!L6</f>
        <v>0</v>
      </c>
      <c r="M20" s="215">
        <f ca="1">+'[5]Non-Peak'!M6</f>
        <v>0</v>
      </c>
      <c r="N20" s="215">
        <f ca="1">+'[5]Non-Peak'!N6</f>
        <v>0</v>
      </c>
      <c r="O20" s="215">
        <f ca="1">+'[5]Non-Peak'!O6</f>
        <v>0</v>
      </c>
      <c r="P20" s="215" t="str">
        <f ca="1">+'[5]Non-Peak'!P6</f>
        <v>O</v>
      </c>
    </row>
    <row r="21" spans="1:16" s="163" customFormat="1" x14ac:dyDescent="0.2">
      <c r="A21" s="214">
        <f ca="1">+'[5]Non-Peak'!A7</f>
        <v>36800</v>
      </c>
      <c r="B21" s="215" t="str">
        <f ca="1">+'[5]Non-Peak'!B7</f>
        <v>FT-CAN-PWRF-HDGI-PRC</v>
      </c>
      <c r="C21" s="215" t="str">
        <f ca="1">+'[5]Non-Peak'!C7</f>
        <v>P</v>
      </c>
      <c r="D21" s="215" t="str">
        <f ca="1">+'[5]Non-Peak'!D7</f>
        <v>DESK</v>
      </c>
      <c r="E21" s="215" t="str">
        <f ca="1">+'[5]Non-Peak'!E7</f>
        <v>S</v>
      </c>
      <c r="F21" s="215" t="str">
        <f ca="1">+'[5]Non-Peak'!F7</f>
        <v>PWR</v>
      </c>
      <c r="G21" s="215" t="str">
        <f ca="1">+'[5]Non-Peak'!G7</f>
        <v>P</v>
      </c>
      <c r="H21" s="215" t="str">
        <f ca="1">+'[5]Non-Peak'!H7</f>
        <v>R9</v>
      </c>
      <c r="I21" s="215" t="str">
        <f ca="1">+'[5]Non-Peak'!I7</f>
        <v>E</v>
      </c>
      <c r="J21" s="215" t="str">
        <f ca="1">+'[5]Non-Peak'!J7</f>
        <v>PWRCAN</v>
      </c>
      <c r="K21" s="216">
        <f ca="1">+'Non-Peak'!K7</f>
        <v>0</v>
      </c>
      <c r="L21" s="215">
        <f ca="1">+'[5]Non-Peak'!L7</f>
        <v>0</v>
      </c>
      <c r="M21" s="215">
        <f ca="1">+'[5]Non-Peak'!M7</f>
        <v>0</v>
      </c>
      <c r="N21" s="215">
        <f ca="1">+'[5]Non-Peak'!N7</f>
        <v>0</v>
      </c>
      <c r="O21" s="215">
        <f ca="1">+'[5]Non-Peak'!O7</f>
        <v>0</v>
      </c>
      <c r="P21" s="215" t="str">
        <f ca="1">+'[5]Non-Peak'!P7</f>
        <v>O</v>
      </c>
    </row>
    <row r="22" spans="1:16" s="163" customFormat="1" x14ac:dyDescent="0.2">
      <c r="A22" s="214">
        <f ca="1">+'[5]Non-Peak'!A8</f>
        <v>36831</v>
      </c>
      <c r="B22" s="215" t="str">
        <f ca="1">+'[5]Non-Peak'!B8</f>
        <v>FT-CAN-PWRF-HDGI-PRC</v>
      </c>
      <c r="C22" s="215" t="str">
        <f ca="1">+'[5]Non-Peak'!C8</f>
        <v>P</v>
      </c>
      <c r="D22" s="215" t="str">
        <f ca="1">+'[5]Non-Peak'!D8</f>
        <v>DESK</v>
      </c>
      <c r="E22" s="215" t="str">
        <f ca="1">+'[5]Non-Peak'!E8</f>
        <v>S</v>
      </c>
      <c r="F22" s="215" t="str">
        <f ca="1">+'[5]Non-Peak'!F8</f>
        <v>PWR</v>
      </c>
      <c r="G22" s="215" t="str">
        <f ca="1">+'[5]Non-Peak'!G8</f>
        <v>P</v>
      </c>
      <c r="H22" s="215" t="str">
        <f ca="1">+'[5]Non-Peak'!H8</f>
        <v>R9</v>
      </c>
      <c r="I22" s="215" t="str">
        <f ca="1">+'[5]Non-Peak'!I8</f>
        <v>E</v>
      </c>
      <c r="J22" s="215" t="str">
        <f ca="1">+'[5]Non-Peak'!J8</f>
        <v>PWRCAN</v>
      </c>
      <c r="K22" s="216">
        <f ca="1">+'Non-Peak'!K8</f>
        <v>0</v>
      </c>
      <c r="L22" s="215">
        <f ca="1">+'[5]Non-Peak'!L8</f>
        <v>0</v>
      </c>
      <c r="M22" s="215">
        <f ca="1">+'[5]Non-Peak'!M8</f>
        <v>0</v>
      </c>
      <c r="N22" s="215">
        <f ca="1">+'[5]Non-Peak'!N8</f>
        <v>0</v>
      </c>
      <c r="O22" s="215">
        <f ca="1">+'[5]Non-Peak'!O8</f>
        <v>0</v>
      </c>
      <c r="P22" s="215" t="str">
        <f ca="1">+'[5]Non-Peak'!P8</f>
        <v>O</v>
      </c>
    </row>
    <row r="23" spans="1:16" s="163" customFormat="1" x14ac:dyDescent="0.2">
      <c r="A23" s="214">
        <f ca="1">+'[5]Non-Peak'!A9</f>
        <v>36861</v>
      </c>
      <c r="B23" s="215" t="str">
        <f ca="1">+'[5]Non-Peak'!B9</f>
        <v>FT-CAN-PWRF-HDGI-PRC</v>
      </c>
      <c r="C23" s="215" t="str">
        <f ca="1">+'[5]Non-Peak'!C9</f>
        <v>P</v>
      </c>
      <c r="D23" s="215" t="str">
        <f ca="1">+'[5]Non-Peak'!D9</f>
        <v>DESK</v>
      </c>
      <c r="E23" s="215" t="str">
        <f ca="1">+'[5]Non-Peak'!E9</f>
        <v>S</v>
      </c>
      <c r="F23" s="215" t="str">
        <f ca="1">+'[5]Non-Peak'!F9</f>
        <v>PWR</v>
      </c>
      <c r="G23" s="215" t="str">
        <f ca="1">+'[5]Non-Peak'!G9</f>
        <v>P</v>
      </c>
      <c r="H23" s="215" t="str">
        <f ca="1">+'[5]Non-Peak'!H9</f>
        <v>R9</v>
      </c>
      <c r="I23" s="215" t="str">
        <f ca="1">+'[5]Non-Peak'!I9</f>
        <v>E</v>
      </c>
      <c r="J23" s="215" t="str">
        <f ca="1">+'[5]Non-Peak'!J9</f>
        <v>PWRCAN</v>
      </c>
      <c r="K23" s="216">
        <f ca="1">+'Non-Peak'!K9</f>
        <v>0</v>
      </c>
      <c r="L23" s="215">
        <f ca="1">+'[5]Non-Peak'!L9</f>
        <v>0</v>
      </c>
      <c r="M23" s="215">
        <f ca="1">+'[5]Non-Peak'!M9</f>
        <v>0</v>
      </c>
      <c r="N23" s="215">
        <f ca="1">+'[5]Non-Peak'!N9</f>
        <v>0</v>
      </c>
      <c r="O23" s="215">
        <f ca="1">+'[5]Non-Peak'!O9</f>
        <v>0</v>
      </c>
      <c r="P23" s="215" t="str">
        <f ca="1">+'[5]Non-Peak'!P9</f>
        <v>O</v>
      </c>
    </row>
    <row r="24" spans="1:16" s="163" customFormat="1" x14ac:dyDescent="0.2">
      <c r="A24" s="214"/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</row>
    <row r="25" spans="1:16" s="163" customFormat="1" x14ac:dyDescent="0.2">
      <c r="A25" s="214"/>
      <c r="B25" s="215"/>
      <c r="C25" s="217"/>
      <c r="D25" s="217"/>
      <c r="E25" s="217"/>
      <c r="F25" s="217"/>
      <c r="G25" s="217"/>
      <c r="H25" s="217"/>
      <c r="I25" s="217"/>
      <c r="J25" s="217"/>
      <c r="K25" s="218"/>
      <c r="L25" s="219"/>
      <c r="M25" s="218"/>
    </row>
    <row r="26" spans="1:16" s="163" customFormat="1" x14ac:dyDescent="0.2">
      <c r="A26" s="214"/>
      <c r="B26" s="215"/>
      <c r="C26" s="217"/>
      <c r="D26" s="217"/>
      <c r="E26" s="217"/>
      <c r="F26" s="217"/>
      <c r="G26" s="217"/>
      <c r="H26" s="217"/>
      <c r="I26" s="217"/>
      <c r="J26" s="217"/>
      <c r="K26" s="218"/>
      <c r="L26" s="219"/>
      <c r="M26" s="218"/>
    </row>
    <row r="27" spans="1:16" s="163" customFormat="1" x14ac:dyDescent="0.2">
      <c r="A27" s="214"/>
      <c r="B27" s="215"/>
      <c r="C27" s="217"/>
      <c r="D27" s="217"/>
      <c r="E27" s="217"/>
      <c r="F27" s="217"/>
      <c r="G27" s="217"/>
      <c r="H27" s="217"/>
      <c r="I27" s="217"/>
      <c r="J27" s="217"/>
      <c r="K27" s="218"/>
      <c r="L27" s="219"/>
      <c r="M27" s="218"/>
    </row>
    <row r="28" spans="1:16" s="163" customFormat="1" x14ac:dyDescent="0.2">
      <c r="A28" s="214"/>
      <c r="B28" s="215"/>
      <c r="C28" s="217"/>
      <c r="D28" s="217"/>
      <c r="E28" s="217"/>
      <c r="F28" s="217"/>
      <c r="G28" s="217"/>
      <c r="H28" s="217"/>
      <c r="I28" s="217"/>
      <c r="J28" s="217"/>
      <c r="K28" s="218"/>
      <c r="L28" s="219"/>
      <c r="M28" s="218"/>
    </row>
    <row r="29" spans="1:16" s="163" customFormat="1" x14ac:dyDescent="0.2">
      <c r="A29" s="214"/>
      <c r="B29" s="215"/>
      <c r="C29" s="217"/>
      <c r="D29" s="217"/>
      <c r="E29" s="217"/>
      <c r="F29" s="217"/>
      <c r="G29" s="217"/>
      <c r="H29" s="217"/>
      <c r="I29" s="217"/>
      <c r="J29" s="217"/>
      <c r="K29" s="218"/>
      <c r="L29" s="219"/>
      <c r="M29" s="218"/>
    </row>
    <row r="30" spans="1:16" s="163" customFormat="1" x14ac:dyDescent="0.2">
      <c r="A30" s="214"/>
      <c r="B30" s="215"/>
      <c r="C30" s="217"/>
      <c r="D30" s="217"/>
      <c r="E30" s="217"/>
      <c r="F30" s="217"/>
      <c r="G30" s="217"/>
      <c r="H30" s="217"/>
      <c r="I30" s="217"/>
      <c r="J30" s="217"/>
      <c r="K30" s="218"/>
      <c r="L30" s="219"/>
      <c r="M30" s="218"/>
    </row>
    <row r="31" spans="1:16" s="163" customFormat="1" x14ac:dyDescent="0.2">
      <c r="A31" s="214"/>
      <c r="B31" s="215"/>
      <c r="C31" s="217"/>
      <c r="D31" s="217"/>
      <c r="E31" s="217"/>
      <c r="F31" s="217"/>
      <c r="G31" s="217"/>
      <c r="H31" s="217"/>
      <c r="I31" s="217"/>
      <c r="J31" s="217"/>
      <c r="K31" s="218"/>
      <c r="L31" s="219"/>
      <c r="M31" s="218"/>
    </row>
    <row r="32" spans="1:16" s="163" customFormat="1" x14ac:dyDescent="0.2">
      <c r="A32" s="214"/>
      <c r="B32" s="215"/>
      <c r="C32" s="217"/>
      <c r="D32" s="217"/>
      <c r="E32" s="217"/>
      <c r="F32" s="217"/>
      <c r="G32" s="217"/>
      <c r="H32" s="217"/>
      <c r="I32" s="217"/>
      <c r="J32" s="217"/>
      <c r="K32" s="218"/>
      <c r="L32" s="219"/>
      <c r="M32" s="218"/>
    </row>
    <row r="33" spans="1:13" s="163" customFormat="1" x14ac:dyDescent="0.2">
      <c r="A33" s="214"/>
      <c r="B33" s="215"/>
      <c r="C33" s="217"/>
      <c r="D33" s="217"/>
      <c r="E33" s="217"/>
      <c r="F33" s="217"/>
      <c r="G33" s="217"/>
      <c r="H33" s="217"/>
      <c r="I33" s="217"/>
      <c r="J33" s="217"/>
      <c r="K33" s="218"/>
      <c r="L33" s="219"/>
      <c r="M33" s="218"/>
    </row>
    <row r="34" spans="1:13" s="163" customFormat="1" x14ac:dyDescent="0.2">
      <c r="A34" s="214"/>
      <c r="B34" s="215"/>
      <c r="C34" s="217"/>
      <c r="D34" s="217"/>
      <c r="E34" s="217"/>
      <c r="F34" s="217"/>
      <c r="G34" s="217"/>
      <c r="H34" s="217"/>
      <c r="I34" s="217"/>
      <c r="J34" s="217"/>
      <c r="K34" s="218"/>
      <c r="L34" s="219"/>
      <c r="M34" s="218"/>
    </row>
    <row r="35" spans="1:13" s="163" customFormat="1" x14ac:dyDescent="0.2">
      <c r="A35" s="214"/>
      <c r="B35" s="215"/>
      <c r="C35" s="217"/>
      <c r="D35" s="217"/>
      <c r="E35" s="217"/>
      <c r="F35" s="217"/>
      <c r="G35" s="217"/>
      <c r="H35" s="217"/>
      <c r="I35" s="217"/>
      <c r="J35" s="217"/>
      <c r="K35" s="218"/>
      <c r="L35" s="219"/>
      <c r="M35" s="218"/>
    </row>
    <row r="36" spans="1:13" s="163" customFormat="1" x14ac:dyDescent="0.2">
      <c r="A36" s="217"/>
      <c r="B36" s="215"/>
      <c r="K36" s="218"/>
      <c r="L36" s="219"/>
      <c r="M36" s="218"/>
    </row>
    <row r="37" spans="1:13" s="163" customFormat="1" x14ac:dyDescent="0.2">
      <c r="A37" s="217"/>
      <c r="B37" s="215"/>
      <c r="K37" s="218"/>
      <c r="L37" s="219"/>
      <c r="M37" s="218"/>
    </row>
    <row r="38" spans="1:13" s="163" customFormat="1" x14ac:dyDescent="0.2">
      <c r="A38" s="217"/>
      <c r="B38" s="215"/>
      <c r="K38" s="218"/>
      <c r="L38" s="219"/>
      <c r="M38" s="218"/>
    </row>
    <row r="39" spans="1:13" s="163" customFormat="1" x14ac:dyDescent="0.2">
      <c r="A39" s="217"/>
      <c r="B39" s="215"/>
      <c r="K39" s="218"/>
      <c r="L39" s="219"/>
      <c r="M39" s="218"/>
    </row>
    <row r="40" spans="1:13" s="163" customFormat="1" x14ac:dyDescent="0.2">
      <c r="A40" s="217"/>
      <c r="B40" s="215"/>
      <c r="K40" s="218"/>
      <c r="L40" s="219"/>
      <c r="M40" s="218"/>
    </row>
    <row r="41" spans="1:13" s="163" customFormat="1" x14ac:dyDescent="0.2">
      <c r="A41" s="217"/>
      <c r="B41" s="215"/>
      <c r="K41" s="218"/>
      <c r="L41" s="219"/>
      <c r="M41" s="218"/>
    </row>
    <row r="42" spans="1:13" s="163" customFormat="1" x14ac:dyDescent="0.2">
      <c r="A42" s="217"/>
      <c r="B42" s="215"/>
      <c r="K42" s="218"/>
      <c r="L42" s="219"/>
      <c r="M42" s="218"/>
    </row>
    <row r="43" spans="1:13" s="163" customFormat="1" x14ac:dyDescent="0.2">
      <c r="A43" s="217"/>
      <c r="B43" s="215"/>
      <c r="K43" s="218"/>
      <c r="L43" s="219"/>
      <c r="M43" s="218"/>
    </row>
    <row r="44" spans="1:13" s="163" customFormat="1" x14ac:dyDescent="0.2">
      <c r="A44" s="217"/>
      <c r="B44" s="215"/>
      <c r="K44" s="218"/>
      <c r="L44" s="219"/>
      <c r="M44" s="218"/>
    </row>
    <row r="45" spans="1:13" s="163" customFormat="1" x14ac:dyDescent="0.2">
      <c r="A45" s="217"/>
      <c r="B45" s="215"/>
      <c r="K45" s="218"/>
      <c r="L45" s="219"/>
      <c r="M45" s="218"/>
    </row>
    <row r="46" spans="1:13" s="163" customFormat="1" x14ac:dyDescent="0.2">
      <c r="A46" s="217"/>
      <c r="B46" s="215"/>
      <c r="K46" s="218"/>
      <c r="L46" s="219"/>
      <c r="M46" s="218"/>
    </row>
    <row r="47" spans="1:13" s="163" customFormat="1" x14ac:dyDescent="0.2">
      <c r="A47" s="217"/>
      <c r="B47" s="215"/>
      <c r="K47" s="218"/>
      <c r="L47" s="219"/>
      <c r="M47" s="218"/>
    </row>
    <row r="48" spans="1:13" s="163" customFormat="1" x14ac:dyDescent="0.2">
      <c r="A48" s="217"/>
      <c r="B48" s="215"/>
      <c r="K48" s="218"/>
      <c r="L48" s="219"/>
      <c r="M48" s="218"/>
    </row>
    <row r="49" spans="1:13" s="163" customFormat="1" x14ac:dyDescent="0.2">
      <c r="A49" s="217"/>
      <c r="B49" s="215"/>
      <c r="K49" s="218"/>
      <c r="L49" s="219"/>
      <c r="M49" s="218"/>
    </row>
    <row r="50" spans="1:13" s="163" customFormat="1" x14ac:dyDescent="0.2">
      <c r="A50" s="217"/>
      <c r="B50" s="215"/>
      <c r="K50" s="218"/>
      <c r="L50" s="219"/>
      <c r="M50" s="218"/>
    </row>
    <row r="51" spans="1:13" s="163" customFormat="1" x14ac:dyDescent="0.2">
      <c r="A51" s="217"/>
      <c r="B51" s="215"/>
      <c r="K51" s="218"/>
      <c r="L51" s="219"/>
      <c r="M51" s="218"/>
    </row>
    <row r="52" spans="1:13" s="163" customFormat="1" x14ac:dyDescent="0.2">
      <c r="A52" s="217"/>
      <c r="B52" s="215"/>
      <c r="K52" s="218"/>
      <c r="L52" s="219"/>
      <c r="M52" s="218"/>
    </row>
    <row r="53" spans="1:13" s="163" customFormat="1" x14ac:dyDescent="0.2">
      <c r="A53" s="217"/>
      <c r="B53" s="215"/>
      <c r="K53" s="218"/>
      <c r="L53" s="219"/>
      <c r="M53" s="218"/>
    </row>
    <row r="54" spans="1:13" s="163" customFormat="1" x14ac:dyDescent="0.2">
      <c r="A54" s="217"/>
      <c r="B54" s="215"/>
      <c r="K54" s="218"/>
      <c r="L54" s="219"/>
      <c r="M54" s="218"/>
    </row>
    <row r="55" spans="1:13" s="163" customFormat="1" x14ac:dyDescent="0.2">
      <c r="A55" s="217"/>
      <c r="B55" s="215"/>
      <c r="K55" s="218"/>
      <c r="L55" s="219"/>
      <c r="M55" s="218"/>
    </row>
    <row r="56" spans="1:13" s="163" customFormat="1" x14ac:dyDescent="0.2">
      <c r="A56" s="217"/>
      <c r="B56" s="215"/>
      <c r="K56" s="218"/>
      <c r="L56" s="219"/>
      <c r="M56" s="218"/>
    </row>
    <row r="57" spans="1:13" s="163" customFormat="1" x14ac:dyDescent="0.2">
      <c r="A57" s="217"/>
      <c r="B57" s="215"/>
      <c r="K57" s="218"/>
      <c r="L57" s="219"/>
      <c r="M57" s="218"/>
    </row>
    <row r="58" spans="1:13" s="163" customFormat="1" x14ac:dyDescent="0.2">
      <c r="A58" s="217"/>
      <c r="B58" s="215"/>
      <c r="K58" s="218"/>
      <c r="L58" s="219"/>
      <c r="M58" s="218"/>
    </row>
    <row r="59" spans="1:13" s="163" customFormat="1" x14ac:dyDescent="0.2">
      <c r="A59" s="217"/>
      <c r="B59" s="215"/>
      <c r="K59" s="218"/>
      <c r="L59" s="219"/>
      <c r="M59" s="218"/>
    </row>
    <row r="60" spans="1:13" s="163" customFormat="1" x14ac:dyDescent="0.2">
      <c r="A60" s="217"/>
      <c r="B60" s="215"/>
      <c r="K60" s="218"/>
      <c r="L60" s="219"/>
      <c r="M60" s="218"/>
    </row>
    <row r="61" spans="1:13" s="163" customFormat="1" x14ac:dyDescent="0.2">
      <c r="A61" s="217"/>
      <c r="B61" s="215"/>
      <c r="K61" s="218"/>
      <c r="L61" s="219"/>
      <c r="M61" s="218"/>
    </row>
    <row r="62" spans="1:13" s="163" customFormat="1" x14ac:dyDescent="0.2">
      <c r="A62" s="217"/>
      <c r="B62" s="215"/>
      <c r="K62" s="218"/>
      <c r="L62" s="219"/>
      <c r="M62" s="218"/>
    </row>
    <row r="63" spans="1:13" s="163" customFormat="1" x14ac:dyDescent="0.2">
      <c r="A63" s="217"/>
      <c r="B63" s="215"/>
      <c r="K63" s="218"/>
      <c r="L63" s="219"/>
      <c r="M63" s="218"/>
    </row>
    <row r="64" spans="1:13" s="163" customFormat="1" x14ac:dyDescent="0.2">
      <c r="A64" s="217"/>
      <c r="B64" s="215"/>
      <c r="K64" s="218"/>
      <c r="L64" s="219"/>
      <c r="M64" s="218"/>
    </row>
    <row r="65" spans="1:13" s="163" customFormat="1" x14ac:dyDescent="0.2">
      <c r="A65" s="217"/>
      <c r="B65" s="215"/>
      <c r="K65" s="218"/>
      <c r="L65" s="219"/>
      <c r="M65" s="218"/>
    </row>
    <row r="66" spans="1:13" s="163" customFormat="1" x14ac:dyDescent="0.2">
      <c r="A66" s="217"/>
      <c r="B66" s="215"/>
      <c r="K66" s="218"/>
      <c r="L66" s="219"/>
      <c r="M66" s="218"/>
    </row>
    <row r="67" spans="1:13" s="163" customFormat="1" x14ac:dyDescent="0.2">
      <c r="A67" s="217"/>
      <c r="B67" s="215"/>
      <c r="K67" s="218"/>
      <c r="L67" s="219"/>
      <c r="M67" s="218"/>
    </row>
    <row r="68" spans="1:13" s="163" customFormat="1" x14ac:dyDescent="0.2">
      <c r="A68" s="217"/>
      <c r="B68" s="215"/>
      <c r="K68" s="218"/>
      <c r="L68" s="219"/>
      <c r="M68" s="218"/>
    </row>
    <row r="69" spans="1:13" s="163" customFormat="1" x14ac:dyDescent="0.2">
      <c r="A69" s="217"/>
      <c r="B69" s="215"/>
      <c r="K69" s="218"/>
      <c r="L69" s="219"/>
      <c r="M69" s="218"/>
    </row>
    <row r="70" spans="1:13" s="163" customFormat="1" x14ac:dyDescent="0.2">
      <c r="A70" s="217"/>
      <c r="B70" s="215"/>
      <c r="K70" s="218"/>
      <c r="L70" s="219"/>
      <c r="M70" s="218"/>
    </row>
    <row r="71" spans="1:13" s="163" customFormat="1" x14ac:dyDescent="0.2">
      <c r="A71" s="217"/>
      <c r="B71" s="215"/>
      <c r="K71" s="218"/>
      <c r="L71" s="219"/>
      <c r="M71" s="218"/>
    </row>
    <row r="72" spans="1:13" s="163" customFormat="1" x14ac:dyDescent="0.2">
      <c r="A72" s="217"/>
      <c r="B72" s="215"/>
      <c r="K72" s="218"/>
      <c r="L72" s="219"/>
      <c r="M72" s="218"/>
    </row>
    <row r="73" spans="1:13" s="163" customFormat="1" x14ac:dyDescent="0.2">
      <c r="A73" s="217"/>
      <c r="B73" s="215"/>
      <c r="K73" s="218"/>
      <c r="L73" s="219"/>
      <c r="M73" s="218"/>
    </row>
    <row r="74" spans="1:13" s="163" customFormat="1" x14ac:dyDescent="0.2">
      <c r="A74" s="217"/>
      <c r="B74" s="215"/>
      <c r="K74" s="218"/>
      <c r="L74" s="219"/>
      <c r="M74" s="218"/>
    </row>
    <row r="75" spans="1:13" s="163" customFormat="1" x14ac:dyDescent="0.2">
      <c r="A75" s="217"/>
      <c r="B75" s="215"/>
      <c r="K75" s="218"/>
      <c r="L75" s="219"/>
      <c r="M75" s="218"/>
    </row>
    <row r="76" spans="1:13" s="163" customFormat="1" x14ac:dyDescent="0.2">
      <c r="A76" s="217"/>
      <c r="B76" s="215"/>
      <c r="K76" s="218"/>
      <c r="L76" s="219"/>
      <c r="M76" s="218"/>
    </row>
    <row r="77" spans="1:13" s="163" customFormat="1" x14ac:dyDescent="0.2">
      <c r="A77" s="217"/>
      <c r="B77" s="215"/>
      <c r="K77" s="218"/>
      <c r="L77" s="219"/>
      <c r="M77" s="218"/>
    </row>
    <row r="78" spans="1:13" s="163" customFormat="1" x14ac:dyDescent="0.2">
      <c r="A78" s="217"/>
      <c r="B78" s="215"/>
      <c r="K78" s="218"/>
      <c r="L78" s="219"/>
      <c r="M78" s="218"/>
    </row>
    <row r="79" spans="1:13" s="163" customFormat="1" x14ac:dyDescent="0.2">
      <c r="A79" s="217"/>
      <c r="B79" s="215"/>
      <c r="K79" s="218"/>
      <c r="L79" s="219"/>
      <c r="M79" s="218"/>
    </row>
    <row r="80" spans="1:13" s="163" customFormat="1" x14ac:dyDescent="0.2">
      <c r="A80" s="217"/>
      <c r="B80" s="215"/>
      <c r="K80" s="218"/>
      <c r="L80" s="219"/>
      <c r="M80" s="218"/>
    </row>
    <row r="81" spans="1:13" s="163" customFormat="1" x14ac:dyDescent="0.2">
      <c r="A81" s="217"/>
      <c r="B81" s="215"/>
      <c r="K81" s="218"/>
      <c r="L81" s="219"/>
      <c r="M81" s="218"/>
    </row>
    <row r="82" spans="1:13" s="163" customFormat="1" x14ac:dyDescent="0.2">
      <c r="A82" s="217"/>
      <c r="B82" s="215"/>
      <c r="K82" s="218"/>
      <c r="L82" s="219"/>
      <c r="M82" s="218"/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K3" sqref="K3"/>
    </sheetView>
  </sheetViews>
  <sheetFormatPr defaultRowHeight="12.75" x14ac:dyDescent="0.2"/>
  <cols>
    <col min="1" max="1" width="9.7109375" customWidth="1"/>
    <col min="2" max="2" width="19.28515625" customWidth="1"/>
    <col min="3" max="3" width="13.42578125" customWidth="1"/>
    <col min="4" max="4" width="7.140625" customWidth="1"/>
    <col min="5" max="5" width="4.85546875" customWidth="1"/>
    <col min="6" max="6" width="11" customWidth="1"/>
    <col min="7" max="7" width="4" customWidth="1"/>
    <col min="8" max="8" width="8.85546875" customWidth="1"/>
    <col min="9" max="9" width="4.140625" customWidth="1"/>
    <col min="10" max="10" width="11" customWidth="1"/>
    <col min="11" max="11" width="11.28515625" customWidth="1"/>
    <col min="12" max="12" width="8.140625" customWidth="1"/>
    <col min="13" max="13" width="11.28515625" customWidth="1"/>
    <col min="14" max="14" width="8.7109375" customWidth="1"/>
    <col min="15" max="15" width="12.42578125" customWidth="1"/>
  </cols>
  <sheetData>
    <row r="1" spans="1:16" ht="13.5" thickBot="1" x14ac:dyDescent="0.25">
      <c r="A1" s="221" t="s">
        <v>399</v>
      </c>
      <c r="B1" s="221" t="s">
        <v>400</v>
      </c>
      <c r="C1" s="221" t="s">
        <v>401</v>
      </c>
      <c r="D1" s="221" t="s">
        <v>402</v>
      </c>
      <c r="E1" s="221" t="s">
        <v>403</v>
      </c>
      <c r="F1" s="221" t="s">
        <v>404</v>
      </c>
      <c r="G1" s="221" t="s">
        <v>405</v>
      </c>
      <c r="H1" s="221" t="s">
        <v>406</v>
      </c>
      <c r="I1" s="221" t="s">
        <v>407</v>
      </c>
      <c r="J1" s="221" t="s">
        <v>408</v>
      </c>
      <c r="K1" s="221" t="s">
        <v>409</v>
      </c>
      <c r="L1" s="221" t="s">
        <v>410</v>
      </c>
      <c r="M1" s="221" t="s">
        <v>411</v>
      </c>
      <c r="N1" s="221" t="s">
        <v>412</v>
      </c>
      <c r="O1" s="222" t="s">
        <v>413</v>
      </c>
      <c r="P1" s="222" t="s">
        <v>414</v>
      </c>
    </row>
    <row r="2" spans="1:16" s="225" customFormat="1" x14ac:dyDescent="0.2">
      <c r="A2" s="223">
        <v>36647</v>
      </c>
      <c r="B2" s="224" t="s">
        <v>415</v>
      </c>
      <c r="C2" s="225" t="s">
        <v>212</v>
      </c>
      <c r="D2" s="225" t="s">
        <v>416</v>
      </c>
      <c r="E2" s="225" t="s">
        <v>417</v>
      </c>
      <c r="F2" s="225" t="s">
        <v>418</v>
      </c>
      <c r="G2" s="225" t="s">
        <v>212</v>
      </c>
      <c r="H2" s="225" t="s">
        <v>419</v>
      </c>
      <c r="I2" s="225" t="s">
        <v>420</v>
      </c>
      <c r="J2" s="225" t="s">
        <v>421</v>
      </c>
      <c r="K2" s="226">
        <v>0</v>
      </c>
      <c r="L2" s="227">
        <v>0</v>
      </c>
      <c r="M2" s="226">
        <v>0</v>
      </c>
      <c r="N2" s="225">
        <v>0</v>
      </c>
      <c r="O2" s="225">
        <v>0</v>
      </c>
      <c r="P2" s="225" t="s">
        <v>422</v>
      </c>
    </row>
    <row r="3" spans="1:16" s="225" customFormat="1" x14ac:dyDescent="0.2">
      <c r="A3" s="223">
        <v>36678</v>
      </c>
      <c r="B3" s="224" t="s">
        <v>415</v>
      </c>
      <c r="C3" s="225" t="s">
        <v>212</v>
      </c>
      <c r="D3" s="225" t="s">
        <v>416</v>
      </c>
      <c r="E3" s="225" t="s">
        <v>417</v>
      </c>
      <c r="F3" s="225" t="s">
        <v>418</v>
      </c>
      <c r="G3" s="225" t="s">
        <v>212</v>
      </c>
      <c r="H3" s="225" t="s">
        <v>419</v>
      </c>
      <c r="I3" s="225" t="s">
        <v>420</v>
      </c>
      <c r="J3" s="225" t="s">
        <v>421</v>
      </c>
      <c r="K3" s="226">
        <v>0</v>
      </c>
      <c r="L3" s="227">
        <v>0</v>
      </c>
      <c r="M3" s="226">
        <v>0</v>
      </c>
      <c r="N3" s="225">
        <v>0</v>
      </c>
      <c r="O3" s="225">
        <v>0</v>
      </c>
      <c r="P3" s="225" t="s">
        <v>422</v>
      </c>
    </row>
    <row r="4" spans="1:16" s="225" customFormat="1" x14ac:dyDescent="0.2">
      <c r="A4" s="223">
        <v>36708</v>
      </c>
      <c r="B4" s="224" t="s">
        <v>415</v>
      </c>
      <c r="C4" s="225" t="s">
        <v>212</v>
      </c>
      <c r="D4" s="225" t="s">
        <v>416</v>
      </c>
      <c r="E4" s="225" t="s">
        <v>417</v>
      </c>
      <c r="F4" s="225" t="s">
        <v>418</v>
      </c>
      <c r="G4" s="225" t="s">
        <v>212</v>
      </c>
      <c r="H4" s="225" t="s">
        <v>419</v>
      </c>
      <c r="I4" s="225" t="s">
        <v>420</v>
      </c>
      <c r="J4" s="225" t="s">
        <v>421</v>
      </c>
      <c r="K4" s="226">
        <v>0</v>
      </c>
      <c r="L4" s="227">
        <v>0</v>
      </c>
      <c r="M4" s="226">
        <v>0</v>
      </c>
      <c r="N4" s="225">
        <v>0</v>
      </c>
      <c r="O4" s="225">
        <v>0</v>
      </c>
      <c r="P4" s="225" t="s">
        <v>422</v>
      </c>
    </row>
    <row r="5" spans="1:16" s="225" customFormat="1" x14ac:dyDescent="0.2">
      <c r="A5" s="223">
        <v>36739</v>
      </c>
      <c r="B5" s="224" t="s">
        <v>415</v>
      </c>
      <c r="C5" s="225" t="s">
        <v>212</v>
      </c>
      <c r="D5" s="225" t="s">
        <v>416</v>
      </c>
      <c r="E5" s="225" t="s">
        <v>417</v>
      </c>
      <c r="F5" s="225" t="s">
        <v>418</v>
      </c>
      <c r="G5" s="225" t="s">
        <v>212</v>
      </c>
      <c r="H5" s="225" t="s">
        <v>419</v>
      </c>
      <c r="I5" s="225" t="s">
        <v>420</v>
      </c>
      <c r="J5" s="225" t="s">
        <v>421</v>
      </c>
      <c r="K5" s="226">
        <v>0</v>
      </c>
      <c r="L5" s="227">
        <v>0</v>
      </c>
      <c r="M5" s="226">
        <v>0</v>
      </c>
      <c r="N5" s="225">
        <v>0</v>
      </c>
      <c r="O5" s="225">
        <v>0</v>
      </c>
      <c r="P5" s="225" t="s">
        <v>422</v>
      </c>
    </row>
    <row r="6" spans="1:16" s="225" customFormat="1" x14ac:dyDescent="0.2">
      <c r="A6" s="223">
        <v>36770</v>
      </c>
      <c r="B6" s="224" t="s">
        <v>415</v>
      </c>
      <c r="C6" s="225" t="s">
        <v>212</v>
      </c>
      <c r="D6" s="225" t="s">
        <v>416</v>
      </c>
      <c r="E6" s="225" t="s">
        <v>417</v>
      </c>
      <c r="F6" s="225" t="s">
        <v>418</v>
      </c>
      <c r="G6" s="225" t="s">
        <v>212</v>
      </c>
      <c r="H6" s="225" t="s">
        <v>419</v>
      </c>
      <c r="I6" s="225" t="s">
        <v>420</v>
      </c>
      <c r="J6" s="225" t="s">
        <v>421</v>
      </c>
      <c r="K6" s="226">
        <v>0</v>
      </c>
      <c r="L6" s="227">
        <v>0</v>
      </c>
      <c r="M6" s="226">
        <v>0</v>
      </c>
      <c r="N6" s="225">
        <v>0</v>
      </c>
      <c r="O6" s="225">
        <v>0</v>
      </c>
      <c r="P6" s="225" t="s">
        <v>422</v>
      </c>
    </row>
    <row r="7" spans="1:16" s="225" customFormat="1" x14ac:dyDescent="0.2">
      <c r="A7" s="223">
        <v>36800</v>
      </c>
      <c r="B7" s="224" t="s">
        <v>415</v>
      </c>
      <c r="C7" s="225" t="s">
        <v>212</v>
      </c>
      <c r="D7" s="225" t="s">
        <v>416</v>
      </c>
      <c r="E7" s="225" t="s">
        <v>417</v>
      </c>
      <c r="F7" s="225" t="s">
        <v>418</v>
      </c>
      <c r="G7" s="225" t="s">
        <v>212</v>
      </c>
      <c r="H7" s="225" t="s">
        <v>419</v>
      </c>
      <c r="I7" s="225" t="s">
        <v>420</v>
      </c>
      <c r="J7" s="225" t="s">
        <v>421</v>
      </c>
      <c r="K7" s="226">
        <v>0</v>
      </c>
      <c r="L7" s="227">
        <v>0</v>
      </c>
      <c r="M7" s="226">
        <v>0</v>
      </c>
      <c r="N7" s="225">
        <v>0</v>
      </c>
      <c r="O7" s="225">
        <v>0</v>
      </c>
      <c r="P7" s="225" t="s">
        <v>422</v>
      </c>
    </row>
    <row r="8" spans="1:16" s="225" customFormat="1" x14ac:dyDescent="0.2">
      <c r="A8" s="223">
        <v>36831</v>
      </c>
      <c r="B8" s="224" t="s">
        <v>415</v>
      </c>
      <c r="C8" s="225" t="s">
        <v>212</v>
      </c>
      <c r="D8" s="225" t="s">
        <v>416</v>
      </c>
      <c r="E8" s="225" t="s">
        <v>417</v>
      </c>
      <c r="F8" s="225" t="s">
        <v>418</v>
      </c>
      <c r="G8" s="225" t="s">
        <v>212</v>
      </c>
      <c r="H8" s="225" t="s">
        <v>419</v>
      </c>
      <c r="I8" s="225" t="s">
        <v>420</v>
      </c>
      <c r="J8" s="225" t="s">
        <v>421</v>
      </c>
      <c r="K8" s="226">
        <v>0</v>
      </c>
      <c r="L8" s="227">
        <v>0</v>
      </c>
      <c r="M8" s="226">
        <v>0</v>
      </c>
      <c r="N8" s="225">
        <v>0</v>
      </c>
      <c r="O8" s="225">
        <v>0</v>
      </c>
      <c r="P8" s="225" t="s">
        <v>422</v>
      </c>
    </row>
    <row r="9" spans="1:16" s="225" customFormat="1" x14ac:dyDescent="0.2">
      <c r="A9" s="223">
        <v>36861</v>
      </c>
      <c r="B9" s="224" t="s">
        <v>415</v>
      </c>
      <c r="C9" s="225" t="s">
        <v>212</v>
      </c>
      <c r="D9" s="225" t="s">
        <v>416</v>
      </c>
      <c r="E9" s="225" t="s">
        <v>417</v>
      </c>
      <c r="F9" s="225" t="s">
        <v>418</v>
      </c>
      <c r="G9" s="225" t="s">
        <v>212</v>
      </c>
      <c r="H9" s="225" t="s">
        <v>419</v>
      </c>
      <c r="I9" s="225" t="s">
        <v>420</v>
      </c>
      <c r="J9" s="225" t="s">
        <v>421</v>
      </c>
      <c r="K9" s="226">
        <v>0</v>
      </c>
      <c r="L9" s="227">
        <v>0</v>
      </c>
      <c r="M9" s="226">
        <v>0</v>
      </c>
      <c r="N9" s="225">
        <v>0</v>
      </c>
      <c r="O9" s="225">
        <v>0</v>
      </c>
      <c r="P9" s="225" t="s">
        <v>422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C22" sqref="C22"/>
    </sheetView>
  </sheetViews>
  <sheetFormatPr defaultRowHeight="12.75" x14ac:dyDescent="0.2"/>
  <cols>
    <col min="1" max="1" width="9.7109375" customWidth="1"/>
    <col min="2" max="2" width="19.28515625" customWidth="1"/>
    <col min="3" max="3" width="13.42578125" customWidth="1"/>
    <col min="4" max="4" width="7.140625" customWidth="1"/>
    <col min="5" max="5" width="4.85546875" customWidth="1"/>
    <col min="6" max="6" width="11" customWidth="1"/>
    <col min="7" max="7" width="4" customWidth="1"/>
    <col min="8" max="8" width="8.85546875" customWidth="1"/>
    <col min="9" max="9" width="4.140625" customWidth="1"/>
    <col min="10" max="10" width="11" customWidth="1"/>
    <col min="11" max="11" width="9" customWidth="1"/>
    <col min="12" max="12" width="8.140625" customWidth="1"/>
    <col min="13" max="13" width="10.140625" customWidth="1"/>
    <col min="14" max="14" width="8.7109375" customWidth="1"/>
    <col min="15" max="15" width="12.42578125" customWidth="1"/>
    <col min="16" max="16" width="9.5703125" customWidth="1"/>
  </cols>
  <sheetData>
    <row r="1" spans="1:16" ht="17.25" customHeight="1" thickBot="1" x14ac:dyDescent="0.25">
      <c r="A1" s="221" t="s">
        <v>399</v>
      </c>
      <c r="B1" s="221" t="s">
        <v>400</v>
      </c>
      <c r="C1" s="221" t="s">
        <v>401</v>
      </c>
      <c r="D1" s="221" t="s">
        <v>402</v>
      </c>
      <c r="E1" s="221" t="s">
        <v>403</v>
      </c>
      <c r="F1" s="221" t="s">
        <v>404</v>
      </c>
      <c r="G1" s="221" t="s">
        <v>405</v>
      </c>
      <c r="H1" s="221" t="s">
        <v>406</v>
      </c>
      <c r="I1" s="221" t="s">
        <v>407</v>
      </c>
      <c r="J1" s="221" t="s">
        <v>408</v>
      </c>
      <c r="K1" s="221" t="s">
        <v>409</v>
      </c>
      <c r="L1" s="221" t="s">
        <v>410</v>
      </c>
      <c r="M1" s="221" t="s">
        <v>411</v>
      </c>
      <c r="N1" s="221" t="s">
        <v>412</v>
      </c>
      <c r="O1" s="222" t="s">
        <v>413</v>
      </c>
      <c r="P1" s="222" t="s">
        <v>414</v>
      </c>
    </row>
    <row r="2" spans="1:16" s="230" customFormat="1" x14ac:dyDescent="0.2">
      <c r="A2" s="228">
        <v>36678</v>
      </c>
      <c r="B2" s="229" t="s">
        <v>415</v>
      </c>
      <c r="C2" s="230" t="s">
        <v>212</v>
      </c>
      <c r="D2" s="230" t="s">
        <v>416</v>
      </c>
      <c r="E2" s="230" t="s">
        <v>417</v>
      </c>
      <c r="F2" s="230" t="s">
        <v>418</v>
      </c>
      <c r="G2" s="230" t="s">
        <v>212</v>
      </c>
      <c r="H2" s="230" t="s">
        <v>419</v>
      </c>
      <c r="I2" s="230" t="s">
        <v>422</v>
      </c>
      <c r="J2" s="230" t="s">
        <v>421</v>
      </c>
      <c r="K2" s="231">
        <f ca="1">+Trades!K48</f>
        <v>-2925</v>
      </c>
      <c r="L2" s="232">
        <v>0</v>
      </c>
      <c r="M2" s="231">
        <v>0</v>
      </c>
      <c r="N2" s="230">
        <v>0</v>
      </c>
      <c r="O2" s="230">
        <v>0</v>
      </c>
      <c r="P2" s="230" t="s">
        <v>212</v>
      </c>
    </row>
    <row r="3" spans="1:16" s="230" customFormat="1" x14ac:dyDescent="0.2">
      <c r="A3" s="228">
        <v>36708</v>
      </c>
      <c r="B3" s="229" t="s">
        <v>415</v>
      </c>
      <c r="C3" s="230" t="s">
        <v>212</v>
      </c>
      <c r="D3" s="230" t="s">
        <v>416</v>
      </c>
      <c r="E3" s="230" t="s">
        <v>417</v>
      </c>
      <c r="F3" s="230" t="s">
        <v>418</v>
      </c>
      <c r="G3" s="230" t="s">
        <v>212</v>
      </c>
      <c r="H3" s="230" t="s">
        <v>419</v>
      </c>
      <c r="I3" s="230" t="s">
        <v>422</v>
      </c>
      <c r="J3" s="230" t="s">
        <v>421</v>
      </c>
      <c r="K3" s="231">
        <f ca="1">+Trades!K49</f>
        <v>0</v>
      </c>
      <c r="L3" s="232">
        <v>0</v>
      </c>
      <c r="M3" s="231">
        <v>0</v>
      </c>
      <c r="N3" s="230">
        <v>0</v>
      </c>
      <c r="O3" s="230">
        <v>0</v>
      </c>
      <c r="P3" s="230" t="s">
        <v>212</v>
      </c>
    </row>
    <row r="4" spans="1:16" s="230" customFormat="1" x14ac:dyDescent="0.2">
      <c r="A4" s="228">
        <v>36739</v>
      </c>
      <c r="B4" s="229" t="s">
        <v>415</v>
      </c>
      <c r="C4" s="230" t="s">
        <v>212</v>
      </c>
      <c r="D4" s="230" t="s">
        <v>416</v>
      </c>
      <c r="E4" s="230" t="s">
        <v>417</v>
      </c>
      <c r="F4" s="230" t="s">
        <v>418</v>
      </c>
      <c r="G4" s="230" t="s">
        <v>212</v>
      </c>
      <c r="H4" s="230" t="s">
        <v>419</v>
      </c>
      <c r="I4" s="230" t="s">
        <v>422</v>
      </c>
      <c r="J4" s="230" t="s">
        <v>421</v>
      </c>
      <c r="K4" s="231">
        <f ca="1">+Trades!K50</f>
        <v>0</v>
      </c>
      <c r="L4" s="232">
        <v>0</v>
      </c>
      <c r="M4" s="231">
        <v>0</v>
      </c>
      <c r="N4" s="230">
        <v>0</v>
      </c>
      <c r="O4" s="230">
        <v>0</v>
      </c>
      <c r="P4" s="230" t="s">
        <v>212</v>
      </c>
    </row>
    <row r="5" spans="1:16" s="230" customFormat="1" x14ac:dyDescent="0.2">
      <c r="A5" s="228">
        <v>36770</v>
      </c>
      <c r="B5" s="229" t="s">
        <v>415</v>
      </c>
      <c r="C5" s="230" t="s">
        <v>212</v>
      </c>
      <c r="D5" s="230" t="s">
        <v>416</v>
      </c>
      <c r="E5" s="230" t="s">
        <v>417</v>
      </c>
      <c r="F5" s="230" t="s">
        <v>418</v>
      </c>
      <c r="G5" s="230" t="s">
        <v>212</v>
      </c>
      <c r="H5" s="230" t="s">
        <v>419</v>
      </c>
      <c r="I5" s="230" t="s">
        <v>422</v>
      </c>
      <c r="J5" s="230" t="s">
        <v>421</v>
      </c>
      <c r="K5" s="231">
        <f ca="1">+Trades!K51</f>
        <v>0</v>
      </c>
      <c r="L5" s="232">
        <v>0</v>
      </c>
      <c r="M5" s="231">
        <v>0</v>
      </c>
      <c r="N5" s="230">
        <v>0</v>
      </c>
      <c r="O5" s="230">
        <v>0</v>
      </c>
      <c r="P5" s="230" t="s">
        <v>212</v>
      </c>
    </row>
    <row r="6" spans="1:16" s="230" customFormat="1" x14ac:dyDescent="0.2">
      <c r="A6" s="228">
        <v>36800</v>
      </c>
      <c r="B6" s="229" t="s">
        <v>415</v>
      </c>
      <c r="C6" s="230" t="s">
        <v>212</v>
      </c>
      <c r="D6" s="230" t="s">
        <v>416</v>
      </c>
      <c r="E6" s="230" t="s">
        <v>417</v>
      </c>
      <c r="F6" s="230" t="s">
        <v>418</v>
      </c>
      <c r="G6" s="230" t="s">
        <v>212</v>
      </c>
      <c r="H6" s="230" t="s">
        <v>419</v>
      </c>
      <c r="I6" s="230" t="s">
        <v>422</v>
      </c>
      <c r="J6" s="230" t="s">
        <v>421</v>
      </c>
      <c r="K6" s="231">
        <f ca="1">+Trades!K52</f>
        <v>-7150</v>
      </c>
      <c r="L6" s="232">
        <v>0</v>
      </c>
      <c r="M6" s="231">
        <v>0</v>
      </c>
      <c r="N6" s="230">
        <v>0</v>
      </c>
      <c r="O6" s="230">
        <v>0</v>
      </c>
      <c r="P6" s="230" t="s">
        <v>212</v>
      </c>
    </row>
    <row r="7" spans="1:16" s="230" customFormat="1" x14ac:dyDescent="0.2">
      <c r="A7" s="228">
        <v>36831</v>
      </c>
      <c r="B7" s="229" t="s">
        <v>415</v>
      </c>
      <c r="C7" s="230" t="s">
        <v>212</v>
      </c>
      <c r="D7" s="230" t="s">
        <v>416</v>
      </c>
      <c r="E7" s="230" t="s">
        <v>417</v>
      </c>
      <c r="F7" s="230" t="s">
        <v>418</v>
      </c>
      <c r="G7" s="230" t="s">
        <v>212</v>
      </c>
      <c r="H7" s="230" t="s">
        <v>419</v>
      </c>
      <c r="I7" s="230" t="s">
        <v>422</v>
      </c>
      <c r="J7" s="230" t="s">
        <v>421</v>
      </c>
      <c r="K7" s="231">
        <f ca="1">+Trades!K53</f>
        <v>0</v>
      </c>
      <c r="L7" s="232">
        <v>0</v>
      </c>
      <c r="M7" s="231">
        <v>0</v>
      </c>
      <c r="N7" s="230">
        <v>0</v>
      </c>
      <c r="O7" s="230">
        <v>0</v>
      </c>
      <c r="P7" s="230" t="s">
        <v>212</v>
      </c>
    </row>
    <row r="8" spans="1:16" s="230" customFormat="1" x14ac:dyDescent="0.2">
      <c r="A8" s="228">
        <v>36861</v>
      </c>
      <c r="B8" s="229" t="s">
        <v>415</v>
      </c>
      <c r="C8" s="230" t="s">
        <v>212</v>
      </c>
      <c r="D8" s="230" t="s">
        <v>416</v>
      </c>
      <c r="E8" s="230" t="s">
        <v>417</v>
      </c>
      <c r="F8" s="230" t="s">
        <v>418</v>
      </c>
      <c r="G8" s="230" t="s">
        <v>212</v>
      </c>
      <c r="H8" s="230" t="s">
        <v>419</v>
      </c>
      <c r="I8" s="230" t="s">
        <v>422</v>
      </c>
      <c r="J8" s="230" t="s">
        <v>421</v>
      </c>
      <c r="K8" s="231">
        <f ca="1">+Trades!K54</f>
        <v>0</v>
      </c>
      <c r="L8" s="232">
        <v>0</v>
      </c>
      <c r="M8" s="231">
        <v>0</v>
      </c>
      <c r="N8" s="230">
        <v>0</v>
      </c>
      <c r="O8" s="230">
        <v>0</v>
      </c>
      <c r="P8" s="230" t="s">
        <v>212</v>
      </c>
    </row>
    <row r="9" spans="1:16" s="235" customFormat="1" x14ac:dyDescent="0.2">
      <c r="A9" s="233">
        <v>36678</v>
      </c>
      <c r="B9" s="234" t="s">
        <v>415</v>
      </c>
      <c r="C9" s="235" t="s">
        <v>212</v>
      </c>
      <c r="D9" s="235" t="s">
        <v>416</v>
      </c>
      <c r="E9" s="235" t="s">
        <v>417</v>
      </c>
      <c r="F9" s="235" t="s">
        <v>418</v>
      </c>
      <c r="G9" s="235" t="s">
        <v>212</v>
      </c>
      <c r="H9" s="235" t="s">
        <v>419</v>
      </c>
      <c r="I9" s="235" t="s">
        <v>422</v>
      </c>
      <c r="J9" s="235" t="s">
        <v>421</v>
      </c>
      <c r="K9" s="236">
        <f ca="1">+Trades!L48</f>
        <v>-7350</v>
      </c>
      <c r="L9" s="237">
        <v>0</v>
      </c>
      <c r="M9" s="236">
        <v>0</v>
      </c>
      <c r="N9" s="235">
        <v>0</v>
      </c>
      <c r="O9" s="235">
        <v>0</v>
      </c>
      <c r="P9" s="235" t="s">
        <v>212</v>
      </c>
    </row>
    <row r="10" spans="1:16" s="235" customFormat="1" x14ac:dyDescent="0.2">
      <c r="A10" s="233">
        <v>36708</v>
      </c>
      <c r="B10" s="234" t="s">
        <v>415</v>
      </c>
      <c r="C10" s="235" t="s">
        <v>212</v>
      </c>
      <c r="D10" s="235" t="s">
        <v>416</v>
      </c>
      <c r="E10" s="235" t="s">
        <v>417</v>
      </c>
      <c r="F10" s="235" t="s">
        <v>418</v>
      </c>
      <c r="G10" s="235" t="s">
        <v>212</v>
      </c>
      <c r="H10" s="235" t="s">
        <v>419</v>
      </c>
      <c r="I10" s="235" t="s">
        <v>422</v>
      </c>
      <c r="J10" s="235" t="s">
        <v>421</v>
      </c>
      <c r="K10" s="236">
        <f ca="1">+Trades!L49</f>
        <v>-11775</v>
      </c>
      <c r="L10" s="237">
        <v>0</v>
      </c>
      <c r="M10" s="236">
        <v>0</v>
      </c>
      <c r="N10" s="235">
        <v>0</v>
      </c>
      <c r="O10" s="235">
        <v>0</v>
      </c>
      <c r="P10" s="235" t="s">
        <v>212</v>
      </c>
    </row>
    <row r="11" spans="1:16" s="235" customFormat="1" x14ac:dyDescent="0.2">
      <c r="A11" s="233">
        <v>36739</v>
      </c>
      <c r="B11" s="234" t="s">
        <v>415</v>
      </c>
      <c r="C11" s="235" t="s">
        <v>212</v>
      </c>
      <c r="D11" s="235" t="s">
        <v>416</v>
      </c>
      <c r="E11" s="235" t="s">
        <v>417</v>
      </c>
      <c r="F11" s="235" t="s">
        <v>418</v>
      </c>
      <c r="G11" s="235" t="s">
        <v>212</v>
      </c>
      <c r="H11" s="235" t="s">
        <v>419</v>
      </c>
      <c r="I11" s="235" t="s">
        <v>422</v>
      </c>
      <c r="J11" s="235" t="s">
        <v>421</v>
      </c>
      <c r="K11" s="236">
        <f ca="1">+Trades!L50</f>
        <v>-11125</v>
      </c>
      <c r="L11" s="237">
        <v>0</v>
      </c>
      <c r="M11" s="236">
        <v>0</v>
      </c>
      <c r="N11" s="235">
        <v>0</v>
      </c>
      <c r="O11" s="235">
        <v>0</v>
      </c>
      <c r="P11" s="235" t="s">
        <v>212</v>
      </c>
    </row>
    <row r="12" spans="1:16" s="235" customFormat="1" x14ac:dyDescent="0.2">
      <c r="A12" s="233">
        <v>36770</v>
      </c>
      <c r="B12" s="234" t="s">
        <v>415</v>
      </c>
      <c r="C12" s="235" t="s">
        <v>212</v>
      </c>
      <c r="D12" s="235" t="s">
        <v>416</v>
      </c>
      <c r="E12" s="235" t="s">
        <v>417</v>
      </c>
      <c r="F12" s="235" t="s">
        <v>418</v>
      </c>
      <c r="G12" s="235" t="s">
        <v>212</v>
      </c>
      <c r="H12" s="235" t="s">
        <v>419</v>
      </c>
      <c r="I12" s="235" t="s">
        <v>422</v>
      </c>
      <c r="J12" s="235" t="s">
        <v>421</v>
      </c>
      <c r="K12" s="236">
        <f ca="1">+Trades!L51</f>
        <v>-11175</v>
      </c>
      <c r="L12" s="237">
        <v>0</v>
      </c>
      <c r="M12" s="236">
        <v>0</v>
      </c>
      <c r="N12" s="235">
        <v>0</v>
      </c>
      <c r="O12" s="235">
        <v>0</v>
      </c>
      <c r="P12" s="235" t="s">
        <v>212</v>
      </c>
    </row>
    <row r="13" spans="1:16" s="235" customFormat="1" x14ac:dyDescent="0.2">
      <c r="A13" s="233">
        <v>36800</v>
      </c>
      <c r="B13" s="234" t="s">
        <v>415</v>
      </c>
      <c r="C13" s="235" t="s">
        <v>212</v>
      </c>
      <c r="D13" s="235" t="s">
        <v>416</v>
      </c>
      <c r="E13" s="235" t="s">
        <v>417</v>
      </c>
      <c r="F13" s="235" t="s">
        <v>418</v>
      </c>
      <c r="G13" s="235" t="s">
        <v>212</v>
      </c>
      <c r="H13" s="235" t="s">
        <v>419</v>
      </c>
      <c r="I13" s="235" t="s">
        <v>422</v>
      </c>
      <c r="J13" s="235" t="s">
        <v>421</v>
      </c>
      <c r="K13" s="236">
        <f ca="1">+Trades!L52</f>
        <v>-11450</v>
      </c>
      <c r="L13" s="237">
        <v>0</v>
      </c>
      <c r="M13" s="236">
        <v>0</v>
      </c>
      <c r="N13" s="235">
        <v>0</v>
      </c>
      <c r="O13" s="235">
        <v>0</v>
      </c>
      <c r="P13" s="235" t="s">
        <v>212</v>
      </c>
    </row>
    <row r="14" spans="1:16" s="235" customFormat="1" x14ac:dyDescent="0.2">
      <c r="A14" s="233">
        <v>36831</v>
      </c>
      <c r="B14" s="234" t="s">
        <v>415</v>
      </c>
      <c r="C14" s="235" t="s">
        <v>212</v>
      </c>
      <c r="D14" s="235" t="s">
        <v>416</v>
      </c>
      <c r="E14" s="235" t="s">
        <v>417</v>
      </c>
      <c r="F14" s="235" t="s">
        <v>418</v>
      </c>
      <c r="G14" s="235" t="s">
        <v>212</v>
      </c>
      <c r="H14" s="235" t="s">
        <v>419</v>
      </c>
      <c r="I14" s="235" t="s">
        <v>422</v>
      </c>
      <c r="J14" s="235" t="s">
        <v>421</v>
      </c>
      <c r="K14" s="236">
        <f ca="1">+Trades!L53</f>
        <v>0</v>
      </c>
      <c r="L14" s="237">
        <v>0</v>
      </c>
      <c r="M14" s="236">
        <v>0</v>
      </c>
      <c r="N14" s="235">
        <v>0</v>
      </c>
      <c r="O14" s="235">
        <v>0</v>
      </c>
      <c r="P14" s="235" t="s">
        <v>212</v>
      </c>
    </row>
    <row r="15" spans="1:16" s="235" customFormat="1" x14ac:dyDescent="0.2">
      <c r="A15" s="233">
        <v>36861</v>
      </c>
      <c r="B15" s="234" t="s">
        <v>415</v>
      </c>
      <c r="C15" s="235" t="s">
        <v>212</v>
      </c>
      <c r="D15" s="235" t="s">
        <v>416</v>
      </c>
      <c r="E15" s="235" t="s">
        <v>417</v>
      </c>
      <c r="F15" s="235" t="s">
        <v>418</v>
      </c>
      <c r="G15" s="235" t="s">
        <v>212</v>
      </c>
      <c r="H15" s="235" t="s">
        <v>419</v>
      </c>
      <c r="I15" s="235" t="s">
        <v>422</v>
      </c>
      <c r="J15" s="235" t="s">
        <v>421</v>
      </c>
      <c r="K15" s="236">
        <f ca="1">+Trades!L54</f>
        <v>0</v>
      </c>
      <c r="L15" s="237">
        <v>0</v>
      </c>
      <c r="M15" s="236">
        <v>0</v>
      </c>
      <c r="N15" s="235">
        <v>0</v>
      </c>
      <c r="O15" s="235">
        <v>0</v>
      </c>
      <c r="P15" s="235" t="s">
        <v>212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1082"/>
  <sheetViews>
    <sheetView zoomScale="80" workbookViewId="0">
      <selection activeCell="K18" sqref="K18"/>
    </sheetView>
  </sheetViews>
  <sheetFormatPr defaultRowHeight="12.75" x14ac:dyDescent="0.2"/>
  <cols>
    <col min="1" max="1" width="13" customWidth="1"/>
    <col min="2" max="2" width="13.28515625" customWidth="1"/>
    <col min="3" max="3" width="14.28515625" customWidth="1"/>
    <col min="4" max="4" width="17" customWidth="1"/>
    <col min="5" max="5" width="14.28515625" customWidth="1"/>
    <col min="6" max="6" width="19.28515625" customWidth="1"/>
    <col min="7" max="7" width="11.42578125" customWidth="1"/>
    <col min="8" max="9" width="13.28515625" customWidth="1"/>
    <col min="10" max="10" width="9.7109375" customWidth="1"/>
    <col min="11" max="11" width="12.28515625" customWidth="1"/>
    <col min="12" max="12" width="11" customWidth="1"/>
    <col min="13" max="13" width="16.5703125" style="14" customWidth="1"/>
    <col min="14" max="14" width="16.28515625" style="127" customWidth="1"/>
    <col min="15" max="15" width="15.85546875" customWidth="1"/>
    <col min="16" max="16" width="16.5703125" customWidth="1"/>
    <col min="17" max="17" width="17.140625" customWidth="1"/>
    <col min="18" max="18" width="14.7109375" customWidth="1"/>
    <col min="19" max="19" width="12.140625" customWidth="1"/>
    <col min="20" max="20" width="15.42578125" customWidth="1"/>
    <col min="21" max="21" width="13.28515625" customWidth="1"/>
    <col min="22" max="22" width="16.85546875" customWidth="1"/>
    <col min="23" max="23" width="18" customWidth="1"/>
    <col min="24" max="26" width="14.7109375" customWidth="1"/>
    <col min="27" max="27" width="22.85546875" customWidth="1"/>
    <col min="28" max="28" width="11.85546875" customWidth="1"/>
    <col min="29" max="29" width="17.42578125" customWidth="1"/>
    <col min="30" max="31" width="11.7109375" customWidth="1"/>
    <col min="32" max="32" width="12.7109375" customWidth="1"/>
    <col min="33" max="33" width="4.28515625" customWidth="1"/>
    <col min="35" max="35" width="11.140625" customWidth="1"/>
    <col min="41" max="41" width="10.42578125" customWidth="1"/>
    <col min="46" max="46" width="11" customWidth="1"/>
    <col min="53" max="53" width="11.140625" customWidth="1"/>
  </cols>
  <sheetData>
    <row r="1" spans="1:54" ht="14.25" x14ac:dyDescent="0.2">
      <c r="A1" s="1" t="s">
        <v>0</v>
      </c>
    </row>
    <row r="2" spans="1:54" x14ac:dyDescent="0.2">
      <c r="A2" s="2" t="s">
        <v>94</v>
      </c>
      <c r="B2" s="51">
        <f ca="1">TODAY()</f>
        <v>36696</v>
      </c>
      <c r="C2" s="2"/>
      <c r="D2" s="2"/>
      <c r="E2" s="2"/>
      <c r="F2" s="2"/>
      <c r="G2" s="2"/>
      <c r="H2" s="2"/>
      <c r="I2" s="2"/>
      <c r="J2" s="2"/>
    </row>
    <row r="3" spans="1:54" x14ac:dyDescent="0.2">
      <c r="A3" s="2"/>
      <c r="B3" s="3" t="s">
        <v>1</v>
      </c>
      <c r="C3" s="3"/>
      <c r="D3" s="3"/>
      <c r="E3" s="3"/>
      <c r="F3" s="3"/>
      <c r="G3" s="3"/>
      <c r="H3" s="3"/>
      <c r="I3" s="3"/>
      <c r="J3" s="2"/>
      <c r="K3" s="3" t="s">
        <v>2</v>
      </c>
      <c r="M3" s="128" t="s">
        <v>3</v>
      </c>
      <c r="N3" s="129" t="s">
        <v>88</v>
      </c>
      <c r="O3" s="3" t="s">
        <v>12</v>
      </c>
      <c r="P3" s="3" t="s">
        <v>4</v>
      </c>
      <c r="Q3" s="3" t="s">
        <v>5</v>
      </c>
      <c r="R3" s="3" t="s">
        <v>4</v>
      </c>
      <c r="S3" s="6"/>
    </row>
    <row r="4" spans="1:54" x14ac:dyDescent="0.2">
      <c r="A4" s="2"/>
      <c r="B4" s="3"/>
      <c r="C4" s="52"/>
      <c r="D4" s="52"/>
      <c r="E4" s="3"/>
      <c r="F4" s="3"/>
      <c r="G4" s="3"/>
      <c r="H4" s="3"/>
      <c r="I4" s="3"/>
      <c r="J4" s="2"/>
      <c r="K4" s="3"/>
      <c r="M4" s="128"/>
      <c r="N4" s="129"/>
      <c r="O4" s="3"/>
      <c r="P4" s="3"/>
      <c r="Q4" s="4"/>
      <c r="R4" s="4"/>
      <c r="S4" s="5"/>
    </row>
    <row r="5" spans="1:54" x14ac:dyDescent="0.2">
      <c r="A5" t="s">
        <v>4</v>
      </c>
      <c r="B5" t="s">
        <v>13</v>
      </c>
      <c r="C5" s="53">
        <v>0.56000000000000005</v>
      </c>
      <c r="D5" s="53"/>
      <c r="E5" s="3" t="s">
        <v>4</v>
      </c>
      <c r="F5" s="3"/>
      <c r="G5" s="3"/>
      <c r="H5" s="3"/>
      <c r="I5" s="3"/>
      <c r="J5" s="2"/>
      <c r="K5" s="3"/>
      <c r="M5" s="128"/>
      <c r="N5" s="129"/>
      <c r="O5" s="3"/>
      <c r="P5" s="3"/>
      <c r="Q5" s="4"/>
      <c r="R5" s="4"/>
      <c r="S5" s="5"/>
    </row>
    <row r="6" spans="1:54" x14ac:dyDescent="0.2">
      <c r="A6" s="2"/>
      <c r="B6" t="s">
        <v>34</v>
      </c>
      <c r="C6" s="53">
        <f>1-C5</f>
        <v>0.43999999999999995</v>
      </c>
      <c r="D6" s="53"/>
      <c r="E6" s="3" t="s">
        <v>4</v>
      </c>
      <c r="F6" s="3" t="s">
        <v>4</v>
      </c>
      <c r="G6" s="3" t="s">
        <v>4</v>
      </c>
      <c r="H6" s="3"/>
      <c r="I6" s="3"/>
      <c r="J6" s="2"/>
      <c r="K6" s="3"/>
      <c r="M6" s="128"/>
      <c r="N6" s="129"/>
      <c r="O6" s="3"/>
      <c r="P6" s="3"/>
      <c r="Q6" s="4"/>
      <c r="R6" s="4"/>
      <c r="S6" s="5"/>
    </row>
    <row r="7" spans="1:54" x14ac:dyDescent="0.2">
      <c r="A7" s="2"/>
      <c r="B7" s="3" t="s">
        <v>101</v>
      </c>
      <c r="C7" s="3"/>
      <c r="D7" s="3"/>
      <c r="E7" s="3"/>
      <c r="F7" s="3" t="s">
        <v>102</v>
      </c>
      <c r="G7" s="3" t="s">
        <v>4</v>
      </c>
      <c r="H7" s="3" t="s">
        <v>4</v>
      </c>
      <c r="I7" s="3" t="s">
        <v>4</v>
      </c>
      <c r="J7" s="2" t="s">
        <v>4</v>
      </c>
      <c r="K7" s="3"/>
      <c r="M7" s="128"/>
      <c r="O7" s="14"/>
      <c r="P7" s="14"/>
      <c r="Q7" s="4"/>
      <c r="R7" s="4"/>
      <c r="S7" s="5"/>
      <c r="T7" s="3"/>
      <c r="AD7" s="6" t="s">
        <v>116</v>
      </c>
      <c r="AE7" s="6"/>
      <c r="AF7" s="6"/>
      <c r="AH7" t="s">
        <v>117</v>
      </c>
      <c r="AO7" s="66"/>
    </row>
    <row r="8" spans="1:54" ht="25.5" x14ac:dyDescent="0.2">
      <c r="A8" s="7"/>
      <c r="B8" s="8" t="s">
        <v>284</v>
      </c>
      <c r="C8" s="8" t="s">
        <v>95</v>
      </c>
      <c r="D8" s="8" t="s">
        <v>283</v>
      </c>
      <c r="E8" s="8" t="s">
        <v>96</v>
      </c>
      <c r="F8" s="8" t="s">
        <v>98</v>
      </c>
      <c r="G8" s="8" t="s">
        <v>6</v>
      </c>
      <c r="H8" s="8" t="s">
        <v>99</v>
      </c>
      <c r="I8" s="8" t="s">
        <v>100</v>
      </c>
      <c r="K8" t="s">
        <v>7</v>
      </c>
      <c r="M8" s="128"/>
      <c r="N8" s="129"/>
      <c r="O8" s="3"/>
      <c r="P8" s="3"/>
      <c r="Q8" s="8" t="s">
        <v>86</v>
      </c>
      <c r="R8" s="8" t="s">
        <v>87</v>
      </c>
      <c r="S8" s="8" t="s">
        <v>8</v>
      </c>
      <c r="T8" s="8" t="s">
        <v>258</v>
      </c>
      <c r="V8" s="9" t="s">
        <v>97</v>
      </c>
      <c r="W8" t="s">
        <v>160</v>
      </c>
      <c r="X8" t="s">
        <v>9</v>
      </c>
      <c r="Y8" t="s">
        <v>73</v>
      </c>
      <c r="Z8" t="s">
        <v>74</v>
      </c>
      <c r="AA8" t="s">
        <v>10</v>
      </c>
      <c r="AB8" t="s">
        <v>11</v>
      </c>
      <c r="AC8" t="s">
        <v>35</v>
      </c>
      <c r="AD8" t="s">
        <v>20</v>
      </c>
      <c r="AE8" t="s">
        <v>21</v>
      </c>
      <c r="AF8" t="s">
        <v>22</v>
      </c>
      <c r="AH8" t="s">
        <v>119</v>
      </c>
      <c r="AI8" t="s">
        <v>120</v>
      </c>
      <c r="AJ8" t="s">
        <v>120</v>
      </c>
      <c r="AK8" t="s">
        <v>396</v>
      </c>
      <c r="AL8" t="s">
        <v>121</v>
      </c>
      <c r="AM8" t="s">
        <v>41</v>
      </c>
      <c r="AO8" t="s">
        <v>143</v>
      </c>
      <c r="AP8" t="s">
        <v>144</v>
      </c>
      <c r="AQ8" t="s">
        <v>144</v>
      </c>
      <c r="AR8" t="s">
        <v>143</v>
      </c>
      <c r="AT8" t="s">
        <v>144</v>
      </c>
      <c r="AU8" t="s">
        <v>143</v>
      </c>
      <c r="AV8" t="s">
        <v>144</v>
      </c>
      <c r="AW8" t="s">
        <v>143</v>
      </c>
      <c r="AY8" t="s">
        <v>364</v>
      </c>
      <c r="BA8" t="s">
        <v>397</v>
      </c>
      <c r="BB8" t="s">
        <v>16</v>
      </c>
    </row>
    <row r="9" spans="1:54" x14ac:dyDescent="0.2">
      <c r="AE9" t="s">
        <v>23</v>
      </c>
      <c r="AF9" t="s">
        <v>23</v>
      </c>
      <c r="AH9" t="s">
        <v>122</v>
      </c>
      <c r="AI9" t="s">
        <v>123</v>
      </c>
      <c r="AJ9" t="s">
        <v>124</v>
      </c>
      <c r="AK9" t="s">
        <v>397</v>
      </c>
      <c r="AL9" t="s">
        <v>125</v>
      </c>
      <c r="AM9" t="s">
        <v>126</v>
      </c>
      <c r="AO9" t="s">
        <v>13</v>
      </c>
      <c r="AP9" t="s">
        <v>145</v>
      </c>
      <c r="AQ9" t="s">
        <v>146</v>
      </c>
      <c r="AR9" t="s">
        <v>147</v>
      </c>
      <c r="AT9" t="s">
        <v>213</v>
      </c>
      <c r="AU9" t="s">
        <v>214</v>
      </c>
      <c r="AV9" t="s">
        <v>213</v>
      </c>
      <c r="AW9" t="s">
        <v>214</v>
      </c>
    </row>
    <row r="10" spans="1:54" hidden="1" x14ac:dyDescent="0.2">
      <c r="A10" s="10">
        <v>36373</v>
      </c>
      <c r="B10" s="11">
        <v>46</v>
      </c>
      <c r="C10" s="11">
        <v>21</v>
      </c>
      <c r="D10" s="11"/>
      <c r="E10" s="11"/>
      <c r="F10" s="11"/>
      <c r="G10" s="12"/>
      <c r="H10" s="12"/>
      <c r="I10" s="12"/>
      <c r="K10" s="13">
        <v>3.49</v>
      </c>
      <c r="M10" s="14">
        <v>1.5002500000000001</v>
      </c>
      <c r="O10" s="14"/>
      <c r="P10" s="14"/>
      <c r="Q10" s="12">
        <f t="shared" ref="Q10:Q73" si="0">M10*B10</f>
        <v>69.011499999999998</v>
      </c>
      <c r="R10" s="12">
        <f>M10*C10</f>
        <v>31.50525</v>
      </c>
      <c r="S10" s="12" t="e">
        <f>M10*#REF!</f>
        <v>#REF!</v>
      </c>
      <c r="T10" s="12"/>
      <c r="V10" s="15">
        <v>5</v>
      </c>
      <c r="W10" s="15">
        <f t="shared" ref="W10:W73" si="1">X10-V10</f>
        <v>26</v>
      </c>
      <c r="X10" s="15">
        <f>A11-A10</f>
        <v>31</v>
      </c>
      <c r="Y10" s="15"/>
      <c r="Z10" s="15"/>
      <c r="AA10" s="15">
        <v>9</v>
      </c>
      <c r="AB10" s="15">
        <f>X10-AA10</f>
        <v>22</v>
      </c>
      <c r="AD10">
        <f>X10*24</f>
        <v>744</v>
      </c>
      <c r="AE10">
        <f t="shared" ref="AE10:AE73" si="2">W10*16</f>
        <v>416</v>
      </c>
      <c r="AF10">
        <f t="shared" ref="AF10:AF73" si="3">V10*24+W10*8</f>
        <v>328</v>
      </c>
    </row>
    <row r="11" spans="1:54" hidden="1" x14ac:dyDescent="0.2">
      <c r="A11" s="10">
        <v>36404</v>
      </c>
      <c r="B11" s="12">
        <v>40</v>
      </c>
      <c r="C11" s="11">
        <v>31</v>
      </c>
      <c r="D11" s="11"/>
      <c r="E11" s="11"/>
      <c r="F11" s="11"/>
      <c r="G11" s="12"/>
      <c r="H11" s="12"/>
      <c r="I11" s="12"/>
      <c r="K11" s="18">
        <v>3.25</v>
      </c>
      <c r="M11" s="25">
        <v>1.4620000000000002</v>
      </c>
      <c r="O11" s="14"/>
      <c r="P11" s="14"/>
      <c r="Q11" s="12">
        <f t="shared" si="0"/>
        <v>58.480000000000004</v>
      </c>
      <c r="R11" s="12">
        <f>M11*C11</f>
        <v>45.322000000000003</v>
      </c>
      <c r="S11" s="12" t="e">
        <f>M11*#REF!</f>
        <v>#REF!</v>
      </c>
      <c r="T11" s="12"/>
      <c r="V11" s="15">
        <v>4</v>
      </c>
      <c r="W11" s="15">
        <f t="shared" si="1"/>
        <v>26</v>
      </c>
      <c r="X11" s="15">
        <f>A12-A11</f>
        <v>30</v>
      </c>
      <c r="Y11" s="15"/>
      <c r="Z11" s="15"/>
      <c r="AA11" s="15">
        <v>8</v>
      </c>
      <c r="AB11" s="15">
        <f>X11-AA11</f>
        <v>22</v>
      </c>
      <c r="AD11">
        <f>X11*24</f>
        <v>720</v>
      </c>
      <c r="AE11">
        <f t="shared" si="2"/>
        <v>416</v>
      </c>
      <c r="AF11">
        <f t="shared" si="3"/>
        <v>304</v>
      </c>
    </row>
    <row r="12" spans="1:54" hidden="1" x14ac:dyDescent="0.2">
      <c r="A12" s="10">
        <v>36434</v>
      </c>
      <c r="B12" s="11">
        <v>43</v>
      </c>
      <c r="C12" s="17">
        <v>37.5</v>
      </c>
      <c r="D12" s="17"/>
      <c r="E12" s="17"/>
      <c r="F12" s="17"/>
      <c r="G12" s="12"/>
      <c r="H12" s="12"/>
      <c r="I12" s="12"/>
      <c r="K12" s="18">
        <v>3.6</v>
      </c>
      <c r="M12" s="25">
        <v>1.4820000000000002</v>
      </c>
      <c r="O12" s="14"/>
      <c r="P12" s="14"/>
      <c r="Q12" s="12">
        <f t="shared" si="0"/>
        <v>63.726000000000006</v>
      </c>
      <c r="R12" s="12">
        <f>M12*C12</f>
        <v>55.57500000000001</v>
      </c>
      <c r="S12" s="12" t="e">
        <f>M12*#REF!</f>
        <v>#REF!</v>
      </c>
      <c r="T12" s="12"/>
      <c r="V12" s="15">
        <v>5</v>
      </c>
      <c r="W12" s="15">
        <f t="shared" si="1"/>
        <v>26</v>
      </c>
      <c r="X12" s="15">
        <f>A13-A12</f>
        <v>31</v>
      </c>
      <c r="Y12" s="15"/>
      <c r="Z12" s="15"/>
      <c r="AA12" s="15">
        <v>10</v>
      </c>
      <c r="AB12" s="15">
        <f>X12-AA12</f>
        <v>21</v>
      </c>
      <c r="AD12">
        <f>X12*24</f>
        <v>744</v>
      </c>
      <c r="AE12">
        <f t="shared" si="2"/>
        <v>416</v>
      </c>
      <c r="AF12">
        <f t="shared" si="3"/>
        <v>328</v>
      </c>
    </row>
    <row r="13" spans="1:54" hidden="1" x14ac:dyDescent="0.2">
      <c r="A13" s="10">
        <v>36465</v>
      </c>
      <c r="B13" s="17">
        <v>28.5</v>
      </c>
      <c r="C13" s="17">
        <v>21</v>
      </c>
      <c r="D13" s="17"/>
      <c r="E13" s="17"/>
      <c r="F13" s="17"/>
      <c r="G13" s="12"/>
      <c r="H13" s="12"/>
      <c r="I13" s="12"/>
      <c r="K13" s="18">
        <v>2.7</v>
      </c>
      <c r="M13" s="25">
        <v>1.4642500000000001</v>
      </c>
      <c r="O13" s="14"/>
      <c r="P13" s="14"/>
      <c r="Q13" s="12">
        <f t="shared" si="0"/>
        <v>41.731124999999999</v>
      </c>
      <c r="R13" s="12">
        <f>M13*C13</f>
        <v>30.74925</v>
      </c>
      <c r="S13" s="12" t="e">
        <f>M13*#REF!</f>
        <v>#REF!</v>
      </c>
      <c r="T13" s="12"/>
      <c r="V13" s="15">
        <v>4</v>
      </c>
      <c r="W13" s="15">
        <f t="shared" si="1"/>
        <v>26</v>
      </c>
      <c r="X13" s="15">
        <f>A14-A13</f>
        <v>30</v>
      </c>
      <c r="Y13" s="15"/>
      <c r="Z13" s="15"/>
      <c r="AA13" s="15">
        <v>8</v>
      </c>
      <c r="AB13" s="15">
        <f>X13-AA13</f>
        <v>22</v>
      </c>
      <c r="AD13">
        <f>X13*24</f>
        <v>720</v>
      </c>
      <c r="AE13">
        <f t="shared" si="2"/>
        <v>416</v>
      </c>
      <c r="AF13">
        <f t="shared" si="3"/>
        <v>304</v>
      </c>
    </row>
    <row r="14" spans="1:54" ht="13.5" hidden="1" customHeight="1" x14ac:dyDescent="0.2">
      <c r="A14" s="10">
        <v>36495</v>
      </c>
      <c r="B14" s="17">
        <v>28.75</v>
      </c>
      <c r="C14" s="17">
        <v>24</v>
      </c>
      <c r="D14" s="17"/>
      <c r="E14" s="45"/>
      <c r="F14" s="45"/>
      <c r="G14" s="12"/>
      <c r="H14" s="12"/>
      <c r="I14" s="12"/>
      <c r="K14" s="18">
        <v>2.88</v>
      </c>
      <c r="M14" s="25">
        <v>1.4729404765140002</v>
      </c>
      <c r="O14" s="14"/>
      <c r="P14" s="14"/>
      <c r="Q14" s="12">
        <f t="shared" si="0"/>
        <v>42.347038699777507</v>
      </c>
      <c r="R14" s="12">
        <f>M14*C14</f>
        <v>35.350571436336004</v>
      </c>
      <c r="S14" s="12" t="e">
        <f>M14*#REF!</f>
        <v>#REF!</v>
      </c>
      <c r="T14" s="12"/>
      <c r="V14" s="15">
        <v>4</v>
      </c>
      <c r="W14" s="15">
        <f t="shared" si="1"/>
        <v>27</v>
      </c>
      <c r="X14" s="15">
        <f>A15-A14</f>
        <v>31</v>
      </c>
      <c r="Y14" s="15">
        <v>4</v>
      </c>
      <c r="Z14" s="15">
        <f>ROUND(AA14/2,0)</f>
        <v>4</v>
      </c>
      <c r="AA14" s="15">
        <v>8</v>
      </c>
      <c r="AB14" s="15">
        <f>X14-AA14</f>
        <v>23</v>
      </c>
      <c r="AD14">
        <f>X14*24</f>
        <v>744</v>
      </c>
      <c r="AE14">
        <f t="shared" si="2"/>
        <v>432</v>
      </c>
      <c r="AF14">
        <f t="shared" si="3"/>
        <v>312</v>
      </c>
    </row>
    <row r="15" spans="1:54" hidden="1" x14ac:dyDescent="0.2">
      <c r="A15" s="26">
        <v>36526</v>
      </c>
      <c r="B15" s="17">
        <v>25.25</v>
      </c>
      <c r="C15" s="17">
        <v>22.75</v>
      </c>
      <c r="D15" s="17"/>
      <c r="E15" s="45">
        <v>25</v>
      </c>
      <c r="F15" s="45" t="e">
        <f t="shared" ref="F15:F78" si="4">((G15*AD15)-(B15*AE15))*(1/AF15)</f>
        <v>#DIV/0!</v>
      </c>
      <c r="G15" s="12" t="e">
        <f>((Z15*16*E15)+(B15*W15*16)+X15*8*C15)/(X15*24)</f>
        <v>#DIV/0!</v>
      </c>
      <c r="H15" s="12" t="e">
        <f t="shared" ref="H15:H78" si="5">(F15*AF15+B15*AE15)/AD15</f>
        <v>#DIV/0!</v>
      </c>
      <c r="I15" s="12" t="e">
        <f t="shared" ref="I15:I78" si="6">B15*$C$5+F15*$C$6</f>
        <v>#DIV/0!</v>
      </c>
      <c r="K15" s="78">
        <v>2.9</v>
      </c>
      <c r="M15" s="25">
        <v>1.4470000000000003</v>
      </c>
      <c r="N15" s="65">
        <v>5.0961877278977011E-2</v>
      </c>
      <c r="O15" s="14">
        <f t="shared" ref="O15:O78" ca="1" si="7">1/((1+N15)^((A15-$B$2)/365))</f>
        <v>1.0234207115433049</v>
      </c>
      <c r="P15" s="49"/>
      <c r="Q15" s="12">
        <f t="shared" si="0"/>
        <v>36.536750000000005</v>
      </c>
      <c r="R15" s="12">
        <f t="shared" ref="R15:R78" si="8">C15*M15</f>
        <v>32.919250000000005</v>
      </c>
      <c r="S15" s="12" t="e">
        <f t="shared" ref="S15:S78" si="9">M15*G15</f>
        <v>#DIV/0!</v>
      </c>
      <c r="T15" s="12"/>
      <c r="V15" s="55">
        <f>[1]ROM!L4</f>
        <v>0</v>
      </c>
      <c r="W15" s="56">
        <f t="shared" si="1"/>
        <v>0</v>
      </c>
      <c r="X15" s="56">
        <f>[1]ROM!K4+[1]ROM!L4</f>
        <v>0</v>
      </c>
      <c r="Y15" s="59">
        <f>W15-AB15</f>
        <v>0</v>
      </c>
      <c r="Z15" s="59">
        <f>X15-AB15-Y15</f>
        <v>0</v>
      </c>
      <c r="AA15" s="56">
        <f>X15-AB15</f>
        <v>0</v>
      </c>
      <c r="AB15" s="56">
        <f>[1]ROM!N4</f>
        <v>0</v>
      </c>
      <c r="AC15" s="57">
        <v>1</v>
      </c>
      <c r="AD15">
        <f>AE15+AF15</f>
        <v>0</v>
      </c>
      <c r="AE15">
        <f t="shared" si="2"/>
        <v>0</v>
      </c>
      <c r="AF15">
        <f t="shared" si="3"/>
        <v>0</v>
      </c>
      <c r="AH15">
        <f t="shared" ref="AH15:AH78" si="10">X15*24</f>
        <v>0</v>
      </c>
      <c r="AI15">
        <f t="shared" ref="AI15:AI78" si="11">AB15*16</f>
        <v>0</v>
      </c>
      <c r="AJ15">
        <f t="shared" ref="AJ15:AJ78" si="12">AB15*13</f>
        <v>0</v>
      </c>
      <c r="AL15">
        <f t="shared" ref="AL15:AL78" si="13">AB15*8</f>
        <v>0</v>
      </c>
      <c r="AM15">
        <f t="shared" ref="AM15:AM78" si="14">AA15*24</f>
        <v>0</v>
      </c>
      <c r="AO15" s="130" t="e">
        <f t="shared" ref="AO15:AO78" si="15">AI15/AH15</f>
        <v>#DIV/0!</v>
      </c>
      <c r="AP15" s="130" t="e">
        <f t="shared" ref="AP15:AP78" si="16">AL15/AH15</f>
        <v>#DIV/0!</v>
      </c>
      <c r="AQ15" s="130" t="e">
        <f t="shared" ref="AQ15:AQ78" si="17">1-(AO15+AP15)</f>
        <v>#DIV/0!</v>
      </c>
      <c r="AR15" s="66" t="e">
        <f t="shared" ref="AR15:AR78" si="18">AQ15+AP15</f>
        <v>#DIV/0!</v>
      </c>
    </row>
    <row r="16" spans="1:54" x14ac:dyDescent="0.2">
      <c r="A16" s="26">
        <f ca="1">B2</f>
        <v>36696</v>
      </c>
      <c r="B16" s="122">
        <v>78.25</v>
      </c>
      <c r="C16" s="17">
        <v>52.5</v>
      </c>
      <c r="D16" s="17">
        <v>78.25</v>
      </c>
      <c r="E16" s="45">
        <v>52.5</v>
      </c>
      <c r="F16" s="45">
        <f t="shared" ca="1" si="4"/>
        <v>65.625</v>
      </c>
      <c r="G16" s="12">
        <f ca="1">((Z16*16*E16)+(B16*W16*16)+(X16*8*C16))/(X16*24)</f>
        <v>76.379629629629633</v>
      </c>
      <c r="H16" s="12">
        <f t="shared" ca="1" si="5"/>
        <v>76.379629629629633</v>
      </c>
      <c r="I16" s="12">
        <f t="shared" ca="1" si="6"/>
        <v>72.695000000000007</v>
      </c>
      <c r="K16" s="139">
        <v>4.75</v>
      </c>
      <c r="M16" s="137">
        <v>1.4775</v>
      </c>
      <c r="N16" s="137">
        <v>5.8638838318261027E-2</v>
      </c>
      <c r="O16" s="14">
        <f t="shared" ca="1" si="7"/>
        <v>1</v>
      </c>
      <c r="P16" s="49"/>
      <c r="Q16" s="12">
        <f t="shared" si="0"/>
        <v>115.61437500000001</v>
      </c>
      <c r="R16" s="12">
        <f t="shared" si="8"/>
        <v>77.568750000000009</v>
      </c>
      <c r="S16" s="12">
        <f t="shared" ca="1" si="9"/>
        <v>112.85090277777779</v>
      </c>
      <c r="T16" s="12">
        <f t="shared" ref="T16:T79" ca="1" si="19">F16*M16</f>
        <v>96.9609375</v>
      </c>
      <c r="V16" s="15">
        <f t="shared" ref="V16:V79" si="20">Z16+AC16</f>
        <v>5</v>
      </c>
      <c r="W16" s="15">
        <f t="shared" ca="1" si="1"/>
        <v>-23</v>
      </c>
      <c r="X16" s="15">
        <f t="shared" ref="X16:X79" ca="1" si="21">A17-A16</f>
        <v>-18</v>
      </c>
      <c r="Y16" s="123">
        <v>4</v>
      </c>
      <c r="Z16" s="124">
        <v>4</v>
      </c>
      <c r="AA16" s="15">
        <f t="shared" ref="AA16:AA79" si="22">Y16+Z16</f>
        <v>8</v>
      </c>
      <c r="AB16" s="15">
        <f t="shared" ref="AB16:AB79" ca="1" si="23">X16-AA16</f>
        <v>-26</v>
      </c>
      <c r="AC16">
        <v>1</v>
      </c>
      <c r="AD16">
        <f t="shared" ref="AD16:AD79" ca="1" si="24">X16*24</f>
        <v>-432</v>
      </c>
      <c r="AE16">
        <f t="shared" ca="1" si="2"/>
        <v>-368</v>
      </c>
      <c r="AF16">
        <f t="shared" ca="1" si="3"/>
        <v>-64</v>
      </c>
      <c r="AH16">
        <f t="shared" ca="1" si="10"/>
        <v>-432</v>
      </c>
      <c r="AI16">
        <f t="shared" ca="1" si="11"/>
        <v>-416</v>
      </c>
      <c r="AJ16">
        <f t="shared" ca="1" si="12"/>
        <v>-338</v>
      </c>
      <c r="AL16">
        <f t="shared" ca="1" si="13"/>
        <v>-208</v>
      </c>
      <c r="AM16">
        <f t="shared" si="14"/>
        <v>192</v>
      </c>
      <c r="AO16" s="130">
        <f t="shared" ca="1" si="15"/>
        <v>0.96296296296296291</v>
      </c>
      <c r="AP16" s="130">
        <f t="shared" ca="1" si="16"/>
        <v>0.48148148148148145</v>
      </c>
      <c r="AQ16" s="130">
        <f t="shared" ca="1" si="17"/>
        <v>-0.44444444444444442</v>
      </c>
      <c r="AR16" s="66">
        <f t="shared" ca="1" si="18"/>
        <v>3.7037037037037035E-2</v>
      </c>
      <c r="AT16" s="130">
        <f t="shared" ref="AT16:AT28" ca="1" si="25">AJ16/AH16</f>
        <v>0.78240740740740744</v>
      </c>
      <c r="AU16" s="66">
        <f t="shared" ref="AU16:AU28" ca="1" si="26">1-AT16</f>
        <v>0.21759259259259256</v>
      </c>
      <c r="AV16" s="130">
        <f t="shared" ref="AV16:AV29" ca="1" si="27">AJ16/AH16</f>
        <v>0.78240740740740744</v>
      </c>
      <c r="AW16" s="66">
        <f t="shared" ref="AW16:AW29" ca="1" si="28">1-AV16</f>
        <v>0.21759259259259256</v>
      </c>
      <c r="AY16" s="127">
        <f ca="1">AP16/(AP16+AQ16)</f>
        <v>13</v>
      </c>
    </row>
    <row r="17" spans="1:54" x14ac:dyDescent="0.2">
      <c r="A17" s="10">
        <v>36678</v>
      </c>
      <c r="B17" s="17">
        <v>53.95</v>
      </c>
      <c r="C17" s="17">
        <v>36.799999999999997</v>
      </c>
      <c r="D17" s="45">
        <v>53.95</v>
      </c>
      <c r="E17" s="45">
        <v>37</v>
      </c>
      <c r="F17" s="45">
        <f t="shared" si="4"/>
        <v>36.842105263157883</v>
      </c>
      <c r="G17" s="12">
        <f>((Z17*16*E17)+(B17*W17*16)+(X17*8*C17))/(X17*24)</f>
        <v>46.726666666666659</v>
      </c>
      <c r="H17" s="12">
        <f t="shared" si="5"/>
        <v>46.726666666666659</v>
      </c>
      <c r="I17" s="12">
        <f t="shared" si="6"/>
        <v>46.422526315789469</v>
      </c>
      <c r="K17" s="139">
        <v>4.8499999999999996</v>
      </c>
      <c r="M17" s="137">
        <v>1.476</v>
      </c>
      <c r="N17" s="137">
        <v>5.8638838318261027E-2</v>
      </c>
      <c r="O17" s="14">
        <v>1</v>
      </c>
      <c r="P17" s="49"/>
      <c r="Q17" s="12">
        <f t="shared" si="0"/>
        <v>79.630200000000002</v>
      </c>
      <c r="R17" s="12">
        <f t="shared" si="8"/>
        <v>54.316799999999994</v>
      </c>
      <c r="S17" s="12">
        <f t="shared" si="9"/>
        <v>68.968559999999982</v>
      </c>
      <c r="T17" s="12">
        <f t="shared" si="19"/>
        <v>54.378947368421038</v>
      </c>
      <c r="V17" s="15">
        <f t="shared" si="20"/>
        <v>4</v>
      </c>
      <c r="W17" s="15">
        <f t="shared" si="1"/>
        <v>26</v>
      </c>
      <c r="X17" s="15">
        <f t="shared" si="21"/>
        <v>30</v>
      </c>
      <c r="Y17" s="58">
        <v>4</v>
      </c>
      <c r="Z17" s="42">
        <v>4</v>
      </c>
      <c r="AA17" s="15">
        <f t="shared" si="22"/>
        <v>8</v>
      </c>
      <c r="AB17" s="15">
        <f t="shared" si="23"/>
        <v>22</v>
      </c>
      <c r="AD17">
        <f t="shared" si="24"/>
        <v>720</v>
      </c>
      <c r="AE17">
        <f t="shared" si="2"/>
        <v>416</v>
      </c>
      <c r="AF17">
        <f t="shared" si="3"/>
        <v>304</v>
      </c>
      <c r="AH17">
        <f t="shared" si="10"/>
        <v>720</v>
      </c>
      <c r="AI17">
        <f t="shared" si="11"/>
        <v>352</v>
      </c>
      <c r="AJ17">
        <f t="shared" si="12"/>
        <v>286</v>
      </c>
      <c r="AK17">
        <f>AB17*14</f>
        <v>308</v>
      </c>
      <c r="AL17">
        <f t="shared" si="13"/>
        <v>176</v>
      </c>
      <c r="AM17">
        <f t="shared" si="14"/>
        <v>192</v>
      </c>
      <c r="AO17" s="130">
        <f t="shared" si="15"/>
        <v>0.48888888888888887</v>
      </c>
      <c r="AP17" s="130">
        <f t="shared" si="16"/>
        <v>0.24444444444444444</v>
      </c>
      <c r="AQ17" s="130">
        <f t="shared" si="17"/>
        <v>0.26666666666666672</v>
      </c>
      <c r="AR17" s="66">
        <f t="shared" si="18"/>
        <v>0.51111111111111118</v>
      </c>
      <c r="AT17" s="130">
        <f t="shared" si="25"/>
        <v>0.3972222222222222</v>
      </c>
      <c r="AU17" s="66">
        <f t="shared" si="26"/>
        <v>0.60277777777777786</v>
      </c>
      <c r="AV17" s="130">
        <f t="shared" si="27"/>
        <v>0.3972222222222222</v>
      </c>
      <c r="AW17" s="66">
        <f t="shared" si="28"/>
        <v>0.60277777777777786</v>
      </c>
      <c r="AY17" s="127">
        <f t="shared" ref="AY17:AY28" si="29">AP17/(AP17+AQ17)</f>
        <v>0.47826086956521729</v>
      </c>
      <c r="BA17" s="31">
        <f>AK17/AD17</f>
        <v>0.42777777777777776</v>
      </c>
      <c r="BB17" s="10">
        <f>A17</f>
        <v>36678</v>
      </c>
    </row>
    <row r="18" spans="1:54" x14ac:dyDescent="0.2">
      <c r="A18" s="10">
        <v>36708</v>
      </c>
      <c r="B18" s="17">
        <v>65</v>
      </c>
      <c r="C18" s="17">
        <v>38</v>
      </c>
      <c r="D18" s="45">
        <v>65</v>
      </c>
      <c r="E18" s="45">
        <v>48.75</v>
      </c>
      <c r="F18" s="45">
        <f t="shared" si="4"/>
        <v>38.732558139534881</v>
      </c>
      <c r="G18" s="12">
        <f t="shared" ref="G18:G81" si="30">((Z18*16*E18)+(B18*W18*16)+(X18*8*C18))/(X18*24)</f>
        <v>52.854838709677416</v>
      </c>
      <c r="H18" s="12">
        <f t="shared" si="5"/>
        <v>52.854838709677416</v>
      </c>
      <c r="I18" s="12">
        <f t="shared" si="6"/>
        <v>53.442325581395352</v>
      </c>
      <c r="K18" s="46">
        <v>5.0049999999999999</v>
      </c>
      <c r="M18" s="137">
        <v>1.4754534297950002</v>
      </c>
      <c r="N18" s="137">
        <v>5.909500027063902E-2</v>
      </c>
      <c r="O18" s="14">
        <f t="shared" ca="1" si="7"/>
        <v>0.9981141715324906</v>
      </c>
      <c r="P18" s="49"/>
      <c r="Q18" s="12">
        <f t="shared" si="0"/>
        <v>95.904472936675006</v>
      </c>
      <c r="R18" s="12">
        <f t="shared" si="8"/>
        <v>56.067230332210009</v>
      </c>
      <c r="S18" s="12">
        <f t="shared" si="9"/>
        <v>77.98485305545509</v>
      </c>
      <c r="T18" s="12">
        <f t="shared" si="19"/>
        <v>57.148085751710987</v>
      </c>
      <c r="V18" s="15">
        <f t="shared" si="20"/>
        <v>6</v>
      </c>
      <c r="W18" s="15">
        <f t="shared" si="1"/>
        <v>25</v>
      </c>
      <c r="X18" s="15">
        <f t="shared" si="21"/>
        <v>31</v>
      </c>
      <c r="Y18" s="58">
        <v>5</v>
      </c>
      <c r="Z18" s="42">
        <v>5</v>
      </c>
      <c r="AA18" s="15">
        <f t="shared" si="22"/>
        <v>10</v>
      </c>
      <c r="AB18" s="15">
        <f t="shared" si="23"/>
        <v>21</v>
      </c>
      <c r="AC18">
        <v>1</v>
      </c>
      <c r="AD18">
        <f t="shared" si="24"/>
        <v>744</v>
      </c>
      <c r="AE18">
        <f t="shared" si="2"/>
        <v>400</v>
      </c>
      <c r="AF18">
        <f t="shared" si="3"/>
        <v>344</v>
      </c>
      <c r="AH18">
        <f t="shared" si="10"/>
        <v>744</v>
      </c>
      <c r="AI18">
        <f t="shared" si="11"/>
        <v>336</v>
      </c>
      <c r="AJ18">
        <f t="shared" si="12"/>
        <v>273</v>
      </c>
      <c r="AK18">
        <f t="shared" ref="AK18:AK81" si="31">AB18*14</f>
        <v>294</v>
      </c>
      <c r="AL18">
        <f t="shared" si="13"/>
        <v>168</v>
      </c>
      <c r="AM18">
        <f t="shared" si="14"/>
        <v>240</v>
      </c>
      <c r="AO18" s="130">
        <f t="shared" si="15"/>
        <v>0.45161290322580644</v>
      </c>
      <c r="AP18" s="130">
        <f t="shared" si="16"/>
        <v>0.22580645161290322</v>
      </c>
      <c r="AQ18" s="130">
        <f t="shared" si="17"/>
        <v>0.32258064516129037</v>
      </c>
      <c r="AR18" s="66">
        <f t="shared" si="18"/>
        <v>0.54838709677419362</v>
      </c>
      <c r="AT18" s="130">
        <f t="shared" si="25"/>
        <v>0.36693548387096775</v>
      </c>
      <c r="AU18" s="66">
        <f t="shared" si="26"/>
        <v>0.63306451612903225</v>
      </c>
      <c r="AV18" s="130">
        <f t="shared" si="27"/>
        <v>0.36693548387096775</v>
      </c>
      <c r="AW18" s="66">
        <f t="shared" si="28"/>
        <v>0.63306451612903225</v>
      </c>
      <c r="AY18" s="127">
        <f t="shared" si="29"/>
        <v>0.41176470588235287</v>
      </c>
      <c r="BA18" s="31">
        <f t="shared" ref="BA18:BA81" si="32">AK18/AD18</f>
        <v>0.39516129032258063</v>
      </c>
      <c r="BB18" s="10">
        <f t="shared" ref="BB18:BB81" si="33">A18</f>
        <v>36708</v>
      </c>
    </row>
    <row r="19" spans="1:54" x14ac:dyDescent="0.2">
      <c r="A19" s="10">
        <v>36739</v>
      </c>
      <c r="B19" s="17">
        <v>80</v>
      </c>
      <c r="C19" s="17">
        <v>49.935483870967744</v>
      </c>
      <c r="D19" s="45">
        <v>80</v>
      </c>
      <c r="E19" s="45">
        <v>60</v>
      </c>
      <c r="F19" s="45">
        <f t="shared" si="4"/>
        <v>52.000000000000021</v>
      </c>
      <c r="G19" s="12">
        <f t="shared" si="30"/>
        <v>68.258064516129039</v>
      </c>
      <c r="H19" s="12">
        <f t="shared" si="5"/>
        <v>68.258064516129039</v>
      </c>
      <c r="I19" s="12">
        <f t="shared" si="6"/>
        <v>67.680000000000007</v>
      </c>
      <c r="K19" s="46">
        <v>5.0250000000000004</v>
      </c>
      <c r="M19" s="137">
        <v>1.4743589293780006</v>
      </c>
      <c r="N19" s="137">
        <v>5.9491170906162995E-2</v>
      </c>
      <c r="O19" s="14">
        <f t="shared" ca="1" si="7"/>
        <v>0.99321513033005648</v>
      </c>
      <c r="P19" s="49"/>
      <c r="Q19" s="12">
        <f t="shared" si="0"/>
        <v>117.94871435024005</v>
      </c>
      <c r="R19" s="12">
        <f t="shared" si="8"/>
        <v>73.622826537972415</v>
      </c>
      <c r="S19" s="12">
        <f t="shared" si="9"/>
        <v>100.6368869214145</v>
      </c>
      <c r="T19" s="12">
        <f t="shared" si="19"/>
        <v>76.666664327656065</v>
      </c>
      <c r="V19" s="15">
        <f t="shared" si="20"/>
        <v>4</v>
      </c>
      <c r="W19" s="15">
        <f t="shared" si="1"/>
        <v>27</v>
      </c>
      <c r="X19" s="15">
        <f t="shared" si="21"/>
        <v>31</v>
      </c>
      <c r="Y19" s="58">
        <v>4</v>
      </c>
      <c r="Z19" s="42">
        <v>4</v>
      </c>
      <c r="AA19" s="15">
        <f t="shared" si="22"/>
        <v>8</v>
      </c>
      <c r="AB19" s="15">
        <f t="shared" si="23"/>
        <v>23</v>
      </c>
      <c r="AD19">
        <f t="shared" si="24"/>
        <v>744</v>
      </c>
      <c r="AE19">
        <f t="shared" si="2"/>
        <v>432</v>
      </c>
      <c r="AF19">
        <f t="shared" si="3"/>
        <v>312</v>
      </c>
      <c r="AH19">
        <f t="shared" si="10"/>
        <v>744</v>
      </c>
      <c r="AI19">
        <f t="shared" si="11"/>
        <v>368</v>
      </c>
      <c r="AJ19">
        <f t="shared" si="12"/>
        <v>299</v>
      </c>
      <c r="AK19">
        <f t="shared" si="31"/>
        <v>322</v>
      </c>
      <c r="AL19">
        <f t="shared" si="13"/>
        <v>184</v>
      </c>
      <c r="AM19">
        <f t="shared" si="14"/>
        <v>192</v>
      </c>
      <c r="AO19" s="130">
        <f t="shared" si="15"/>
        <v>0.4946236559139785</v>
      </c>
      <c r="AP19" s="130">
        <f t="shared" si="16"/>
        <v>0.24731182795698925</v>
      </c>
      <c r="AQ19" s="130">
        <f t="shared" si="17"/>
        <v>0.25806451612903225</v>
      </c>
      <c r="AR19" s="66">
        <f t="shared" si="18"/>
        <v>0.5053763440860215</v>
      </c>
      <c r="AT19" s="130">
        <f t="shared" si="25"/>
        <v>0.4018817204301075</v>
      </c>
      <c r="AU19" s="66">
        <f t="shared" si="26"/>
        <v>0.5981182795698925</v>
      </c>
      <c r="AV19" s="130">
        <f t="shared" si="27"/>
        <v>0.4018817204301075</v>
      </c>
      <c r="AW19" s="66">
        <f t="shared" si="28"/>
        <v>0.5981182795698925</v>
      </c>
      <c r="AY19" s="127">
        <f t="shared" si="29"/>
        <v>0.48936170212765956</v>
      </c>
      <c r="BA19" s="31">
        <f t="shared" si="32"/>
        <v>0.43279569892473119</v>
      </c>
      <c r="BB19" s="10">
        <f t="shared" si="33"/>
        <v>36739</v>
      </c>
    </row>
    <row r="20" spans="1:54" x14ac:dyDescent="0.2">
      <c r="A20" s="10">
        <v>36770</v>
      </c>
      <c r="B20" s="17">
        <v>77</v>
      </c>
      <c r="C20" s="17">
        <v>48.75</v>
      </c>
      <c r="D20" s="45">
        <v>77</v>
      </c>
      <c r="E20" s="45">
        <v>57.75</v>
      </c>
      <c r="F20" s="45">
        <f t="shared" si="4"/>
        <v>48.112500000000004</v>
      </c>
      <c r="G20" s="12">
        <f t="shared" si="30"/>
        <v>64.161111111111111</v>
      </c>
      <c r="H20" s="12">
        <f t="shared" si="5"/>
        <v>64.161111111111111</v>
      </c>
      <c r="I20" s="12">
        <f t="shared" si="6"/>
        <v>64.289500000000004</v>
      </c>
      <c r="K20" s="46">
        <v>5.05</v>
      </c>
      <c r="M20" s="137">
        <v>1.4731982249410001</v>
      </c>
      <c r="N20" s="137">
        <v>5.9701204203388009E-2</v>
      </c>
      <c r="O20" s="14">
        <f t="shared" ca="1" si="7"/>
        <v>0.98831256931322498</v>
      </c>
      <c r="P20" s="49"/>
      <c r="Q20" s="12">
        <f t="shared" si="0"/>
        <v>113.436263320457</v>
      </c>
      <c r="R20" s="12">
        <f t="shared" si="8"/>
        <v>71.818413465873746</v>
      </c>
      <c r="S20" s="12">
        <f t="shared" si="9"/>
        <v>94.522034999131165</v>
      </c>
      <c r="T20" s="12">
        <f t="shared" si="19"/>
        <v>70.879249597473873</v>
      </c>
      <c r="V20" s="15">
        <f t="shared" si="20"/>
        <v>5</v>
      </c>
      <c r="W20" s="15">
        <f t="shared" si="1"/>
        <v>25</v>
      </c>
      <c r="X20" s="15">
        <f t="shared" si="21"/>
        <v>30</v>
      </c>
      <c r="Y20" s="58">
        <v>5</v>
      </c>
      <c r="Z20" s="42">
        <v>4</v>
      </c>
      <c r="AA20" s="15">
        <f t="shared" si="22"/>
        <v>9</v>
      </c>
      <c r="AB20" s="15">
        <f t="shared" si="23"/>
        <v>21</v>
      </c>
      <c r="AC20">
        <v>1</v>
      </c>
      <c r="AD20">
        <f t="shared" si="24"/>
        <v>720</v>
      </c>
      <c r="AE20">
        <f t="shared" si="2"/>
        <v>400</v>
      </c>
      <c r="AF20">
        <f t="shared" si="3"/>
        <v>320</v>
      </c>
      <c r="AH20">
        <f t="shared" si="10"/>
        <v>720</v>
      </c>
      <c r="AI20">
        <f t="shared" si="11"/>
        <v>336</v>
      </c>
      <c r="AJ20">
        <f t="shared" si="12"/>
        <v>273</v>
      </c>
      <c r="AK20">
        <f t="shared" si="31"/>
        <v>294</v>
      </c>
      <c r="AL20">
        <f t="shared" si="13"/>
        <v>168</v>
      </c>
      <c r="AM20">
        <f t="shared" si="14"/>
        <v>216</v>
      </c>
      <c r="AO20" s="130">
        <f t="shared" si="15"/>
        <v>0.46666666666666667</v>
      </c>
      <c r="AP20" s="130">
        <f t="shared" si="16"/>
        <v>0.23333333333333334</v>
      </c>
      <c r="AQ20" s="130">
        <f t="shared" si="17"/>
        <v>0.30000000000000004</v>
      </c>
      <c r="AR20" s="66">
        <f t="shared" si="18"/>
        <v>0.53333333333333344</v>
      </c>
      <c r="AT20" s="130">
        <f t="shared" si="25"/>
        <v>0.37916666666666665</v>
      </c>
      <c r="AU20" s="66">
        <f t="shared" si="26"/>
        <v>0.62083333333333335</v>
      </c>
      <c r="AV20" s="130">
        <f t="shared" si="27"/>
        <v>0.37916666666666665</v>
      </c>
      <c r="AW20" s="66">
        <f t="shared" si="28"/>
        <v>0.62083333333333335</v>
      </c>
      <c r="AY20" s="127">
        <f t="shared" si="29"/>
        <v>0.43749999999999994</v>
      </c>
      <c r="BA20" s="31">
        <f t="shared" si="32"/>
        <v>0.40833333333333333</v>
      </c>
      <c r="BB20" s="10">
        <f t="shared" si="33"/>
        <v>36770</v>
      </c>
    </row>
    <row r="21" spans="1:54" x14ac:dyDescent="0.2">
      <c r="A21" s="10">
        <v>36800</v>
      </c>
      <c r="B21" s="17">
        <v>67.5</v>
      </c>
      <c r="C21" s="17">
        <v>55.088709677419359</v>
      </c>
      <c r="D21" s="45">
        <v>67.5</v>
      </c>
      <c r="E21" s="45">
        <v>50.625</v>
      </c>
      <c r="F21" s="45">
        <f t="shared" si="4"/>
        <v>54</v>
      </c>
      <c r="G21" s="12">
        <f t="shared" si="30"/>
        <v>61.548387096774192</v>
      </c>
      <c r="H21" s="12">
        <f t="shared" si="5"/>
        <v>61.548387096774192</v>
      </c>
      <c r="I21" s="12">
        <f t="shared" si="6"/>
        <v>61.56</v>
      </c>
      <c r="K21" s="46">
        <v>5.165</v>
      </c>
      <c r="M21" s="137">
        <v>1.4720225344310001</v>
      </c>
      <c r="N21" s="137">
        <v>5.9918520071132013E-2</v>
      </c>
      <c r="O21" s="14">
        <f t="shared" ca="1" si="7"/>
        <v>0.98355595907844195</v>
      </c>
      <c r="P21" s="49"/>
      <c r="Q21" s="12">
        <f t="shared" si="0"/>
        <v>99.361521074092508</v>
      </c>
      <c r="R21" s="12">
        <f t="shared" si="8"/>
        <v>81.091822037888406</v>
      </c>
      <c r="S21" s="12">
        <f t="shared" si="9"/>
        <v>90.600612764333803</v>
      </c>
      <c r="T21" s="12">
        <f t="shared" si="19"/>
        <v>79.489216859274009</v>
      </c>
      <c r="V21" s="15">
        <f t="shared" si="20"/>
        <v>5</v>
      </c>
      <c r="W21" s="15">
        <f t="shared" si="1"/>
        <v>26</v>
      </c>
      <c r="X21" s="15">
        <f t="shared" si="21"/>
        <v>31</v>
      </c>
      <c r="Y21" s="58">
        <v>4</v>
      </c>
      <c r="Z21" s="42">
        <v>5</v>
      </c>
      <c r="AA21" s="15">
        <f t="shared" si="22"/>
        <v>9</v>
      </c>
      <c r="AB21" s="15">
        <f t="shared" si="23"/>
        <v>22</v>
      </c>
      <c r="AD21">
        <f t="shared" si="24"/>
        <v>744</v>
      </c>
      <c r="AE21">
        <f t="shared" si="2"/>
        <v>416</v>
      </c>
      <c r="AF21">
        <f t="shared" si="3"/>
        <v>328</v>
      </c>
      <c r="AH21">
        <f t="shared" si="10"/>
        <v>744</v>
      </c>
      <c r="AI21">
        <f t="shared" si="11"/>
        <v>352</v>
      </c>
      <c r="AJ21">
        <f t="shared" si="12"/>
        <v>286</v>
      </c>
      <c r="AK21">
        <f t="shared" si="31"/>
        <v>308</v>
      </c>
      <c r="AL21">
        <f t="shared" si="13"/>
        <v>176</v>
      </c>
      <c r="AM21">
        <f t="shared" si="14"/>
        <v>216</v>
      </c>
      <c r="AO21" s="130">
        <f t="shared" si="15"/>
        <v>0.4731182795698925</v>
      </c>
      <c r="AP21" s="130">
        <f t="shared" si="16"/>
        <v>0.23655913978494625</v>
      </c>
      <c r="AQ21" s="130">
        <f t="shared" si="17"/>
        <v>0.29032258064516125</v>
      </c>
      <c r="AR21" s="66">
        <f t="shared" si="18"/>
        <v>0.5268817204301075</v>
      </c>
      <c r="AT21" s="130">
        <f t="shared" si="25"/>
        <v>0.38440860215053763</v>
      </c>
      <c r="AU21" s="66">
        <f t="shared" si="26"/>
        <v>0.61559139784946237</v>
      </c>
      <c r="AV21" s="130">
        <f t="shared" si="27"/>
        <v>0.38440860215053763</v>
      </c>
      <c r="AW21" s="66">
        <f t="shared" si="28"/>
        <v>0.61559139784946237</v>
      </c>
      <c r="AY21" s="127">
        <f t="shared" si="29"/>
        <v>0.44897959183673475</v>
      </c>
      <c r="BA21" s="31">
        <f t="shared" si="32"/>
        <v>0.41397849462365593</v>
      </c>
      <c r="BB21" s="10">
        <f t="shared" si="33"/>
        <v>36800</v>
      </c>
    </row>
    <row r="22" spans="1:54" x14ac:dyDescent="0.2">
      <c r="A22" s="10">
        <v>36831</v>
      </c>
      <c r="B22" s="17">
        <v>58</v>
      </c>
      <c r="C22" s="17">
        <v>56.166666666666657</v>
      </c>
      <c r="D22" s="45">
        <v>58</v>
      </c>
      <c r="E22" s="45">
        <v>43.5</v>
      </c>
      <c r="F22" s="45">
        <f t="shared" si="4"/>
        <v>50.825000000000003</v>
      </c>
      <c r="G22" s="12">
        <f t="shared" si="30"/>
        <v>54.81111111111111</v>
      </c>
      <c r="H22" s="12">
        <f t="shared" si="5"/>
        <v>54.81111111111111</v>
      </c>
      <c r="I22" s="12">
        <f t="shared" si="6"/>
        <v>54.843000000000004</v>
      </c>
      <c r="K22" s="46">
        <v>5.28</v>
      </c>
      <c r="M22" s="137">
        <v>1.470826725565</v>
      </c>
      <c r="N22" s="137">
        <v>6.0130107934826017E-2</v>
      </c>
      <c r="O22" s="14">
        <f t="shared" ca="1" si="7"/>
        <v>0.9786346339809312</v>
      </c>
      <c r="P22" s="49"/>
      <c r="Q22" s="12">
        <f t="shared" si="0"/>
        <v>85.307950082770006</v>
      </c>
      <c r="R22" s="12">
        <f t="shared" si="8"/>
        <v>82.611434419234158</v>
      </c>
      <c r="S22" s="12">
        <f t="shared" si="9"/>
        <v>80.617647080134944</v>
      </c>
      <c r="T22" s="12">
        <f t="shared" si="19"/>
        <v>74.75476832684113</v>
      </c>
      <c r="V22" s="15">
        <f t="shared" si="20"/>
        <v>5</v>
      </c>
      <c r="W22" s="15">
        <f t="shared" si="1"/>
        <v>25</v>
      </c>
      <c r="X22" s="15">
        <f t="shared" si="21"/>
        <v>30</v>
      </c>
      <c r="Y22" s="58">
        <v>4</v>
      </c>
      <c r="Z22" s="42">
        <v>4</v>
      </c>
      <c r="AA22" s="15">
        <f t="shared" si="22"/>
        <v>8</v>
      </c>
      <c r="AB22" s="15">
        <f t="shared" si="23"/>
        <v>22</v>
      </c>
      <c r="AC22">
        <v>1</v>
      </c>
      <c r="AD22">
        <f t="shared" si="24"/>
        <v>720</v>
      </c>
      <c r="AE22">
        <f t="shared" si="2"/>
        <v>400</v>
      </c>
      <c r="AF22">
        <f t="shared" si="3"/>
        <v>320</v>
      </c>
      <c r="AH22">
        <f t="shared" si="10"/>
        <v>720</v>
      </c>
      <c r="AI22">
        <f t="shared" si="11"/>
        <v>352</v>
      </c>
      <c r="AJ22">
        <f t="shared" si="12"/>
        <v>286</v>
      </c>
      <c r="AK22">
        <f t="shared" si="31"/>
        <v>308</v>
      </c>
      <c r="AL22">
        <f t="shared" si="13"/>
        <v>176</v>
      </c>
      <c r="AM22">
        <f t="shared" si="14"/>
        <v>192</v>
      </c>
      <c r="AO22" s="130">
        <f t="shared" si="15"/>
        <v>0.48888888888888887</v>
      </c>
      <c r="AP22" s="130">
        <f t="shared" si="16"/>
        <v>0.24444444444444444</v>
      </c>
      <c r="AQ22" s="130">
        <f t="shared" si="17"/>
        <v>0.26666666666666672</v>
      </c>
      <c r="AR22" s="66">
        <f t="shared" si="18"/>
        <v>0.51111111111111118</v>
      </c>
      <c r="AT22" s="130">
        <f t="shared" si="25"/>
        <v>0.3972222222222222</v>
      </c>
      <c r="AU22" s="66">
        <f t="shared" si="26"/>
        <v>0.60277777777777786</v>
      </c>
      <c r="AV22" s="130">
        <f t="shared" si="27"/>
        <v>0.3972222222222222</v>
      </c>
      <c r="AW22" s="66">
        <f t="shared" si="28"/>
        <v>0.60277777777777786</v>
      </c>
      <c r="AY22" s="127">
        <f t="shared" si="29"/>
        <v>0.47826086956521729</v>
      </c>
      <c r="BA22" s="31">
        <f t="shared" si="32"/>
        <v>0.42777777777777776</v>
      </c>
      <c r="BB22" s="10">
        <f t="shared" si="33"/>
        <v>36831</v>
      </c>
    </row>
    <row r="23" spans="1:54" x14ac:dyDescent="0.2">
      <c r="A23" s="10">
        <v>36861</v>
      </c>
      <c r="B23" s="17">
        <v>54.25</v>
      </c>
      <c r="C23" s="17">
        <v>38.346774193548391</v>
      </c>
      <c r="D23" s="45">
        <v>54.25</v>
      </c>
      <c r="E23" s="45">
        <v>40.6875</v>
      </c>
      <c r="F23" s="45">
        <f t="shared" si="4"/>
        <v>37.107558139534881</v>
      </c>
      <c r="G23" s="12">
        <f t="shared" si="30"/>
        <v>46.323924731182792</v>
      </c>
      <c r="H23" s="12">
        <f t="shared" si="5"/>
        <v>46.323924731182792</v>
      </c>
      <c r="I23" s="12">
        <f t="shared" si="6"/>
        <v>46.707325581395352</v>
      </c>
      <c r="K23" s="46">
        <v>5.43</v>
      </c>
      <c r="M23" s="137">
        <v>1.4696466225570002</v>
      </c>
      <c r="N23" s="137">
        <v>6.0334870397725004E-2</v>
      </c>
      <c r="O23" s="14">
        <f t="shared" ca="1" si="7"/>
        <v>0.97386408535017499</v>
      </c>
      <c r="P23" s="49"/>
      <c r="Q23" s="12">
        <f t="shared" si="0"/>
        <v>79.728329273717264</v>
      </c>
      <c r="R23" s="12">
        <f t="shared" si="8"/>
        <v>56.356207179504331</v>
      </c>
      <c r="S23" s="12">
        <f t="shared" si="9"/>
        <v>68.079799524767481</v>
      </c>
      <c r="T23" s="12">
        <f t="shared" si="19"/>
        <v>54.53499749110496</v>
      </c>
      <c r="V23" s="15">
        <f t="shared" si="20"/>
        <v>6</v>
      </c>
      <c r="W23" s="15">
        <f t="shared" si="1"/>
        <v>25</v>
      </c>
      <c r="X23" s="15">
        <f t="shared" si="21"/>
        <v>31</v>
      </c>
      <c r="Y23" s="58">
        <v>5</v>
      </c>
      <c r="Z23" s="42">
        <v>5</v>
      </c>
      <c r="AA23" s="15">
        <f t="shared" si="22"/>
        <v>10</v>
      </c>
      <c r="AB23" s="15">
        <f t="shared" si="23"/>
        <v>21</v>
      </c>
      <c r="AC23">
        <v>1</v>
      </c>
      <c r="AD23">
        <f t="shared" si="24"/>
        <v>744</v>
      </c>
      <c r="AE23">
        <f t="shared" si="2"/>
        <v>400</v>
      </c>
      <c r="AF23">
        <f t="shared" si="3"/>
        <v>344</v>
      </c>
      <c r="AH23">
        <f t="shared" si="10"/>
        <v>744</v>
      </c>
      <c r="AI23">
        <f t="shared" si="11"/>
        <v>336</v>
      </c>
      <c r="AJ23">
        <f t="shared" si="12"/>
        <v>273</v>
      </c>
      <c r="AK23">
        <f t="shared" si="31"/>
        <v>294</v>
      </c>
      <c r="AL23">
        <f t="shared" si="13"/>
        <v>168</v>
      </c>
      <c r="AM23">
        <f t="shared" si="14"/>
        <v>240</v>
      </c>
      <c r="AO23" s="130">
        <f t="shared" si="15"/>
        <v>0.45161290322580644</v>
      </c>
      <c r="AP23" s="130">
        <f t="shared" si="16"/>
        <v>0.22580645161290322</v>
      </c>
      <c r="AQ23" s="130">
        <f t="shared" si="17"/>
        <v>0.32258064516129037</v>
      </c>
      <c r="AR23" s="66">
        <f t="shared" si="18"/>
        <v>0.54838709677419362</v>
      </c>
      <c r="AT23" s="130">
        <f t="shared" si="25"/>
        <v>0.36693548387096775</v>
      </c>
      <c r="AU23" s="66">
        <f t="shared" si="26"/>
        <v>0.63306451612903225</v>
      </c>
      <c r="AV23" s="130">
        <f t="shared" si="27"/>
        <v>0.36693548387096775</v>
      </c>
      <c r="AW23" s="66">
        <f t="shared" si="28"/>
        <v>0.63306451612903225</v>
      </c>
      <c r="AY23" s="127">
        <f t="shared" si="29"/>
        <v>0.41176470588235287</v>
      </c>
      <c r="BA23" s="31">
        <f t="shared" si="32"/>
        <v>0.39516129032258063</v>
      </c>
      <c r="BB23" s="10">
        <f t="shared" si="33"/>
        <v>36861</v>
      </c>
    </row>
    <row r="24" spans="1:54" x14ac:dyDescent="0.2">
      <c r="A24" s="10">
        <v>36892</v>
      </c>
      <c r="B24" s="17">
        <v>53</v>
      </c>
      <c r="C24" s="17">
        <v>36.774193548387096</v>
      </c>
      <c r="D24" s="45">
        <v>53</v>
      </c>
      <c r="E24" s="45">
        <v>39.75</v>
      </c>
      <c r="F24" s="45">
        <f t="shared" si="4"/>
        <v>35.560975609756099</v>
      </c>
      <c r="G24" s="12">
        <f t="shared" si="30"/>
        <v>45.311827956989248</v>
      </c>
      <c r="H24" s="12">
        <f t="shared" si="5"/>
        <v>45.311827956989248</v>
      </c>
      <c r="I24" s="12">
        <f t="shared" si="6"/>
        <v>45.326829268292684</v>
      </c>
      <c r="K24" s="46">
        <v>5.49</v>
      </c>
      <c r="M24" s="137">
        <v>1.468407874115</v>
      </c>
      <c r="N24" s="137">
        <v>6.0550576739053015E-2</v>
      </c>
      <c r="O24" s="14">
        <f t="shared" ca="1" si="7"/>
        <v>0.96892463111314631</v>
      </c>
      <c r="P24" s="49"/>
      <c r="Q24" s="12">
        <f t="shared" si="0"/>
        <v>77.825617328094992</v>
      </c>
      <c r="R24" s="12">
        <f t="shared" si="8"/>
        <v>53.999515370680641</v>
      </c>
      <c r="S24" s="12">
        <f t="shared" si="9"/>
        <v>66.536244962587205</v>
      </c>
      <c r="T24" s="12">
        <f t="shared" si="19"/>
        <v>52.218016596577314</v>
      </c>
      <c r="V24" s="15">
        <f t="shared" si="20"/>
        <v>5</v>
      </c>
      <c r="W24" s="15">
        <f t="shared" si="1"/>
        <v>26</v>
      </c>
      <c r="X24" s="15">
        <f t="shared" si="21"/>
        <v>31</v>
      </c>
      <c r="Y24" s="58">
        <v>4</v>
      </c>
      <c r="Z24" s="58">
        <v>4</v>
      </c>
      <c r="AA24" s="15">
        <f t="shared" si="22"/>
        <v>8</v>
      </c>
      <c r="AB24" s="15">
        <f t="shared" si="23"/>
        <v>23</v>
      </c>
      <c r="AC24">
        <v>1</v>
      </c>
      <c r="AD24">
        <f t="shared" si="24"/>
        <v>744</v>
      </c>
      <c r="AE24">
        <f t="shared" si="2"/>
        <v>416</v>
      </c>
      <c r="AF24">
        <f t="shared" si="3"/>
        <v>328</v>
      </c>
      <c r="AH24">
        <f t="shared" si="10"/>
        <v>744</v>
      </c>
      <c r="AI24">
        <f t="shared" si="11"/>
        <v>368</v>
      </c>
      <c r="AJ24">
        <f t="shared" si="12"/>
        <v>299</v>
      </c>
      <c r="AK24">
        <f t="shared" si="31"/>
        <v>322</v>
      </c>
      <c r="AL24">
        <f t="shared" si="13"/>
        <v>184</v>
      </c>
      <c r="AM24">
        <f t="shared" si="14"/>
        <v>192</v>
      </c>
      <c r="AO24" s="130">
        <f t="shared" si="15"/>
        <v>0.4946236559139785</v>
      </c>
      <c r="AP24" s="130">
        <f t="shared" si="16"/>
        <v>0.24731182795698925</v>
      </c>
      <c r="AQ24" s="130">
        <f t="shared" si="17"/>
        <v>0.25806451612903225</v>
      </c>
      <c r="AR24" s="66">
        <f t="shared" si="18"/>
        <v>0.5053763440860215</v>
      </c>
      <c r="AT24" s="130">
        <f t="shared" si="25"/>
        <v>0.4018817204301075</v>
      </c>
      <c r="AU24" s="66">
        <f t="shared" si="26"/>
        <v>0.5981182795698925</v>
      </c>
      <c r="AV24" s="130">
        <f t="shared" si="27"/>
        <v>0.4018817204301075</v>
      </c>
      <c r="AW24" s="66">
        <f t="shared" si="28"/>
        <v>0.5981182795698925</v>
      </c>
      <c r="AY24" s="127">
        <f t="shared" si="29"/>
        <v>0.48936170212765956</v>
      </c>
      <c r="BA24" s="31">
        <f t="shared" si="32"/>
        <v>0.43279569892473119</v>
      </c>
      <c r="BB24" s="10">
        <f t="shared" si="33"/>
        <v>36892</v>
      </c>
    </row>
    <row r="25" spans="1:54" x14ac:dyDescent="0.2">
      <c r="A25" s="10">
        <v>36923</v>
      </c>
      <c r="B25" s="17">
        <v>49.5</v>
      </c>
      <c r="C25" s="17">
        <v>32.785714285714278</v>
      </c>
      <c r="D25" s="45">
        <v>49.5</v>
      </c>
      <c r="E25" s="45">
        <v>37.125</v>
      </c>
      <c r="F25" s="45">
        <f t="shared" si="4"/>
        <v>33.75</v>
      </c>
      <c r="G25" s="12">
        <f t="shared" si="30"/>
        <v>42.75</v>
      </c>
      <c r="H25" s="12">
        <f t="shared" si="5"/>
        <v>42.75</v>
      </c>
      <c r="I25" s="12">
        <f t="shared" si="6"/>
        <v>42.57</v>
      </c>
      <c r="K25" s="46">
        <v>5.25</v>
      </c>
      <c r="M25" s="137">
        <v>1.4671529594889998</v>
      </c>
      <c r="N25" s="137">
        <v>6.077128406921601E-2</v>
      </c>
      <c r="O25" s="14">
        <f t="shared" ca="1" si="7"/>
        <v>0.96397412025610285</v>
      </c>
      <c r="P25" s="49"/>
      <c r="Q25" s="12">
        <f t="shared" si="0"/>
        <v>72.62407149470549</v>
      </c>
      <c r="R25" s="12">
        <f t="shared" si="8"/>
        <v>48.101657743246484</v>
      </c>
      <c r="S25" s="12">
        <f t="shared" si="9"/>
        <v>62.72078901815474</v>
      </c>
      <c r="T25" s="12">
        <f t="shared" si="19"/>
        <v>49.516412382753742</v>
      </c>
      <c r="V25" s="15">
        <f t="shared" si="20"/>
        <v>4</v>
      </c>
      <c r="W25" s="15">
        <f t="shared" si="1"/>
        <v>24</v>
      </c>
      <c r="X25" s="15">
        <f t="shared" si="21"/>
        <v>28</v>
      </c>
      <c r="Y25" s="44">
        <v>4</v>
      </c>
      <c r="Z25" s="44">
        <v>4</v>
      </c>
      <c r="AA25" s="15">
        <f t="shared" si="22"/>
        <v>8</v>
      </c>
      <c r="AB25" s="15">
        <f t="shared" si="23"/>
        <v>20</v>
      </c>
      <c r="AD25">
        <f t="shared" si="24"/>
        <v>672</v>
      </c>
      <c r="AE25">
        <f t="shared" si="2"/>
        <v>384</v>
      </c>
      <c r="AF25">
        <f t="shared" si="3"/>
        <v>288</v>
      </c>
      <c r="AH25">
        <f t="shared" si="10"/>
        <v>672</v>
      </c>
      <c r="AI25">
        <f t="shared" si="11"/>
        <v>320</v>
      </c>
      <c r="AJ25">
        <f t="shared" si="12"/>
        <v>260</v>
      </c>
      <c r="AK25">
        <f t="shared" si="31"/>
        <v>280</v>
      </c>
      <c r="AL25">
        <f t="shared" si="13"/>
        <v>160</v>
      </c>
      <c r="AM25">
        <f t="shared" si="14"/>
        <v>192</v>
      </c>
      <c r="AO25" s="130">
        <f t="shared" si="15"/>
        <v>0.47619047619047616</v>
      </c>
      <c r="AP25" s="130">
        <f t="shared" si="16"/>
        <v>0.23809523809523808</v>
      </c>
      <c r="AQ25" s="130">
        <f t="shared" si="17"/>
        <v>0.28571428571428581</v>
      </c>
      <c r="AR25" s="66">
        <f t="shared" si="18"/>
        <v>0.52380952380952395</v>
      </c>
      <c r="AT25" s="130">
        <f t="shared" si="25"/>
        <v>0.38690476190476192</v>
      </c>
      <c r="AU25" s="66">
        <f t="shared" si="26"/>
        <v>0.61309523809523814</v>
      </c>
      <c r="AV25" s="130">
        <f t="shared" si="27"/>
        <v>0.38690476190476192</v>
      </c>
      <c r="AW25" s="66">
        <f t="shared" si="28"/>
        <v>0.61309523809523814</v>
      </c>
      <c r="AY25" s="127">
        <f t="shared" si="29"/>
        <v>0.45454545454545442</v>
      </c>
      <c r="BA25" s="31">
        <f t="shared" si="32"/>
        <v>0.41666666666666669</v>
      </c>
      <c r="BB25" s="10">
        <f t="shared" si="33"/>
        <v>36923</v>
      </c>
    </row>
    <row r="26" spans="1:54" x14ac:dyDescent="0.2">
      <c r="A26" s="10">
        <v>36951</v>
      </c>
      <c r="B26" s="17">
        <v>42</v>
      </c>
      <c r="C26" s="17">
        <v>26.467741935483868</v>
      </c>
      <c r="D26" s="45">
        <v>42</v>
      </c>
      <c r="E26" s="45">
        <v>31.5</v>
      </c>
      <c r="F26" s="45">
        <f t="shared" si="4"/>
        <v>27.5</v>
      </c>
      <c r="G26" s="12">
        <f t="shared" si="30"/>
        <v>35.91935483870968</v>
      </c>
      <c r="H26" s="12">
        <f t="shared" si="5"/>
        <v>35.91935483870968</v>
      </c>
      <c r="I26" s="12">
        <f t="shared" si="6"/>
        <v>35.620000000000005</v>
      </c>
      <c r="K26" s="46">
        <v>5.04</v>
      </c>
      <c r="M26" s="137">
        <v>1.4660016126090001</v>
      </c>
      <c r="N26" s="137">
        <v>6.097063263939901E-2</v>
      </c>
      <c r="O26" s="14">
        <f t="shared" ca="1" si="7"/>
        <v>0.95949530953534556</v>
      </c>
      <c r="P26" s="49"/>
      <c r="Q26" s="12">
        <f t="shared" si="0"/>
        <v>61.572067729578002</v>
      </c>
      <c r="R26" s="12">
        <f t="shared" si="8"/>
        <v>38.801752359538206</v>
      </c>
      <c r="S26" s="12">
        <f t="shared" si="9"/>
        <v>52.657832117423283</v>
      </c>
      <c r="T26" s="12">
        <f t="shared" si="19"/>
        <v>40.315044346747506</v>
      </c>
      <c r="V26" s="15">
        <f t="shared" si="20"/>
        <v>4</v>
      </c>
      <c r="W26" s="15">
        <f t="shared" si="1"/>
        <v>27</v>
      </c>
      <c r="X26" s="15">
        <f t="shared" si="21"/>
        <v>31</v>
      </c>
      <c r="Y26" s="44">
        <v>5</v>
      </c>
      <c r="Z26" s="44">
        <v>4</v>
      </c>
      <c r="AA26" s="15">
        <f t="shared" si="22"/>
        <v>9</v>
      </c>
      <c r="AB26" s="15">
        <f t="shared" si="23"/>
        <v>22</v>
      </c>
      <c r="AD26">
        <f t="shared" si="24"/>
        <v>744</v>
      </c>
      <c r="AE26">
        <f t="shared" si="2"/>
        <v>432</v>
      </c>
      <c r="AF26">
        <f t="shared" si="3"/>
        <v>312</v>
      </c>
      <c r="AH26">
        <f t="shared" si="10"/>
        <v>744</v>
      </c>
      <c r="AI26">
        <f t="shared" si="11"/>
        <v>352</v>
      </c>
      <c r="AJ26">
        <f t="shared" si="12"/>
        <v>286</v>
      </c>
      <c r="AK26">
        <f t="shared" si="31"/>
        <v>308</v>
      </c>
      <c r="AL26">
        <f t="shared" si="13"/>
        <v>176</v>
      </c>
      <c r="AM26">
        <f t="shared" si="14"/>
        <v>216</v>
      </c>
      <c r="AO26" s="130">
        <f t="shared" si="15"/>
        <v>0.4731182795698925</v>
      </c>
      <c r="AP26" s="130">
        <f t="shared" si="16"/>
        <v>0.23655913978494625</v>
      </c>
      <c r="AQ26" s="130">
        <f t="shared" si="17"/>
        <v>0.29032258064516125</v>
      </c>
      <c r="AR26" s="66">
        <f t="shared" si="18"/>
        <v>0.5268817204301075</v>
      </c>
      <c r="AT26" s="130">
        <f t="shared" si="25"/>
        <v>0.38440860215053763</v>
      </c>
      <c r="AU26" s="66">
        <f t="shared" si="26"/>
        <v>0.61559139784946237</v>
      </c>
      <c r="AV26" s="130">
        <f t="shared" si="27"/>
        <v>0.38440860215053763</v>
      </c>
      <c r="AW26" s="66">
        <f t="shared" si="28"/>
        <v>0.61559139784946237</v>
      </c>
      <c r="AY26" s="127">
        <f t="shared" si="29"/>
        <v>0.44897959183673475</v>
      </c>
      <c r="BA26" s="31">
        <f t="shared" si="32"/>
        <v>0.41397849462365593</v>
      </c>
      <c r="BB26" s="10">
        <f t="shared" si="33"/>
        <v>36951</v>
      </c>
    </row>
    <row r="27" spans="1:54" x14ac:dyDescent="0.2">
      <c r="A27" s="10">
        <v>36982</v>
      </c>
      <c r="B27" s="17">
        <v>42.25</v>
      </c>
      <c r="C27" s="17">
        <v>23.4375</v>
      </c>
      <c r="D27" s="45">
        <v>42.25</v>
      </c>
      <c r="E27" s="45">
        <v>31.6875</v>
      </c>
      <c r="F27" s="45">
        <f t="shared" si="4"/>
        <v>25.5</v>
      </c>
      <c r="G27" s="12">
        <f t="shared" si="30"/>
        <v>34.805555555555557</v>
      </c>
      <c r="H27" s="12">
        <f t="shared" si="5"/>
        <v>34.805555555555557</v>
      </c>
      <c r="I27" s="12">
        <f t="shared" si="6"/>
        <v>34.880000000000003</v>
      </c>
      <c r="K27" s="46">
        <v>4.5325932997816567</v>
      </c>
      <c r="M27" s="137">
        <v>1.4647463053050001</v>
      </c>
      <c r="N27" s="137">
        <v>6.1163152067568012E-2</v>
      </c>
      <c r="O27" s="14">
        <f t="shared" ca="1" si="7"/>
        <v>0.95454869333052705</v>
      </c>
      <c r="P27" s="49"/>
      <c r="Q27" s="12">
        <f t="shared" si="0"/>
        <v>61.885531399136255</v>
      </c>
      <c r="R27" s="12">
        <f t="shared" si="8"/>
        <v>34.329991530585936</v>
      </c>
      <c r="S27" s="12">
        <f t="shared" si="9"/>
        <v>50.981308904087918</v>
      </c>
      <c r="T27" s="12">
        <f t="shared" si="19"/>
        <v>37.351030785277501</v>
      </c>
      <c r="V27" s="15">
        <f t="shared" si="20"/>
        <v>5</v>
      </c>
      <c r="W27" s="15">
        <f t="shared" si="1"/>
        <v>25</v>
      </c>
      <c r="X27" s="15">
        <f t="shared" si="21"/>
        <v>30</v>
      </c>
      <c r="Y27" s="44">
        <v>4</v>
      </c>
      <c r="Z27" s="44">
        <v>5</v>
      </c>
      <c r="AA27" s="15">
        <f t="shared" si="22"/>
        <v>9</v>
      </c>
      <c r="AB27" s="15">
        <f t="shared" si="23"/>
        <v>21</v>
      </c>
      <c r="AD27">
        <f t="shared" si="24"/>
        <v>720</v>
      </c>
      <c r="AE27">
        <f t="shared" si="2"/>
        <v>400</v>
      </c>
      <c r="AF27">
        <f t="shared" si="3"/>
        <v>320</v>
      </c>
      <c r="AH27">
        <f t="shared" si="10"/>
        <v>720</v>
      </c>
      <c r="AI27">
        <f t="shared" si="11"/>
        <v>336</v>
      </c>
      <c r="AJ27">
        <f t="shared" si="12"/>
        <v>273</v>
      </c>
      <c r="AK27">
        <f t="shared" si="31"/>
        <v>294</v>
      </c>
      <c r="AL27">
        <f t="shared" si="13"/>
        <v>168</v>
      </c>
      <c r="AM27">
        <f t="shared" si="14"/>
        <v>216</v>
      </c>
      <c r="AO27" s="130">
        <f t="shared" si="15"/>
        <v>0.46666666666666667</v>
      </c>
      <c r="AP27" s="130">
        <f t="shared" si="16"/>
        <v>0.23333333333333334</v>
      </c>
      <c r="AQ27" s="130">
        <f t="shared" si="17"/>
        <v>0.30000000000000004</v>
      </c>
      <c r="AR27" s="66">
        <f t="shared" si="18"/>
        <v>0.53333333333333344</v>
      </c>
      <c r="AT27" s="130">
        <f t="shared" si="25"/>
        <v>0.37916666666666665</v>
      </c>
      <c r="AU27" s="66">
        <f t="shared" si="26"/>
        <v>0.62083333333333335</v>
      </c>
      <c r="AV27" s="130">
        <f t="shared" si="27"/>
        <v>0.37916666666666665</v>
      </c>
      <c r="AW27" s="66">
        <f t="shared" si="28"/>
        <v>0.62083333333333335</v>
      </c>
      <c r="AY27" s="127">
        <f t="shared" si="29"/>
        <v>0.43749999999999994</v>
      </c>
      <c r="BA27" s="31">
        <f t="shared" si="32"/>
        <v>0.40833333333333333</v>
      </c>
      <c r="BB27" s="10">
        <f t="shared" si="33"/>
        <v>36982</v>
      </c>
    </row>
    <row r="28" spans="1:54" x14ac:dyDescent="0.2">
      <c r="A28" s="10">
        <v>37012</v>
      </c>
      <c r="B28" s="17">
        <v>39.75</v>
      </c>
      <c r="C28" s="17">
        <v>18.818548387096772</v>
      </c>
      <c r="D28" s="45">
        <v>39.75</v>
      </c>
      <c r="E28" s="45">
        <v>29.8125</v>
      </c>
      <c r="F28" s="45">
        <f t="shared" si="4"/>
        <v>20.045731707317074</v>
      </c>
      <c r="G28" s="12">
        <f t="shared" si="30"/>
        <v>31.063172043010752</v>
      </c>
      <c r="H28" s="12">
        <f t="shared" si="5"/>
        <v>31.063172043010752</v>
      </c>
      <c r="I28" s="12">
        <f t="shared" si="6"/>
        <v>31.080121951219514</v>
      </c>
      <c r="K28" s="46">
        <v>4.3428976817172744</v>
      </c>
      <c r="M28" s="137">
        <v>1.4636044417450003</v>
      </c>
      <c r="N28" s="137">
        <v>6.1311690770371012E-2</v>
      </c>
      <c r="O28" s="14">
        <f t="shared" ca="1" si="7"/>
        <v>0.94978734582703972</v>
      </c>
      <c r="P28" s="49"/>
      <c r="Q28" s="12">
        <f t="shared" si="0"/>
        <v>58.178276559363759</v>
      </c>
      <c r="R28" s="12">
        <f t="shared" si="8"/>
        <v>27.542911006548046</v>
      </c>
      <c r="S28" s="12">
        <f t="shared" si="9"/>
        <v>45.464196576839655</v>
      </c>
      <c r="T28" s="12">
        <f t="shared" si="19"/>
        <v>29.339021964857857</v>
      </c>
      <c r="V28" s="15">
        <f t="shared" si="20"/>
        <v>5</v>
      </c>
      <c r="W28" s="15">
        <f t="shared" si="1"/>
        <v>26</v>
      </c>
      <c r="X28" s="15">
        <f t="shared" si="21"/>
        <v>31</v>
      </c>
      <c r="Y28" s="44">
        <v>4</v>
      </c>
      <c r="Z28" s="44">
        <v>4</v>
      </c>
      <c r="AA28" s="15">
        <f t="shared" si="22"/>
        <v>8</v>
      </c>
      <c r="AB28" s="15">
        <f t="shared" si="23"/>
        <v>23</v>
      </c>
      <c r="AC28">
        <v>1</v>
      </c>
      <c r="AD28">
        <f t="shared" si="24"/>
        <v>744</v>
      </c>
      <c r="AE28">
        <f t="shared" si="2"/>
        <v>416</v>
      </c>
      <c r="AF28">
        <f t="shared" si="3"/>
        <v>328</v>
      </c>
      <c r="AH28">
        <f t="shared" si="10"/>
        <v>744</v>
      </c>
      <c r="AI28">
        <f t="shared" si="11"/>
        <v>368</v>
      </c>
      <c r="AJ28">
        <f t="shared" si="12"/>
        <v>299</v>
      </c>
      <c r="AK28">
        <f t="shared" si="31"/>
        <v>322</v>
      </c>
      <c r="AL28">
        <f t="shared" si="13"/>
        <v>184</v>
      </c>
      <c r="AM28">
        <f t="shared" si="14"/>
        <v>192</v>
      </c>
      <c r="AO28" s="130">
        <f t="shared" si="15"/>
        <v>0.4946236559139785</v>
      </c>
      <c r="AP28" s="130">
        <f t="shared" si="16"/>
        <v>0.24731182795698925</v>
      </c>
      <c r="AQ28" s="130">
        <f t="shared" si="17"/>
        <v>0.25806451612903225</v>
      </c>
      <c r="AR28" s="66">
        <f t="shared" si="18"/>
        <v>0.5053763440860215</v>
      </c>
      <c r="AT28" s="130">
        <f t="shared" si="25"/>
        <v>0.4018817204301075</v>
      </c>
      <c r="AU28" s="66">
        <f t="shared" si="26"/>
        <v>0.5981182795698925</v>
      </c>
      <c r="AV28" s="130">
        <f t="shared" si="27"/>
        <v>0.4018817204301075</v>
      </c>
      <c r="AW28" s="66">
        <f t="shared" si="28"/>
        <v>0.5981182795698925</v>
      </c>
      <c r="AY28" s="127">
        <f t="shared" si="29"/>
        <v>0.48936170212765956</v>
      </c>
      <c r="BA28" s="31">
        <f t="shared" si="32"/>
        <v>0.43279569892473119</v>
      </c>
      <c r="BB28" s="10">
        <f t="shared" si="33"/>
        <v>37012</v>
      </c>
    </row>
    <row r="29" spans="1:54" x14ac:dyDescent="0.2">
      <c r="A29" s="10">
        <v>37043</v>
      </c>
      <c r="B29" s="17">
        <v>40.75</v>
      </c>
      <c r="C29" s="17">
        <v>18.45</v>
      </c>
      <c r="D29" s="45">
        <v>40.75</v>
      </c>
      <c r="E29" s="45">
        <v>30.5625</v>
      </c>
      <c r="F29" s="45">
        <f t="shared" si="4"/>
        <v>21</v>
      </c>
      <c r="G29" s="12">
        <f t="shared" si="30"/>
        <v>32.411111111111111</v>
      </c>
      <c r="H29" s="12">
        <f t="shared" si="5"/>
        <v>32.411111111111111</v>
      </c>
      <c r="I29" s="12">
        <f t="shared" si="6"/>
        <v>32.06</v>
      </c>
      <c r="K29" s="46">
        <v>4.2980509237472138</v>
      </c>
      <c r="M29" s="137">
        <v>1.462428873825</v>
      </c>
      <c r="N29" s="137">
        <v>6.1465180770965001E-2</v>
      </c>
      <c r="O29" s="14">
        <f t="shared" ca="1" si="7"/>
        <v>0.9448694151840078</v>
      </c>
      <c r="P29" s="49"/>
      <c r="Q29" s="12">
        <f t="shared" si="0"/>
        <v>59.593976608368749</v>
      </c>
      <c r="R29" s="12">
        <f t="shared" si="8"/>
        <v>26.981812722071247</v>
      </c>
      <c r="S29" s="12">
        <f t="shared" si="9"/>
        <v>47.398944721639168</v>
      </c>
      <c r="T29" s="12">
        <f t="shared" si="19"/>
        <v>30.711006350325</v>
      </c>
      <c r="V29" s="15">
        <f t="shared" si="20"/>
        <v>4</v>
      </c>
      <c r="W29" s="15">
        <f t="shared" si="1"/>
        <v>26</v>
      </c>
      <c r="X29" s="15">
        <f t="shared" si="21"/>
        <v>30</v>
      </c>
      <c r="Y29" s="44">
        <v>5</v>
      </c>
      <c r="Z29" s="44">
        <v>4</v>
      </c>
      <c r="AA29" s="15">
        <f t="shared" si="22"/>
        <v>9</v>
      </c>
      <c r="AB29" s="15">
        <f t="shared" si="23"/>
        <v>21</v>
      </c>
      <c r="AD29">
        <f t="shared" si="24"/>
        <v>720</v>
      </c>
      <c r="AE29">
        <f t="shared" si="2"/>
        <v>416</v>
      </c>
      <c r="AF29">
        <f t="shared" si="3"/>
        <v>304</v>
      </c>
      <c r="AH29">
        <f t="shared" si="10"/>
        <v>720</v>
      </c>
      <c r="AI29">
        <f t="shared" si="11"/>
        <v>336</v>
      </c>
      <c r="AJ29">
        <f t="shared" si="12"/>
        <v>273</v>
      </c>
      <c r="AK29">
        <f t="shared" si="31"/>
        <v>294</v>
      </c>
      <c r="AL29">
        <f t="shared" si="13"/>
        <v>168</v>
      </c>
      <c r="AM29">
        <f t="shared" si="14"/>
        <v>216</v>
      </c>
      <c r="AO29" s="130">
        <f t="shared" si="15"/>
        <v>0.46666666666666667</v>
      </c>
      <c r="AP29" s="130">
        <f t="shared" si="16"/>
        <v>0.23333333333333334</v>
      </c>
      <c r="AQ29" s="130">
        <f t="shared" si="17"/>
        <v>0.30000000000000004</v>
      </c>
      <c r="AR29" s="66">
        <f t="shared" si="18"/>
        <v>0.53333333333333344</v>
      </c>
      <c r="AV29" s="130">
        <f t="shared" si="27"/>
        <v>0.37916666666666665</v>
      </c>
      <c r="AW29" s="66">
        <f t="shared" si="28"/>
        <v>0.62083333333333335</v>
      </c>
      <c r="BA29" s="31">
        <f t="shared" si="32"/>
        <v>0.40833333333333333</v>
      </c>
      <c r="BB29" s="10">
        <f t="shared" si="33"/>
        <v>37043</v>
      </c>
    </row>
    <row r="30" spans="1:54" x14ac:dyDescent="0.2">
      <c r="A30" s="10">
        <v>37073</v>
      </c>
      <c r="B30" s="17">
        <v>67</v>
      </c>
      <c r="C30" s="17">
        <v>27.70967741935484</v>
      </c>
      <c r="D30" s="45">
        <v>67</v>
      </c>
      <c r="E30" s="45">
        <v>50.25</v>
      </c>
      <c r="F30" s="45">
        <f t="shared" si="4"/>
        <v>31.662790697674417</v>
      </c>
      <c r="G30" s="12">
        <f t="shared" si="30"/>
        <v>50.661290322580648</v>
      </c>
      <c r="H30" s="12">
        <f t="shared" si="5"/>
        <v>50.661290322580648</v>
      </c>
      <c r="I30" s="12">
        <f t="shared" si="6"/>
        <v>51.451627906976746</v>
      </c>
      <c r="K30" s="46">
        <v>4.2836575921690532</v>
      </c>
      <c r="M30" s="137">
        <v>1.4612690489700004</v>
      </c>
      <c r="N30" s="137">
        <v>6.1581536613726014E-2</v>
      </c>
      <c r="O30" s="14">
        <f t="shared" ca="1" si="7"/>
        <v>0.94014184328448935</v>
      </c>
      <c r="P30" s="49"/>
      <c r="Q30" s="12">
        <f t="shared" si="0"/>
        <v>97.905026280990029</v>
      </c>
      <c r="R30" s="12">
        <f t="shared" si="8"/>
        <v>40.49129396984614</v>
      </c>
      <c r="S30" s="12">
        <f t="shared" si="9"/>
        <v>74.029775529270509</v>
      </c>
      <c r="T30" s="12">
        <f t="shared" si="19"/>
        <v>46.267856050526873</v>
      </c>
      <c r="V30" s="15">
        <f t="shared" si="20"/>
        <v>6</v>
      </c>
      <c r="W30" s="15">
        <f t="shared" si="1"/>
        <v>25</v>
      </c>
      <c r="X30" s="15">
        <f t="shared" si="21"/>
        <v>31</v>
      </c>
      <c r="Y30" s="44">
        <v>4</v>
      </c>
      <c r="Z30" s="44">
        <v>5</v>
      </c>
      <c r="AA30" s="15">
        <f t="shared" si="22"/>
        <v>9</v>
      </c>
      <c r="AB30" s="15">
        <f t="shared" si="23"/>
        <v>22</v>
      </c>
      <c r="AC30">
        <v>1</v>
      </c>
      <c r="AD30">
        <f t="shared" si="24"/>
        <v>744</v>
      </c>
      <c r="AE30">
        <f t="shared" si="2"/>
        <v>400</v>
      </c>
      <c r="AF30">
        <f t="shared" si="3"/>
        <v>344</v>
      </c>
      <c r="AH30">
        <f t="shared" si="10"/>
        <v>744</v>
      </c>
      <c r="AI30">
        <f t="shared" si="11"/>
        <v>352</v>
      </c>
      <c r="AJ30">
        <f t="shared" si="12"/>
        <v>286</v>
      </c>
      <c r="AK30">
        <f t="shared" si="31"/>
        <v>308</v>
      </c>
      <c r="AL30">
        <f t="shared" si="13"/>
        <v>176</v>
      </c>
      <c r="AM30">
        <f t="shared" si="14"/>
        <v>216</v>
      </c>
      <c r="AO30" s="130">
        <f t="shared" si="15"/>
        <v>0.4731182795698925</v>
      </c>
      <c r="AP30" s="130">
        <f t="shared" si="16"/>
        <v>0.23655913978494625</v>
      </c>
      <c r="AQ30" s="130">
        <f t="shared" si="17"/>
        <v>0.29032258064516125</v>
      </c>
      <c r="AR30" s="66">
        <f t="shared" si="18"/>
        <v>0.5268817204301075</v>
      </c>
      <c r="BA30" s="31">
        <f t="shared" si="32"/>
        <v>0.41397849462365593</v>
      </c>
      <c r="BB30" s="10">
        <f t="shared" si="33"/>
        <v>37073</v>
      </c>
    </row>
    <row r="31" spans="1:54" x14ac:dyDescent="0.2">
      <c r="A31" s="10">
        <v>37104</v>
      </c>
      <c r="B31" s="17">
        <v>80.5</v>
      </c>
      <c r="C31" s="17">
        <v>36</v>
      </c>
      <c r="D31" s="45">
        <v>80.5</v>
      </c>
      <c r="E31" s="45">
        <v>60.375</v>
      </c>
      <c r="F31" s="45">
        <f t="shared" si="4"/>
        <v>41</v>
      </c>
      <c r="G31" s="12">
        <f t="shared" si="30"/>
        <v>63.935483870967744</v>
      </c>
      <c r="H31" s="12">
        <f t="shared" si="5"/>
        <v>63.935483870967744</v>
      </c>
      <c r="I31" s="12">
        <f t="shared" si="6"/>
        <v>63.120000000000005</v>
      </c>
      <c r="K31" s="46">
        <v>4.2719210827772454</v>
      </c>
      <c r="M31" s="137">
        <v>1.4600340456010004</v>
      </c>
      <c r="N31" s="137">
        <v>6.1651887531838014E-2</v>
      </c>
      <c r="O31" s="14">
        <f t="shared" ca="1" si="7"/>
        <v>0.93531296529371999</v>
      </c>
      <c r="P31" s="49"/>
      <c r="Q31" s="12">
        <f t="shared" si="0"/>
        <v>117.53274067088053</v>
      </c>
      <c r="R31" s="12">
        <f t="shared" si="8"/>
        <v>52.561225641636014</v>
      </c>
      <c r="S31" s="12">
        <f t="shared" si="9"/>
        <v>93.347983173586542</v>
      </c>
      <c r="T31" s="12">
        <f t="shared" si="19"/>
        <v>59.861395869641015</v>
      </c>
      <c r="V31" s="15">
        <f t="shared" si="20"/>
        <v>4</v>
      </c>
      <c r="W31" s="15">
        <f t="shared" si="1"/>
        <v>27</v>
      </c>
      <c r="X31" s="15">
        <f t="shared" si="21"/>
        <v>31</v>
      </c>
      <c r="Y31" s="44">
        <v>4</v>
      </c>
      <c r="Z31" s="44">
        <v>4</v>
      </c>
      <c r="AA31" s="15">
        <f t="shared" si="22"/>
        <v>8</v>
      </c>
      <c r="AB31" s="15">
        <f t="shared" si="23"/>
        <v>23</v>
      </c>
      <c r="AD31">
        <f t="shared" si="24"/>
        <v>744</v>
      </c>
      <c r="AE31">
        <f t="shared" si="2"/>
        <v>432</v>
      </c>
      <c r="AF31">
        <f t="shared" si="3"/>
        <v>312</v>
      </c>
      <c r="AH31">
        <f t="shared" si="10"/>
        <v>744</v>
      </c>
      <c r="AI31">
        <f t="shared" si="11"/>
        <v>368</v>
      </c>
      <c r="AJ31">
        <f t="shared" si="12"/>
        <v>299</v>
      </c>
      <c r="AK31">
        <f t="shared" si="31"/>
        <v>322</v>
      </c>
      <c r="AL31">
        <f t="shared" si="13"/>
        <v>184</v>
      </c>
      <c r="AM31">
        <f t="shared" si="14"/>
        <v>192</v>
      </c>
      <c r="AO31" s="130">
        <f t="shared" si="15"/>
        <v>0.4946236559139785</v>
      </c>
      <c r="AP31" s="130">
        <f t="shared" si="16"/>
        <v>0.24731182795698925</v>
      </c>
      <c r="AQ31" s="130">
        <f t="shared" si="17"/>
        <v>0.25806451612903225</v>
      </c>
      <c r="AR31" s="66">
        <f t="shared" si="18"/>
        <v>0.5053763440860215</v>
      </c>
      <c r="BA31" s="31">
        <f t="shared" si="32"/>
        <v>0.43279569892473119</v>
      </c>
      <c r="BB31" s="10">
        <f t="shared" si="33"/>
        <v>37104</v>
      </c>
    </row>
    <row r="32" spans="1:54" x14ac:dyDescent="0.2">
      <c r="A32" s="10">
        <v>37135</v>
      </c>
      <c r="B32" s="17">
        <v>70</v>
      </c>
      <c r="C32" s="17">
        <v>36.75</v>
      </c>
      <c r="D32" s="45">
        <v>70</v>
      </c>
      <c r="E32" s="45">
        <v>52.5</v>
      </c>
      <c r="F32" s="45">
        <f t="shared" si="4"/>
        <v>38.75</v>
      </c>
      <c r="G32" s="12">
        <f t="shared" si="30"/>
        <v>55.416666666666664</v>
      </c>
      <c r="H32" s="12">
        <f t="shared" si="5"/>
        <v>55.416666666666664</v>
      </c>
      <c r="I32" s="12">
        <f t="shared" si="6"/>
        <v>56.25</v>
      </c>
      <c r="K32" s="46">
        <v>4.240971184311495</v>
      </c>
      <c r="M32" s="137">
        <v>1.4587936380340003</v>
      </c>
      <c r="N32" s="137">
        <v>6.1722238451592012E-2</v>
      </c>
      <c r="O32" s="14">
        <f t="shared" ca="1" si="7"/>
        <v>0.93049842076908973</v>
      </c>
      <c r="P32" s="49"/>
      <c r="Q32" s="12">
        <f t="shared" si="0"/>
        <v>102.11555466238002</v>
      </c>
      <c r="R32" s="12">
        <f t="shared" si="8"/>
        <v>53.610666197749509</v>
      </c>
      <c r="S32" s="12">
        <f t="shared" si="9"/>
        <v>80.841480774384181</v>
      </c>
      <c r="T32" s="12">
        <f t="shared" si="19"/>
        <v>56.528253473817514</v>
      </c>
      <c r="V32" s="15">
        <f t="shared" si="20"/>
        <v>6</v>
      </c>
      <c r="W32" s="15">
        <f t="shared" si="1"/>
        <v>24</v>
      </c>
      <c r="X32" s="15">
        <f t="shared" si="21"/>
        <v>30</v>
      </c>
      <c r="Y32" s="44">
        <v>5</v>
      </c>
      <c r="Z32" s="44">
        <v>5</v>
      </c>
      <c r="AA32" s="15">
        <f t="shared" si="22"/>
        <v>10</v>
      </c>
      <c r="AB32" s="15">
        <f t="shared" si="23"/>
        <v>20</v>
      </c>
      <c r="AC32">
        <v>1</v>
      </c>
      <c r="AD32">
        <f t="shared" si="24"/>
        <v>720</v>
      </c>
      <c r="AE32">
        <f t="shared" si="2"/>
        <v>384</v>
      </c>
      <c r="AF32">
        <f t="shared" si="3"/>
        <v>336</v>
      </c>
      <c r="AH32">
        <f t="shared" si="10"/>
        <v>720</v>
      </c>
      <c r="AI32">
        <f t="shared" si="11"/>
        <v>320</v>
      </c>
      <c r="AJ32">
        <f t="shared" si="12"/>
        <v>260</v>
      </c>
      <c r="AK32">
        <f t="shared" si="31"/>
        <v>280</v>
      </c>
      <c r="AL32">
        <f t="shared" si="13"/>
        <v>160</v>
      </c>
      <c r="AM32">
        <f t="shared" si="14"/>
        <v>240</v>
      </c>
      <c r="AO32" s="130">
        <f t="shared" si="15"/>
        <v>0.44444444444444442</v>
      </c>
      <c r="AP32" s="130">
        <f t="shared" si="16"/>
        <v>0.22222222222222221</v>
      </c>
      <c r="AQ32" s="130">
        <f t="shared" si="17"/>
        <v>0.33333333333333337</v>
      </c>
      <c r="AR32" s="66">
        <f t="shared" si="18"/>
        <v>0.55555555555555558</v>
      </c>
      <c r="BA32" s="31">
        <f t="shared" si="32"/>
        <v>0.3888888888888889</v>
      </c>
      <c r="BB32" s="10">
        <f t="shared" si="33"/>
        <v>37135</v>
      </c>
    </row>
    <row r="33" spans="1:54" x14ac:dyDescent="0.2">
      <c r="A33" s="10">
        <v>37165</v>
      </c>
      <c r="B33" s="17">
        <v>55.25</v>
      </c>
      <c r="C33" s="17">
        <v>37.112903225806448</v>
      </c>
      <c r="D33" s="45">
        <v>55.25</v>
      </c>
      <c r="E33" s="45">
        <v>41.4375</v>
      </c>
      <c r="F33" s="45">
        <f t="shared" si="4"/>
        <v>38</v>
      </c>
      <c r="G33" s="12">
        <f t="shared" si="30"/>
        <v>48.016129032258064</v>
      </c>
      <c r="H33" s="12">
        <f t="shared" si="5"/>
        <v>48.016129032258064</v>
      </c>
      <c r="I33" s="12">
        <f t="shared" si="6"/>
        <v>47.66</v>
      </c>
      <c r="K33" s="46">
        <v>4.2513044371776818</v>
      </c>
      <c r="M33" s="137">
        <v>1.457612596503</v>
      </c>
      <c r="N33" s="137">
        <v>6.1790319988403015E-2</v>
      </c>
      <c r="O33" s="14">
        <f t="shared" ca="1" si="7"/>
        <v>0.92585286476638851</v>
      </c>
      <c r="P33" s="49"/>
      <c r="Q33" s="12">
        <f t="shared" si="0"/>
        <v>80.533095956790746</v>
      </c>
      <c r="R33" s="12">
        <f t="shared" si="8"/>
        <v>54.096235234732305</v>
      </c>
      <c r="S33" s="12">
        <f t="shared" si="9"/>
        <v>69.988914512732762</v>
      </c>
      <c r="T33" s="12">
        <f t="shared" si="19"/>
        <v>55.389278667113999</v>
      </c>
      <c r="V33" s="15">
        <f t="shared" si="20"/>
        <v>4</v>
      </c>
      <c r="W33" s="15">
        <f t="shared" si="1"/>
        <v>27</v>
      </c>
      <c r="X33" s="15">
        <f t="shared" si="21"/>
        <v>31</v>
      </c>
      <c r="Y33" s="44">
        <v>4</v>
      </c>
      <c r="Z33" s="44">
        <v>4</v>
      </c>
      <c r="AA33" s="15">
        <f t="shared" si="22"/>
        <v>8</v>
      </c>
      <c r="AB33" s="15">
        <f t="shared" si="23"/>
        <v>23</v>
      </c>
      <c r="AD33">
        <f t="shared" si="24"/>
        <v>744</v>
      </c>
      <c r="AE33">
        <f t="shared" si="2"/>
        <v>432</v>
      </c>
      <c r="AF33">
        <f t="shared" si="3"/>
        <v>312</v>
      </c>
      <c r="AH33">
        <f t="shared" si="10"/>
        <v>744</v>
      </c>
      <c r="AI33">
        <f t="shared" si="11"/>
        <v>368</v>
      </c>
      <c r="AJ33">
        <f t="shared" si="12"/>
        <v>299</v>
      </c>
      <c r="AK33">
        <f t="shared" si="31"/>
        <v>322</v>
      </c>
      <c r="AL33">
        <f t="shared" si="13"/>
        <v>184</v>
      </c>
      <c r="AM33">
        <f t="shared" si="14"/>
        <v>192</v>
      </c>
      <c r="AO33" s="130">
        <f t="shared" si="15"/>
        <v>0.4946236559139785</v>
      </c>
      <c r="AP33" s="130">
        <f t="shared" si="16"/>
        <v>0.24731182795698925</v>
      </c>
      <c r="AQ33" s="130">
        <f t="shared" si="17"/>
        <v>0.25806451612903225</v>
      </c>
      <c r="AR33" s="66">
        <f t="shared" si="18"/>
        <v>0.5053763440860215</v>
      </c>
      <c r="BA33" s="31">
        <f t="shared" si="32"/>
        <v>0.43279569892473119</v>
      </c>
      <c r="BB33" s="10">
        <f t="shared" si="33"/>
        <v>37165</v>
      </c>
    </row>
    <row r="34" spans="1:54" x14ac:dyDescent="0.2">
      <c r="A34" s="10">
        <v>37196</v>
      </c>
      <c r="B34" s="17">
        <v>51.25</v>
      </c>
      <c r="C34" s="17">
        <v>37.1875</v>
      </c>
      <c r="D34" s="45">
        <v>51.25</v>
      </c>
      <c r="E34" s="45">
        <v>38.4375</v>
      </c>
      <c r="F34" s="45">
        <f t="shared" si="4"/>
        <v>35.578125</v>
      </c>
      <c r="G34" s="12">
        <f t="shared" si="30"/>
        <v>44.284722222222221</v>
      </c>
      <c r="H34" s="12">
        <f t="shared" si="5"/>
        <v>44.284722222222221</v>
      </c>
      <c r="I34" s="12">
        <f t="shared" si="6"/>
        <v>44.354375000000005</v>
      </c>
      <c r="K34" s="46">
        <v>4.3917503505196782</v>
      </c>
      <c r="M34" s="137">
        <v>1.4564328524460004</v>
      </c>
      <c r="N34" s="137">
        <v>6.1860670911391004E-2</v>
      </c>
      <c r="O34" s="14">
        <f t="shared" ca="1" si="7"/>
        <v>0.92106662726769717</v>
      </c>
      <c r="P34" s="49"/>
      <c r="Q34" s="12">
        <f t="shared" si="0"/>
        <v>74.642183687857525</v>
      </c>
      <c r="R34" s="12">
        <f t="shared" si="8"/>
        <v>54.161096700335641</v>
      </c>
      <c r="S34" s="12">
        <f t="shared" si="9"/>
        <v>64.497724305889889</v>
      </c>
      <c r="T34" s="12">
        <f t="shared" si="19"/>
        <v>51.817150078430359</v>
      </c>
      <c r="V34" s="15">
        <f t="shared" si="20"/>
        <v>5</v>
      </c>
      <c r="W34" s="15">
        <f t="shared" si="1"/>
        <v>25</v>
      </c>
      <c r="X34" s="15">
        <f t="shared" si="21"/>
        <v>30</v>
      </c>
      <c r="Y34" s="44">
        <v>4</v>
      </c>
      <c r="Z34" s="44">
        <v>4</v>
      </c>
      <c r="AA34" s="15">
        <f t="shared" si="22"/>
        <v>8</v>
      </c>
      <c r="AB34" s="15">
        <f t="shared" si="23"/>
        <v>22</v>
      </c>
      <c r="AC34">
        <v>1</v>
      </c>
      <c r="AD34">
        <f t="shared" si="24"/>
        <v>720</v>
      </c>
      <c r="AE34">
        <f t="shared" si="2"/>
        <v>400</v>
      </c>
      <c r="AF34">
        <f t="shared" si="3"/>
        <v>320</v>
      </c>
      <c r="AH34">
        <f t="shared" si="10"/>
        <v>720</v>
      </c>
      <c r="AI34">
        <f t="shared" si="11"/>
        <v>352</v>
      </c>
      <c r="AJ34">
        <f t="shared" si="12"/>
        <v>286</v>
      </c>
      <c r="AK34">
        <f t="shared" si="31"/>
        <v>308</v>
      </c>
      <c r="AL34">
        <f t="shared" si="13"/>
        <v>176</v>
      </c>
      <c r="AM34">
        <f t="shared" si="14"/>
        <v>192</v>
      </c>
      <c r="AO34" s="130">
        <f t="shared" si="15"/>
        <v>0.48888888888888887</v>
      </c>
      <c r="AP34" s="130">
        <f t="shared" si="16"/>
        <v>0.24444444444444444</v>
      </c>
      <c r="AQ34" s="130">
        <f t="shared" si="17"/>
        <v>0.26666666666666672</v>
      </c>
      <c r="AR34" s="66">
        <f t="shared" si="18"/>
        <v>0.51111111111111118</v>
      </c>
      <c r="BA34" s="31">
        <f t="shared" si="32"/>
        <v>0.42777777777777776</v>
      </c>
      <c r="BB34" s="10">
        <f t="shared" si="33"/>
        <v>37196</v>
      </c>
    </row>
    <row r="35" spans="1:54" x14ac:dyDescent="0.2">
      <c r="A35" s="10">
        <v>37226</v>
      </c>
      <c r="B35" s="17">
        <v>51.25</v>
      </c>
      <c r="C35" s="17">
        <v>34.362903225806448</v>
      </c>
      <c r="D35" s="45">
        <v>51.25</v>
      </c>
      <c r="E35" s="45">
        <v>38.4375</v>
      </c>
      <c r="F35" s="45">
        <f t="shared" si="4"/>
        <v>33.712209302325583</v>
      </c>
      <c r="G35" s="12">
        <f t="shared" si="30"/>
        <v>43.141129032258064</v>
      </c>
      <c r="H35" s="12">
        <f t="shared" si="5"/>
        <v>43.141129032258064</v>
      </c>
      <c r="I35" s="12">
        <f t="shared" si="6"/>
        <v>43.53337209302326</v>
      </c>
      <c r="K35" s="46">
        <v>4.5115033452906657</v>
      </c>
      <c r="M35" s="137">
        <v>1.4552940998230002</v>
      </c>
      <c r="N35" s="137">
        <v>6.1928752451330019E-2</v>
      </c>
      <c r="O35" s="14">
        <f t="shared" ca="1" si="7"/>
        <v>0.91644852943917732</v>
      </c>
      <c r="P35" s="49"/>
      <c r="Q35" s="12">
        <f t="shared" si="0"/>
        <v>74.583822615928753</v>
      </c>
      <c r="R35" s="12">
        <f t="shared" si="8"/>
        <v>50.008130317304861</v>
      </c>
      <c r="S35" s="12">
        <f t="shared" si="9"/>
        <v>62.783030540347895</v>
      </c>
      <c r="T35" s="12">
        <f t="shared" si="19"/>
        <v>49.061179289672481</v>
      </c>
      <c r="V35" s="15">
        <f t="shared" si="20"/>
        <v>6</v>
      </c>
      <c r="W35" s="15">
        <f t="shared" si="1"/>
        <v>25</v>
      </c>
      <c r="X35" s="15">
        <f t="shared" si="21"/>
        <v>31</v>
      </c>
      <c r="Y35" s="44">
        <v>5</v>
      </c>
      <c r="Z35" s="44">
        <v>5</v>
      </c>
      <c r="AA35" s="15">
        <f t="shared" si="22"/>
        <v>10</v>
      </c>
      <c r="AB35" s="15">
        <f t="shared" si="23"/>
        <v>21</v>
      </c>
      <c r="AC35">
        <v>1</v>
      </c>
      <c r="AD35">
        <f t="shared" si="24"/>
        <v>744</v>
      </c>
      <c r="AE35">
        <f t="shared" si="2"/>
        <v>400</v>
      </c>
      <c r="AF35">
        <f t="shared" si="3"/>
        <v>344</v>
      </c>
      <c r="AH35">
        <f t="shared" si="10"/>
        <v>744</v>
      </c>
      <c r="AI35">
        <f t="shared" si="11"/>
        <v>336</v>
      </c>
      <c r="AJ35">
        <f t="shared" si="12"/>
        <v>273</v>
      </c>
      <c r="AK35">
        <f t="shared" si="31"/>
        <v>294</v>
      </c>
      <c r="AL35">
        <f t="shared" si="13"/>
        <v>168</v>
      </c>
      <c r="AM35">
        <f t="shared" si="14"/>
        <v>240</v>
      </c>
      <c r="AO35" s="130">
        <f t="shared" si="15"/>
        <v>0.45161290322580644</v>
      </c>
      <c r="AP35" s="130">
        <f t="shared" si="16"/>
        <v>0.22580645161290322</v>
      </c>
      <c r="AQ35" s="130">
        <f t="shared" si="17"/>
        <v>0.32258064516129037</v>
      </c>
      <c r="AR35" s="66">
        <f t="shared" si="18"/>
        <v>0.54838709677419362</v>
      </c>
      <c r="BA35" s="31">
        <f t="shared" si="32"/>
        <v>0.39516129032258063</v>
      </c>
      <c r="BB35" s="10">
        <f t="shared" si="33"/>
        <v>37226</v>
      </c>
    </row>
    <row r="36" spans="1:54" x14ac:dyDescent="0.2">
      <c r="A36" s="10">
        <v>37257</v>
      </c>
      <c r="B36" s="17">
        <v>38</v>
      </c>
      <c r="C36" s="17">
        <v>32.137096774193544</v>
      </c>
      <c r="D36" s="45">
        <v>38</v>
      </c>
      <c r="E36" s="45">
        <v>28.5</v>
      </c>
      <c r="F36" s="45">
        <f t="shared" si="4"/>
        <v>29.859756097560989</v>
      </c>
      <c r="G36" s="12">
        <f t="shared" si="30"/>
        <v>34.411290322580648</v>
      </c>
      <c r="H36" s="12">
        <f t="shared" si="5"/>
        <v>34.411290322580648</v>
      </c>
      <c r="I36" s="12">
        <f t="shared" si="6"/>
        <v>34.418292682926833</v>
      </c>
      <c r="K36" s="46">
        <v>4.513131587741305</v>
      </c>
      <c r="M36" s="137">
        <v>1.4541258572220002</v>
      </c>
      <c r="N36" s="137">
        <v>6.1999103377550012E-2</v>
      </c>
      <c r="O36" s="14">
        <f t="shared" ca="1" si="7"/>
        <v>0.91169073050767813</v>
      </c>
      <c r="P36" s="49"/>
      <c r="Q36" s="12">
        <f t="shared" si="0"/>
        <v>55.256782574436009</v>
      </c>
      <c r="R36" s="12">
        <f t="shared" si="8"/>
        <v>46.731383395400563</v>
      </c>
      <c r="S36" s="12">
        <f t="shared" si="9"/>
        <v>50.038347038437706</v>
      </c>
      <c r="T36" s="12">
        <f t="shared" si="19"/>
        <v>43.419843431805717</v>
      </c>
      <c r="V36" s="15">
        <f t="shared" si="20"/>
        <v>5</v>
      </c>
      <c r="W36" s="15">
        <f t="shared" si="1"/>
        <v>26</v>
      </c>
      <c r="X36" s="15">
        <f t="shared" si="21"/>
        <v>31</v>
      </c>
      <c r="Y36" s="43">
        <v>4</v>
      </c>
      <c r="Z36" s="43">
        <v>4</v>
      </c>
      <c r="AA36" s="15">
        <f t="shared" si="22"/>
        <v>8</v>
      </c>
      <c r="AB36" s="15">
        <f t="shared" si="23"/>
        <v>23</v>
      </c>
      <c r="AC36">
        <v>1</v>
      </c>
      <c r="AD36">
        <f t="shared" si="24"/>
        <v>744</v>
      </c>
      <c r="AE36">
        <f t="shared" si="2"/>
        <v>416</v>
      </c>
      <c r="AF36">
        <f t="shared" si="3"/>
        <v>328</v>
      </c>
      <c r="AH36">
        <f t="shared" si="10"/>
        <v>744</v>
      </c>
      <c r="AI36">
        <f t="shared" si="11"/>
        <v>368</v>
      </c>
      <c r="AJ36">
        <f t="shared" si="12"/>
        <v>299</v>
      </c>
      <c r="AK36">
        <f t="shared" si="31"/>
        <v>322</v>
      </c>
      <c r="AL36">
        <f t="shared" si="13"/>
        <v>184</v>
      </c>
      <c r="AM36">
        <f t="shared" si="14"/>
        <v>192</v>
      </c>
      <c r="AO36" s="130">
        <f t="shared" si="15"/>
        <v>0.4946236559139785</v>
      </c>
      <c r="AP36" s="130">
        <f t="shared" si="16"/>
        <v>0.24731182795698925</v>
      </c>
      <c r="AQ36" s="130">
        <f t="shared" si="17"/>
        <v>0.25806451612903225</v>
      </c>
      <c r="AR36" s="66">
        <f t="shared" si="18"/>
        <v>0.5053763440860215</v>
      </c>
      <c r="BA36" s="31">
        <f t="shared" si="32"/>
        <v>0.43279569892473119</v>
      </c>
      <c r="BB36" s="10">
        <f t="shared" si="33"/>
        <v>37257</v>
      </c>
    </row>
    <row r="37" spans="1:54" x14ac:dyDescent="0.2">
      <c r="A37" s="10">
        <v>37288</v>
      </c>
      <c r="B37" s="17">
        <v>36</v>
      </c>
      <c r="C37" s="17">
        <v>30.214285714285708</v>
      </c>
      <c r="D37" s="45">
        <v>36</v>
      </c>
      <c r="E37" s="45">
        <v>27</v>
      </c>
      <c r="F37" s="45">
        <f t="shared" si="4"/>
        <v>29.5</v>
      </c>
      <c r="G37" s="12">
        <f t="shared" si="30"/>
        <v>33.214285714285715</v>
      </c>
      <c r="H37" s="12">
        <f t="shared" si="5"/>
        <v>33.214285714285715</v>
      </c>
      <c r="I37" s="12">
        <f t="shared" si="6"/>
        <v>33.14</v>
      </c>
      <c r="K37" s="46">
        <v>4.3176887121599616</v>
      </c>
      <c r="M37" s="137">
        <v>1.4529692138820003</v>
      </c>
      <c r="N37" s="137">
        <v>6.2069454305413017E-2</v>
      </c>
      <c r="O37" s="14">
        <f t="shared" ca="1" si="7"/>
        <v>0.90694743271991263</v>
      </c>
      <c r="P37" s="49"/>
      <c r="Q37" s="12">
        <f t="shared" si="0"/>
        <v>52.306891699752008</v>
      </c>
      <c r="R37" s="12">
        <f t="shared" si="8"/>
        <v>43.90042696229186</v>
      </c>
      <c r="S37" s="12">
        <f t="shared" si="9"/>
        <v>48.259334603937866</v>
      </c>
      <c r="T37" s="12">
        <f t="shared" si="19"/>
        <v>42.86259180951901</v>
      </c>
      <c r="V37" s="15">
        <f t="shared" si="20"/>
        <v>4</v>
      </c>
      <c r="W37" s="15">
        <f t="shared" si="1"/>
        <v>24</v>
      </c>
      <c r="X37" s="15">
        <f t="shared" si="21"/>
        <v>28</v>
      </c>
      <c r="Y37" s="44">
        <v>4</v>
      </c>
      <c r="Z37" s="44">
        <v>4</v>
      </c>
      <c r="AA37" s="15">
        <f t="shared" si="22"/>
        <v>8</v>
      </c>
      <c r="AB37" s="15">
        <f t="shared" si="23"/>
        <v>20</v>
      </c>
      <c r="AD37">
        <f t="shared" si="24"/>
        <v>672</v>
      </c>
      <c r="AE37">
        <f t="shared" si="2"/>
        <v>384</v>
      </c>
      <c r="AF37">
        <f t="shared" si="3"/>
        <v>288</v>
      </c>
      <c r="AH37">
        <f t="shared" si="10"/>
        <v>672</v>
      </c>
      <c r="AI37">
        <f t="shared" si="11"/>
        <v>320</v>
      </c>
      <c r="AJ37">
        <f t="shared" si="12"/>
        <v>260</v>
      </c>
      <c r="AK37">
        <f t="shared" si="31"/>
        <v>280</v>
      </c>
      <c r="AL37">
        <f t="shared" si="13"/>
        <v>160</v>
      </c>
      <c r="AM37">
        <f t="shared" si="14"/>
        <v>192</v>
      </c>
      <c r="AO37" s="130">
        <f t="shared" si="15"/>
        <v>0.47619047619047616</v>
      </c>
      <c r="AP37" s="130">
        <f t="shared" si="16"/>
        <v>0.23809523809523808</v>
      </c>
      <c r="AQ37" s="130">
        <f t="shared" si="17"/>
        <v>0.28571428571428581</v>
      </c>
      <c r="AR37" s="66">
        <f t="shared" si="18"/>
        <v>0.52380952380952395</v>
      </c>
      <c r="BA37" s="31">
        <f t="shared" si="32"/>
        <v>0.41666666666666669</v>
      </c>
      <c r="BB37" s="10">
        <f t="shared" si="33"/>
        <v>37288</v>
      </c>
    </row>
    <row r="38" spans="1:54" x14ac:dyDescent="0.2">
      <c r="A38" s="10">
        <v>37316</v>
      </c>
      <c r="B38" s="17">
        <v>34</v>
      </c>
      <c r="C38" s="17">
        <v>28.145161290322577</v>
      </c>
      <c r="D38" s="45">
        <v>34</v>
      </c>
      <c r="E38" s="45">
        <v>25.5</v>
      </c>
      <c r="F38" s="45">
        <f t="shared" si="4"/>
        <v>27.5</v>
      </c>
      <c r="G38" s="12">
        <f t="shared" si="30"/>
        <v>31.134408602150536</v>
      </c>
      <c r="H38" s="12">
        <f t="shared" si="5"/>
        <v>31.134408602150536</v>
      </c>
      <c r="I38" s="12">
        <f t="shared" si="6"/>
        <v>31.14</v>
      </c>
      <c r="K38" s="46">
        <v>4.0996612858958441</v>
      </c>
      <c r="M38" s="137">
        <v>1.4519283400340004</v>
      </c>
      <c r="N38" s="137">
        <v>6.2132997080380017E-2</v>
      </c>
      <c r="O38" s="14">
        <f t="shared" ca="1" si="7"/>
        <v>0.90267565439573416</v>
      </c>
      <c r="P38" s="49"/>
      <c r="Q38" s="12">
        <f t="shared" si="0"/>
        <v>49.365563561156016</v>
      </c>
      <c r="R38" s="12">
        <f t="shared" si="8"/>
        <v>40.864757312247264</v>
      </c>
      <c r="S38" s="12">
        <f t="shared" si="9"/>
        <v>45.20493019966073</v>
      </c>
      <c r="T38" s="12">
        <f t="shared" si="19"/>
        <v>39.928029350935013</v>
      </c>
      <c r="V38" s="15">
        <f t="shared" si="20"/>
        <v>5</v>
      </c>
      <c r="W38" s="15">
        <f t="shared" si="1"/>
        <v>26</v>
      </c>
      <c r="X38" s="15">
        <f t="shared" si="21"/>
        <v>31</v>
      </c>
      <c r="Y38" s="44">
        <v>5</v>
      </c>
      <c r="Z38" s="44">
        <v>5</v>
      </c>
      <c r="AA38" s="15">
        <f t="shared" si="22"/>
        <v>10</v>
      </c>
      <c r="AB38" s="15">
        <f t="shared" si="23"/>
        <v>21</v>
      </c>
      <c r="AD38">
        <f t="shared" si="24"/>
        <v>744</v>
      </c>
      <c r="AE38">
        <f t="shared" si="2"/>
        <v>416</v>
      </c>
      <c r="AF38">
        <f t="shared" si="3"/>
        <v>328</v>
      </c>
      <c r="AH38">
        <f t="shared" si="10"/>
        <v>744</v>
      </c>
      <c r="AI38">
        <f t="shared" si="11"/>
        <v>336</v>
      </c>
      <c r="AJ38">
        <f t="shared" si="12"/>
        <v>273</v>
      </c>
      <c r="AK38">
        <f t="shared" si="31"/>
        <v>294</v>
      </c>
      <c r="AL38">
        <f t="shared" si="13"/>
        <v>168</v>
      </c>
      <c r="AM38">
        <f t="shared" si="14"/>
        <v>240</v>
      </c>
      <c r="AO38" s="130">
        <f t="shared" si="15"/>
        <v>0.45161290322580644</v>
      </c>
      <c r="AP38" s="130">
        <f t="shared" si="16"/>
        <v>0.22580645161290322</v>
      </c>
      <c r="AQ38" s="130">
        <f t="shared" si="17"/>
        <v>0.32258064516129037</v>
      </c>
      <c r="AR38" s="66">
        <f t="shared" si="18"/>
        <v>0.54838709677419362</v>
      </c>
      <c r="BA38" s="31">
        <f t="shared" si="32"/>
        <v>0.39516129032258063</v>
      </c>
      <c r="BB38" s="10">
        <f t="shared" si="33"/>
        <v>37316</v>
      </c>
    </row>
    <row r="39" spans="1:54" x14ac:dyDescent="0.2">
      <c r="A39" s="10">
        <v>37347</v>
      </c>
      <c r="B39" s="17">
        <v>33.75</v>
      </c>
      <c r="C39" s="17">
        <v>21.404199999999999</v>
      </c>
      <c r="D39" s="45">
        <v>33.75</v>
      </c>
      <c r="E39" s="45">
        <v>25.3125</v>
      </c>
      <c r="F39" s="45">
        <f t="shared" si="4"/>
        <v>22.227000000000004</v>
      </c>
      <c r="G39" s="12">
        <f t="shared" si="30"/>
        <v>28.884733333333337</v>
      </c>
      <c r="H39" s="12">
        <f t="shared" si="5"/>
        <v>28.884733333333337</v>
      </c>
      <c r="I39" s="12">
        <f t="shared" si="6"/>
        <v>28.679880000000004</v>
      </c>
      <c r="K39" s="46">
        <v>3.8147956960416436</v>
      </c>
      <c r="M39" s="137">
        <v>1.4508244615430002</v>
      </c>
      <c r="N39" s="137">
        <v>6.2203348011369015E-2</v>
      </c>
      <c r="O39" s="14">
        <f t="shared" ca="1" si="7"/>
        <v>0.89796004331556822</v>
      </c>
      <c r="P39" s="49"/>
      <c r="Q39" s="12">
        <f t="shared" si="0"/>
        <v>48.965325577076257</v>
      </c>
      <c r="R39" s="12">
        <f t="shared" si="8"/>
        <v>31.053736939758682</v>
      </c>
      <c r="S39" s="12">
        <f t="shared" si="9"/>
        <v>41.906677685146484</v>
      </c>
      <c r="T39" s="12">
        <f t="shared" si="19"/>
        <v>32.247475306716268</v>
      </c>
      <c r="V39" s="15">
        <f t="shared" si="20"/>
        <v>4</v>
      </c>
      <c r="W39" s="15">
        <f t="shared" si="1"/>
        <v>26</v>
      </c>
      <c r="X39" s="15">
        <f t="shared" si="21"/>
        <v>30</v>
      </c>
      <c r="Y39" s="44">
        <v>4</v>
      </c>
      <c r="Z39" s="44">
        <v>4</v>
      </c>
      <c r="AA39" s="15">
        <f t="shared" si="22"/>
        <v>8</v>
      </c>
      <c r="AB39" s="15">
        <f t="shared" si="23"/>
        <v>22</v>
      </c>
      <c r="AD39">
        <f t="shared" si="24"/>
        <v>720</v>
      </c>
      <c r="AE39">
        <f t="shared" si="2"/>
        <v>416</v>
      </c>
      <c r="AF39">
        <f t="shared" si="3"/>
        <v>304</v>
      </c>
      <c r="AH39">
        <f t="shared" si="10"/>
        <v>720</v>
      </c>
      <c r="AI39">
        <f t="shared" si="11"/>
        <v>352</v>
      </c>
      <c r="AJ39">
        <f t="shared" si="12"/>
        <v>286</v>
      </c>
      <c r="AK39">
        <f t="shared" si="31"/>
        <v>308</v>
      </c>
      <c r="AL39">
        <f t="shared" si="13"/>
        <v>176</v>
      </c>
      <c r="AM39">
        <f t="shared" si="14"/>
        <v>192</v>
      </c>
      <c r="AO39" s="130">
        <f t="shared" si="15"/>
        <v>0.48888888888888887</v>
      </c>
      <c r="AP39" s="130">
        <f t="shared" si="16"/>
        <v>0.24444444444444444</v>
      </c>
      <c r="AQ39" s="130">
        <f t="shared" si="17"/>
        <v>0.26666666666666672</v>
      </c>
      <c r="AR39" s="66">
        <f t="shared" si="18"/>
        <v>0.51111111111111118</v>
      </c>
      <c r="BA39" s="31">
        <f t="shared" si="32"/>
        <v>0.42777777777777776</v>
      </c>
      <c r="BB39" s="10">
        <f t="shared" si="33"/>
        <v>37347</v>
      </c>
    </row>
    <row r="40" spans="1:54" x14ac:dyDescent="0.2">
      <c r="A40" s="10">
        <v>37377</v>
      </c>
      <c r="B40" s="17">
        <v>33.25</v>
      </c>
      <c r="C40" s="17">
        <v>14.068548387096772</v>
      </c>
      <c r="D40" s="45">
        <v>32</v>
      </c>
      <c r="E40" s="45">
        <v>24</v>
      </c>
      <c r="F40" s="45">
        <f t="shared" si="4"/>
        <v>15.320121951219512</v>
      </c>
      <c r="G40" s="12">
        <f t="shared" si="30"/>
        <v>25.34543010752688</v>
      </c>
      <c r="H40" s="12">
        <f t="shared" si="5"/>
        <v>25.34543010752688</v>
      </c>
      <c r="I40" s="12">
        <f t="shared" si="6"/>
        <v>25.360853658536584</v>
      </c>
      <c r="K40" s="46">
        <v>3.7095017167494042</v>
      </c>
      <c r="M40" s="137">
        <v>1.4498327868780003</v>
      </c>
      <c r="N40" s="137">
        <v>6.2271429559053015E-2</v>
      </c>
      <c r="O40" s="14">
        <f t="shared" ca="1" si="7"/>
        <v>0.89341044203194964</v>
      </c>
      <c r="P40" s="49"/>
      <c r="Q40" s="12">
        <f t="shared" si="0"/>
        <v>48.20694016369351</v>
      </c>
      <c r="R40" s="12">
        <f t="shared" si="8"/>
        <v>20.397042715392509</v>
      </c>
      <c r="S40" s="12">
        <f t="shared" si="9"/>
        <v>36.746635567417272</v>
      </c>
      <c r="T40" s="12">
        <f t="shared" si="19"/>
        <v>22.211615103847414</v>
      </c>
      <c r="V40" s="15">
        <f t="shared" si="20"/>
        <v>5</v>
      </c>
      <c r="W40" s="15">
        <f t="shared" si="1"/>
        <v>26</v>
      </c>
      <c r="X40" s="15">
        <f t="shared" si="21"/>
        <v>31</v>
      </c>
      <c r="Y40" s="44">
        <v>4</v>
      </c>
      <c r="Z40" s="44">
        <v>4</v>
      </c>
      <c r="AA40" s="15">
        <f t="shared" si="22"/>
        <v>8</v>
      </c>
      <c r="AB40" s="15">
        <f t="shared" si="23"/>
        <v>23</v>
      </c>
      <c r="AC40">
        <v>1</v>
      </c>
      <c r="AD40">
        <f t="shared" si="24"/>
        <v>744</v>
      </c>
      <c r="AE40">
        <f t="shared" si="2"/>
        <v>416</v>
      </c>
      <c r="AF40">
        <f t="shared" si="3"/>
        <v>328</v>
      </c>
      <c r="AH40">
        <f t="shared" si="10"/>
        <v>744</v>
      </c>
      <c r="AI40">
        <f t="shared" si="11"/>
        <v>368</v>
      </c>
      <c r="AJ40">
        <f t="shared" si="12"/>
        <v>299</v>
      </c>
      <c r="AK40">
        <f t="shared" si="31"/>
        <v>322</v>
      </c>
      <c r="AL40">
        <f t="shared" si="13"/>
        <v>184</v>
      </c>
      <c r="AM40">
        <f t="shared" si="14"/>
        <v>192</v>
      </c>
      <c r="AO40" s="130">
        <f t="shared" si="15"/>
        <v>0.4946236559139785</v>
      </c>
      <c r="AP40" s="130">
        <f t="shared" si="16"/>
        <v>0.24731182795698925</v>
      </c>
      <c r="AQ40" s="130">
        <f t="shared" si="17"/>
        <v>0.25806451612903225</v>
      </c>
      <c r="AR40" s="66">
        <f t="shared" si="18"/>
        <v>0.5053763440860215</v>
      </c>
      <c r="BA40" s="31">
        <f t="shared" si="32"/>
        <v>0.43279569892473119</v>
      </c>
      <c r="BB40" s="10">
        <f t="shared" si="33"/>
        <v>37377</v>
      </c>
    </row>
    <row r="41" spans="1:54" x14ac:dyDescent="0.2">
      <c r="A41" s="10">
        <v>37408</v>
      </c>
      <c r="B41" s="17">
        <v>34.25</v>
      </c>
      <c r="C41" s="17">
        <v>13.7</v>
      </c>
      <c r="D41" s="45">
        <v>33</v>
      </c>
      <c r="E41" s="45">
        <v>24.75</v>
      </c>
      <c r="F41" s="45">
        <f t="shared" si="4"/>
        <v>16.462500000000002</v>
      </c>
      <c r="G41" s="12">
        <f t="shared" si="30"/>
        <v>26.344444444444445</v>
      </c>
      <c r="H41" s="12">
        <f t="shared" si="5"/>
        <v>26.344444444444445</v>
      </c>
      <c r="I41" s="12">
        <f t="shared" si="6"/>
        <v>26.423500000000004</v>
      </c>
      <c r="K41" s="46">
        <v>3.66431575192777</v>
      </c>
      <c r="M41" s="137">
        <v>1.4488226538589999</v>
      </c>
      <c r="N41" s="137">
        <v>6.2341780493275011E-2</v>
      </c>
      <c r="O41" s="14">
        <f t="shared" ca="1" si="7"/>
        <v>0.88872357302434013</v>
      </c>
      <c r="P41" s="49"/>
      <c r="Q41" s="12">
        <f t="shared" si="0"/>
        <v>49.622175894670747</v>
      </c>
      <c r="R41" s="12">
        <f t="shared" si="8"/>
        <v>19.848870357868297</v>
      </c>
      <c r="S41" s="12">
        <f t="shared" si="9"/>
        <v>38.16842791444099</v>
      </c>
      <c r="T41" s="12">
        <f t="shared" si="19"/>
        <v>23.851242939153789</v>
      </c>
      <c r="V41" s="15">
        <f t="shared" si="20"/>
        <v>5</v>
      </c>
      <c r="W41" s="15">
        <f t="shared" si="1"/>
        <v>25</v>
      </c>
      <c r="X41" s="15">
        <f t="shared" si="21"/>
        <v>30</v>
      </c>
      <c r="Y41" s="44">
        <v>5</v>
      </c>
      <c r="Z41" s="44">
        <v>5</v>
      </c>
      <c r="AA41" s="15">
        <f t="shared" si="22"/>
        <v>10</v>
      </c>
      <c r="AB41" s="15">
        <f t="shared" si="23"/>
        <v>20</v>
      </c>
      <c r="AD41">
        <f t="shared" si="24"/>
        <v>720</v>
      </c>
      <c r="AE41">
        <f t="shared" si="2"/>
        <v>400</v>
      </c>
      <c r="AF41">
        <f t="shared" si="3"/>
        <v>320</v>
      </c>
      <c r="AH41">
        <f t="shared" si="10"/>
        <v>720</v>
      </c>
      <c r="AI41">
        <f t="shared" si="11"/>
        <v>320</v>
      </c>
      <c r="AJ41">
        <f t="shared" si="12"/>
        <v>260</v>
      </c>
      <c r="AK41">
        <f t="shared" si="31"/>
        <v>280</v>
      </c>
      <c r="AL41">
        <f t="shared" si="13"/>
        <v>160</v>
      </c>
      <c r="AM41">
        <f t="shared" si="14"/>
        <v>240</v>
      </c>
      <c r="AO41" s="130">
        <f t="shared" si="15"/>
        <v>0.44444444444444442</v>
      </c>
      <c r="AP41" s="130">
        <f t="shared" si="16"/>
        <v>0.22222222222222221</v>
      </c>
      <c r="AQ41" s="130">
        <f t="shared" si="17"/>
        <v>0.33333333333333337</v>
      </c>
      <c r="AR41" s="66">
        <f t="shared" si="18"/>
        <v>0.55555555555555558</v>
      </c>
      <c r="BA41" s="31">
        <f t="shared" si="32"/>
        <v>0.3888888888888889</v>
      </c>
      <c r="BB41" s="10">
        <f t="shared" si="33"/>
        <v>37408</v>
      </c>
    </row>
    <row r="42" spans="1:54" x14ac:dyDescent="0.2">
      <c r="A42" s="10">
        <v>37438</v>
      </c>
      <c r="B42" s="17">
        <v>61.5</v>
      </c>
      <c r="C42" s="17">
        <v>22.95967741935484</v>
      </c>
      <c r="D42" s="45">
        <v>60.412500000000001</v>
      </c>
      <c r="E42" s="45">
        <v>45.309375000000003</v>
      </c>
      <c r="F42" s="45">
        <f t="shared" si="4"/>
        <v>26.20060975609757</v>
      </c>
      <c r="G42" s="12">
        <f t="shared" si="30"/>
        <v>45.937903225806458</v>
      </c>
      <c r="H42" s="12">
        <f t="shared" si="5"/>
        <v>45.937903225806458</v>
      </c>
      <c r="I42" s="12">
        <f t="shared" si="6"/>
        <v>45.968268292682936</v>
      </c>
      <c r="K42" s="46">
        <v>3.6492655886248149</v>
      </c>
      <c r="M42" s="137">
        <v>1.4477888712710003</v>
      </c>
      <c r="N42" s="137">
        <v>6.2383846124741016E-2</v>
      </c>
      <c r="O42" s="14">
        <f t="shared" ca="1" si="7"/>
        <v>0.88424585983989634</v>
      </c>
      <c r="P42" s="49"/>
      <c r="Q42" s="12">
        <f t="shared" si="0"/>
        <v>89.039015583166517</v>
      </c>
      <c r="R42" s="12">
        <f t="shared" si="8"/>
        <v>33.240765455714019</v>
      </c>
      <c r="S42" s="12">
        <f t="shared" si="9"/>
        <v>66.508385059846773</v>
      </c>
      <c r="T42" s="12">
        <f t="shared" si="19"/>
        <v>37.932951225392458</v>
      </c>
      <c r="V42" s="15">
        <f t="shared" si="20"/>
        <v>5</v>
      </c>
      <c r="W42" s="15">
        <f t="shared" si="1"/>
        <v>26</v>
      </c>
      <c r="X42" s="15">
        <f t="shared" si="21"/>
        <v>31</v>
      </c>
      <c r="Y42" s="44">
        <v>4</v>
      </c>
      <c r="Z42" s="44">
        <v>4</v>
      </c>
      <c r="AA42" s="15">
        <f t="shared" si="22"/>
        <v>8</v>
      </c>
      <c r="AB42" s="15">
        <f t="shared" si="23"/>
        <v>23</v>
      </c>
      <c r="AC42">
        <v>1</v>
      </c>
      <c r="AD42">
        <f t="shared" si="24"/>
        <v>744</v>
      </c>
      <c r="AE42">
        <f t="shared" si="2"/>
        <v>416</v>
      </c>
      <c r="AF42">
        <f t="shared" si="3"/>
        <v>328</v>
      </c>
      <c r="AH42">
        <f t="shared" si="10"/>
        <v>744</v>
      </c>
      <c r="AI42">
        <f t="shared" si="11"/>
        <v>368</v>
      </c>
      <c r="AJ42">
        <f t="shared" si="12"/>
        <v>299</v>
      </c>
      <c r="AK42">
        <f t="shared" si="31"/>
        <v>322</v>
      </c>
      <c r="AL42">
        <f t="shared" si="13"/>
        <v>184</v>
      </c>
      <c r="AM42">
        <f t="shared" si="14"/>
        <v>192</v>
      </c>
      <c r="AO42" s="130">
        <f t="shared" si="15"/>
        <v>0.4946236559139785</v>
      </c>
      <c r="AP42" s="130">
        <f t="shared" si="16"/>
        <v>0.24731182795698925</v>
      </c>
      <c r="AQ42" s="130">
        <f t="shared" si="17"/>
        <v>0.25806451612903225</v>
      </c>
      <c r="AR42" s="66">
        <f t="shared" si="18"/>
        <v>0.5053763440860215</v>
      </c>
      <c r="BA42" s="31">
        <f t="shared" si="32"/>
        <v>0.43279569892473119</v>
      </c>
      <c r="BB42" s="10">
        <f t="shared" si="33"/>
        <v>37438</v>
      </c>
    </row>
    <row r="43" spans="1:54" x14ac:dyDescent="0.2">
      <c r="A43" s="10">
        <v>37469</v>
      </c>
      <c r="B43" s="17">
        <v>75</v>
      </c>
      <c r="C43" s="17">
        <v>31.25</v>
      </c>
      <c r="D43" s="45">
        <v>73.912499999999994</v>
      </c>
      <c r="E43" s="45">
        <v>55.434375000000003</v>
      </c>
      <c r="F43" s="45">
        <f t="shared" si="4"/>
        <v>36.210897435897444</v>
      </c>
      <c r="G43" s="12">
        <f t="shared" si="30"/>
        <v>58.733602150537635</v>
      </c>
      <c r="H43" s="12">
        <f t="shared" si="5"/>
        <v>58.733602150537635</v>
      </c>
      <c r="I43" s="12">
        <f t="shared" si="6"/>
        <v>57.932794871794883</v>
      </c>
      <c r="K43" s="46">
        <v>3.6422850859554439</v>
      </c>
      <c r="M43" s="137">
        <v>1.4466449600039999</v>
      </c>
      <c r="N43" s="137">
        <v>6.2396590382493004E-2</v>
      </c>
      <c r="O43" s="14">
        <f t="shared" ca="1" si="7"/>
        <v>0.87969045149766145</v>
      </c>
      <c r="P43" s="49"/>
      <c r="Q43" s="12">
        <f t="shared" si="0"/>
        <v>108.49837200029999</v>
      </c>
      <c r="R43" s="12">
        <f t="shared" si="8"/>
        <v>45.207655000124994</v>
      </c>
      <c r="S43" s="12">
        <f t="shared" si="9"/>
        <v>84.966669533955354</v>
      </c>
      <c r="T43" s="12">
        <f t="shared" si="19"/>
        <v>52.3843122728628</v>
      </c>
      <c r="V43" s="15">
        <f t="shared" si="20"/>
        <v>4</v>
      </c>
      <c r="W43" s="15">
        <f t="shared" si="1"/>
        <v>27</v>
      </c>
      <c r="X43" s="15">
        <f t="shared" si="21"/>
        <v>31</v>
      </c>
      <c r="Y43" s="44">
        <v>5</v>
      </c>
      <c r="Z43" s="44">
        <v>4</v>
      </c>
      <c r="AA43" s="15">
        <f t="shared" si="22"/>
        <v>9</v>
      </c>
      <c r="AB43" s="15">
        <f t="shared" si="23"/>
        <v>22</v>
      </c>
      <c r="AD43">
        <f t="shared" si="24"/>
        <v>744</v>
      </c>
      <c r="AE43">
        <f t="shared" si="2"/>
        <v>432</v>
      </c>
      <c r="AF43">
        <f t="shared" si="3"/>
        <v>312</v>
      </c>
      <c r="AH43">
        <f t="shared" si="10"/>
        <v>744</v>
      </c>
      <c r="AI43">
        <f t="shared" si="11"/>
        <v>352</v>
      </c>
      <c r="AJ43">
        <f t="shared" si="12"/>
        <v>286</v>
      </c>
      <c r="AK43">
        <f t="shared" si="31"/>
        <v>308</v>
      </c>
      <c r="AL43">
        <f t="shared" si="13"/>
        <v>176</v>
      </c>
      <c r="AM43">
        <f t="shared" si="14"/>
        <v>216</v>
      </c>
      <c r="AO43" s="130">
        <f t="shared" si="15"/>
        <v>0.4731182795698925</v>
      </c>
      <c r="AP43" s="130">
        <f t="shared" si="16"/>
        <v>0.23655913978494625</v>
      </c>
      <c r="AQ43" s="130">
        <f t="shared" si="17"/>
        <v>0.29032258064516125</v>
      </c>
      <c r="AR43" s="66">
        <f t="shared" si="18"/>
        <v>0.5268817204301075</v>
      </c>
      <c r="BA43" s="31">
        <f t="shared" si="32"/>
        <v>0.41397849462365593</v>
      </c>
      <c r="BB43" s="10">
        <f t="shared" si="33"/>
        <v>37469</v>
      </c>
    </row>
    <row r="44" spans="1:54" x14ac:dyDescent="0.2">
      <c r="A44" s="10">
        <v>37500</v>
      </c>
      <c r="B44" s="17">
        <v>64.5</v>
      </c>
      <c r="C44" s="17">
        <v>32</v>
      </c>
      <c r="D44" s="45">
        <v>62.25</v>
      </c>
      <c r="E44" s="45">
        <v>46.6875</v>
      </c>
      <c r="F44" s="45">
        <f t="shared" si="4"/>
        <v>33.973214285714285</v>
      </c>
      <c r="G44" s="12">
        <f t="shared" si="30"/>
        <v>50.25416666666667</v>
      </c>
      <c r="H44" s="12">
        <f t="shared" si="5"/>
        <v>50.25416666666667</v>
      </c>
      <c r="I44" s="12">
        <f t="shared" si="6"/>
        <v>51.068214285714291</v>
      </c>
      <c r="K44" s="46">
        <v>3.6189907650675188</v>
      </c>
      <c r="M44" s="137">
        <v>1.4455032807320001</v>
      </c>
      <c r="N44" s="137">
        <v>6.2409334640299012E-2</v>
      </c>
      <c r="O44" s="14">
        <f t="shared" ca="1" si="7"/>
        <v>0.87515672846675319</v>
      </c>
      <c r="P44" s="49"/>
      <c r="Q44" s="12">
        <f t="shared" si="0"/>
        <v>93.234961607214004</v>
      </c>
      <c r="R44" s="12">
        <f t="shared" si="8"/>
        <v>46.256104983424002</v>
      </c>
      <c r="S44" s="12">
        <f t="shared" si="9"/>
        <v>72.642562787119388</v>
      </c>
      <c r="T44" s="12">
        <f t="shared" si="19"/>
        <v>49.108392707011248</v>
      </c>
      <c r="V44" s="15">
        <f t="shared" si="20"/>
        <v>6</v>
      </c>
      <c r="W44" s="15">
        <f t="shared" si="1"/>
        <v>24</v>
      </c>
      <c r="X44" s="15">
        <f t="shared" si="21"/>
        <v>30</v>
      </c>
      <c r="Y44" s="44">
        <v>4</v>
      </c>
      <c r="Z44" s="44">
        <v>5</v>
      </c>
      <c r="AA44" s="15">
        <f t="shared" si="22"/>
        <v>9</v>
      </c>
      <c r="AB44" s="15">
        <f t="shared" si="23"/>
        <v>21</v>
      </c>
      <c r="AC44">
        <v>1</v>
      </c>
      <c r="AD44">
        <f t="shared" si="24"/>
        <v>720</v>
      </c>
      <c r="AE44">
        <f t="shared" si="2"/>
        <v>384</v>
      </c>
      <c r="AF44">
        <f t="shared" si="3"/>
        <v>336</v>
      </c>
      <c r="AH44">
        <f t="shared" si="10"/>
        <v>720</v>
      </c>
      <c r="AI44">
        <f t="shared" si="11"/>
        <v>336</v>
      </c>
      <c r="AJ44">
        <f t="shared" si="12"/>
        <v>273</v>
      </c>
      <c r="AK44">
        <f t="shared" si="31"/>
        <v>294</v>
      </c>
      <c r="AL44">
        <f t="shared" si="13"/>
        <v>168</v>
      </c>
      <c r="AM44">
        <f t="shared" si="14"/>
        <v>216</v>
      </c>
      <c r="AO44" s="130">
        <f t="shared" si="15"/>
        <v>0.46666666666666667</v>
      </c>
      <c r="AP44" s="130">
        <f t="shared" si="16"/>
        <v>0.23333333333333334</v>
      </c>
      <c r="AQ44" s="130">
        <f t="shared" si="17"/>
        <v>0.30000000000000004</v>
      </c>
      <c r="AR44" s="66">
        <f t="shared" si="18"/>
        <v>0.53333333333333344</v>
      </c>
      <c r="BA44" s="31">
        <f t="shared" si="32"/>
        <v>0.40833333333333333</v>
      </c>
      <c r="BB44" s="10">
        <f t="shared" si="33"/>
        <v>37500</v>
      </c>
    </row>
    <row r="45" spans="1:54" x14ac:dyDescent="0.2">
      <c r="A45" s="10">
        <v>37530</v>
      </c>
      <c r="B45" s="17">
        <v>48.75</v>
      </c>
      <c r="C45" s="17">
        <v>32.362903225806448</v>
      </c>
      <c r="D45" s="45">
        <v>47.5</v>
      </c>
      <c r="E45" s="45">
        <v>35.625</v>
      </c>
      <c r="F45" s="45">
        <f t="shared" si="4"/>
        <v>33.032051282051277</v>
      </c>
      <c r="G45" s="12">
        <f t="shared" si="30"/>
        <v>42.158602150537632</v>
      </c>
      <c r="H45" s="12">
        <f t="shared" si="5"/>
        <v>42.158602150537632</v>
      </c>
      <c r="I45" s="12">
        <f t="shared" si="6"/>
        <v>41.834102564102565</v>
      </c>
      <c r="K45" s="46">
        <v>3.6393689042128607</v>
      </c>
      <c r="M45" s="137">
        <v>1.4444112269180003</v>
      </c>
      <c r="N45" s="137">
        <v>6.2421667793065003E-2</v>
      </c>
      <c r="O45" s="14">
        <f t="shared" ca="1" si="7"/>
        <v>0.87078981398590283</v>
      </c>
      <c r="P45" s="49"/>
      <c r="Q45" s="12">
        <f t="shared" si="0"/>
        <v>70.415047312252511</v>
      </c>
      <c r="R45" s="12">
        <f t="shared" si="8"/>
        <v>46.745340755015604</v>
      </c>
      <c r="S45" s="12">
        <f t="shared" si="9"/>
        <v>60.894358257405905</v>
      </c>
      <c r="T45" s="12">
        <f t="shared" si="19"/>
        <v>47.711865719925989</v>
      </c>
      <c r="V45" s="15">
        <f t="shared" si="20"/>
        <v>4</v>
      </c>
      <c r="W45" s="15">
        <f t="shared" si="1"/>
        <v>27</v>
      </c>
      <c r="X45" s="15">
        <f t="shared" si="21"/>
        <v>31</v>
      </c>
      <c r="Y45" s="44">
        <v>4</v>
      </c>
      <c r="Z45" s="44">
        <v>4</v>
      </c>
      <c r="AA45" s="15">
        <f t="shared" si="22"/>
        <v>8</v>
      </c>
      <c r="AB45" s="15">
        <f t="shared" si="23"/>
        <v>23</v>
      </c>
      <c r="AD45">
        <f t="shared" si="24"/>
        <v>744</v>
      </c>
      <c r="AE45">
        <f t="shared" si="2"/>
        <v>432</v>
      </c>
      <c r="AF45">
        <f t="shared" si="3"/>
        <v>312</v>
      </c>
      <c r="AH45">
        <f t="shared" si="10"/>
        <v>744</v>
      </c>
      <c r="AI45">
        <f t="shared" si="11"/>
        <v>368</v>
      </c>
      <c r="AJ45">
        <f t="shared" si="12"/>
        <v>299</v>
      </c>
      <c r="AK45">
        <f t="shared" si="31"/>
        <v>322</v>
      </c>
      <c r="AL45">
        <f t="shared" si="13"/>
        <v>184</v>
      </c>
      <c r="AM45">
        <f t="shared" si="14"/>
        <v>192</v>
      </c>
      <c r="AO45" s="130">
        <f t="shared" si="15"/>
        <v>0.4946236559139785</v>
      </c>
      <c r="AP45" s="130">
        <f t="shared" si="16"/>
        <v>0.24731182795698925</v>
      </c>
      <c r="AQ45" s="130">
        <f t="shared" si="17"/>
        <v>0.25806451612903225</v>
      </c>
      <c r="AR45" s="66">
        <f t="shared" si="18"/>
        <v>0.5053763440860215</v>
      </c>
      <c r="BA45" s="31">
        <f t="shared" si="32"/>
        <v>0.43279569892473119</v>
      </c>
      <c r="BB45" s="10">
        <f t="shared" si="33"/>
        <v>37530</v>
      </c>
    </row>
    <row r="46" spans="1:54" x14ac:dyDescent="0.2">
      <c r="A46" s="10">
        <v>37561</v>
      </c>
      <c r="B46" s="17">
        <v>44.75</v>
      </c>
      <c r="C46" s="17">
        <v>32.4375</v>
      </c>
      <c r="D46" s="45">
        <v>43.5</v>
      </c>
      <c r="E46" s="45">
        <v>32.625</v>
      </c>
      <c r="F46" s="45">
        <f t="shared" si="4"/>
        <v>30.853125000000002</v>
      </c>
      <c r="G46" s="12">
        <f t="shared" si="30"/>
        <v>38.573611111111113</v>
      </c>
      <c r="H46" s="12">
        <f t="shared" si="5"/>
        <v>38.573611111111113</v>
      </c>
      <c r="I46" s="12">
        <f t="shared" si="6"/>
        <v>38.635375000000003</v>
      </c>
      <c r="K46" s="46">
        <v>3.7575027317193648</v>
      </c>
      <c r="M46" s="137">
        <v>1.4433016283170002</v>
      </c>
      <c r="N46" s="137">
        <v>6.2434412050977002E-2</v>
      </c>
      <c r="O46" s="14">
        <f t="shared" ca="1" si="7"/>
        <v>0.86629848994563052</v>
      </c>
      <c r="P46" s="49"/>
      <c r="Q46" s="12">
        <f t="shared" si="0"/>
        <v>64.587747867185755</v>
      </c>
      <c r="R46" s="12">
        <f t="shared" si="8"/>
        <v>46.817096568532691</v>
      </c>
      <c r="S46" s="12">
        <f t="shared" si="9"/>
        <v>55.673355726733398</v>
      </c>
      <c r="T46" s="12">
        <f t="shared" si="19"/>
        <v>44.530365551167947</v>
      </c>
      <c r="V46" s="15">
        <f t="shared" si="20"/>
        <v>5</v>
      </c>
      <c r="W46" s="15">
        <f t="shared" si="1"/>
        <v>25</v>
      </c>
      <c r="X46" s="15">
        <f t="shared" si="21"/>
        <v>30</v>
      </c>
      <c r="Y46" s="44">
        <v>5</v>
      </c>
      <c r="Z46" s="44">
        <v>4</v>
      </c>
      <c r="AA46" s="15">
        <f t="shared" si="22"/>
        <v>9</v>
      </c>
      <c r="AB46" s="15">
        <f t="shared" si="23"/>
        <v>21</v>
      </c>
      <c r="AC46">
        <v>1</v>
      </c>
      <c r="AD46">
        <f t="shared" si="24"/>
        <v>720</v>
      </c>
      <c r="AE46">
        <f t="shared" si="2"/>
        <v>400</v>
      </c>
      <c r="AF46">
        <f t="shared" si="3"/>
        <v>320</v>
      </c>
      <c r="AH46">
        <f t="shared" si="10"/>
        <v>720</v>
      </c>
      <c r="AI46">
        <f t="shared" si="11"/>
        <v>336</v>
      </c>
      <c r="AJ46">
        <f t="shared" si="12"/>
        <v>273</v>
      </c>
      <c r="AK46">
        <f t="shared" si="31"/>
        <v>294</v>
      </c>
      <c r="AL46">
        <f t="shared" si="13"/>
        <v>168</v>
      </c>
      <c r="AM46">
        <f t="shared" si="14"/>
        <v>216</v>
      </c>
      <c r="AO46" s="130">
        <f t="shared" si="15"/>
        <v>0.46666666666666667</v>
      </c>
      <c r="AP46" s="130">
        <f t="shared" si="16"/>
        <v>0.23333333333333334</v>
      </c>
      <c r="AQ46" s="130">
        <f t="shared" si="17"/>
        <v>0.30000000000000004</v>
      </c>
      <c r="AR46" s="66">
        <f t="shared" si="18"/>
        <v>0.53333333333333344</v>
      </c>
      <c r="BA46" s="31">
        <f t="shared" si="32"/>
        <v>0.40833333333333333</v>
      </c>
      <c r="BB46" s="10">
        <f t="shared" si="33"/>
        <v>37561</v>
      </c>
    </row>
    <row r="47" spans="1:54" x14ac:dyDescent="0.2">
      <c r="A47" s="10">
        <v>37591</v>
      </c>
      <c r="B47" s="17">
        <v>44.75</v>
      </c>
      <c r="C47" s="17">
        <v>29.612903225806448</v>
      </c>
      <c r="D47" s="45">
        <v>43.5</v>
      </c>
      <c r="E47" s="45">
        <v>32.625</v>
      </c>
      <c r="F47" s="45">
        <f t="shared" si="4"/>
        <v>28.936046511627907</v>
      </c>
      <c r="G47" s="12">
        <f t="shared" si="30"/>
        <v>37.438172043010752</v>
      </c>
      <c r="H47" s="12">
        <f t="shared" si="5"/>
        <v>37.438172043010752</v>
      </c>
      <c r="I47" s="12">
        <f t="shared" si="6"/>
        <v>37.791860465116279</v>
      </c>
      <c r="K47" s="46">
        <v>3.8918568573724142</v>
      </c>
      <c r="M47" s="137">
        <v>1.4422317505260001</v>
      </c>
      <c r="N47" s="137">
        <v>6.2446745203846028E-2</v>
      </c>
      <c r="O47" s="14">
        <f t="shared" ca="1" si="7"/>
        <v>0.8619724328990046</v>
      </c>
      <c r="P47" s="49"/>
      <c r="Q47" s="12">
        <f t="shared" si="0"/>
        <v>64.539870836038503</v>
      </c>
      <c r="R47" s="12">
        <f t="shared" si="8"/>
        <v>42.708669257511865</v>
      </c>
      <c r="S47" s="12">
        <f t="shared" si="9"/>
        <v>53.994520402084952</v>
      </c>
      <c r="T47" s="12">
        <f t="shared" si="19"/>
        <v>41.732485013766876</v>
      </c>
      <c r="V47" s="15">
        <f t="shared" si="20"/>
        <v>6</v>
      </c>
      <c r="W47" s="15">
        <f t="shared" si="1"/>
        <v>25</v>
      </c>
      <c r="X47" s="15">
        <f t="shared" si="21"/>
        <v>31</v>
      </c>
      <c r="Y47" s="44">
        <v>4</v>
      </c>
      <c r="Z47" s="44">
        <v>5</v>
      </c>
      <c r="AA47" s="15">
        <f t="shared" si="22"/>
        <v>9</v>
      </c>
      <c r="AB47" s="15">
        <f t="shared" si="23"/>
        <v>22</v>
      </c>
      <c r="AC47">
        <v>1</v>
      </c>
      <c r="AD47">
        <f t="shared" si="24"/>
        <v>744</v>
      </c>
      <c r="AE47">
        <f t="shared" si="2"/>
        <v>400</v>
      </c>
      <c r="AF47">
        <f t="shared" si="3"/>
        <v>344</v>
      </c>
      <c r="AH47">
        <f t="shared" si="10"/>
        <v>744</v>
      </c>
      <c r="AI47">
        <f t="shared" si="11"/>
        <v>352</v>
      </c>
      <c r="AJ47">
        <f t="shared" si="12"/>
        <v>286</v>
      </c>
      <c r="AK47">
        <f t="shared" si="31"/>
        <v>308</v>
      </c>
      <c r="AL47">
        <f t="shared" si="13"/>
        <v>176</v>
      </c>
      <c r="AM47">
        <f t="shared" si="14"/>
        <v>216</v>
      </c>
      <c r="AO47" s="130">
        <f t="shared" si="15"/>
        <v>0.4731182795698925</v>
      </c>
      <c r="AP47" s="130">
        <f t="shared" si="16"/>
        <v>0.23655913978494625</v>
      </c>
      <c r="AQ47" s="130">
        <f t="shared" si="17"/>
        <v>0.29032258064516125</v>
      </c>
      <c r="AR47" s="66">
        <f t="shared" si="18"/>
        <v>0.5268817204301075</v>
      </c>
      <c r="BA47" s="31">
        <f t="shared" si="32"/>
        <v>0.41397849462365593</v>
      </c>
      <c r="BB47" s="10">
        <f t="shared" si="33"/>
        <v>37591</v>
      </c>
    </row>
    <row r="48" spans="1:54" x14ac:dyDescent="0.2">
      <c r="A48" s="10">
        <v>37622</v>
      </c>
      <c r="B48" s="17">
        <v>31.5</v>
      </c>
      <c r="C48" s="17">
        <v>27.637096774193544</v>
      </c>
      <c r="D48" s="45">
        <v>31.5</v>
      </c>
      <c r="E48" s="45">
        <v>23.625</v>
      </c>
      <c r="F48" s="45">
        <f t="shared" si="4"/>
        <v>25.506097560975611</v>
      </c>
      <c r="G48" s="12">
        <f t="shared" si="30"/>
        <v>28.857526881720432</v>
      </c>
      <c r="H48" s="12">
        <f t="shared" si="5"/>
        <v>28.857526881720432</v>
      </c>
      <c r="I48" s="12">
        <f t="shared" si="6"/>
        <v>28.862682926829269</v>
      </c>
      <c r="K48" s="46">
        <v>3.9105489330608791</v>
      </c>
      <c r="M48" s="137">
        <v>1.4411147932570003</v>
      </c>
      <c r="N48" s="137">
        <v>6.2459489461864005E-2</v>
      </c>
      <c r="O48" s="14">
        <f t="shared" ca="1" si="7"/>
        <v>0.85752314923066164</v>
      </c>
      <c r="P48" s="49"/>
      <c r="Q48" s="12">
        <f t="shared" si="0"/>
        <v>45.39511598759551</v>
      </c>
      <c r="R48" s="12">
        <f t="shared" si="8"/>
        <v>39.828229003965639</v>
      </c>
      <c r="S48" s="12">
        <f t="shared" si="9"/>
        <v>41.587008886058868</v>
      </c>
      <c r="T48" s="12">
        <f t="shared" si="19"/>
        <v>36.757214513378251</v>
      </c>
      <c r="V48" s="15">
        <f t="shared" si="20"/>
        <v>5</v>
      </c>
      <c r="W48" s="15">
        <f t="shared" si="1"/>
        <v>26</v>
      </c>
      <c r="X48" s="15">
        <f t="shared" si="21"/>
        <v>31</v>
      </c>
      <c r="Y48" s="43">
        <v>4</v>
      </c>
      <c r="Z48" s="43">
        <v>4</v>
      </c>
      <c r="AA48" s="15">
        <f t="shared" si="22"/>
        <v>8</v>
      </c>
      <c r="AB48" s="15">
        <f t="shared" si="23"/>
        <v>23</v>
      </c>
      <c r="AC48">
        <v>1</v>
      </c>
      <c r="AD48">
        <f t="shared" si="24"/>
        <v>744</v>
      </c>
      <c r="AE48">
        <f t="shared" si="2"/>
        <v>416</v>
      </c>
      <c r="AF48">
        <f t="shared" si="3"/>
        <v>328</v>
      </c>
      <c r="AH48">
        <f t="shared" si="10"/>
        <v>744</v>
      </c>
      <c r="AI48">
        <f t="shared" si="11"/>
        <v>368</v>
      </c>
      <c r="AJ48">
        <f t="shared" si="12"/>
        <v>299</v>
      </c>
      <c r="AK48">
        <f t="shared" si="31"/>
        <v>322</v>
      </c>
      <c r="AL48">
        <f t="shared" si="13"/>
        <v>184</v>
      </c>
      <c r="AM48">
        <f t="shared" si="14"/>
        <v>192</v>
      </c>
      <c r="AO48" s="130">
        <f t="shared" si="15"/>
        <v>0.4946236559139785</v>
      </c>
      <c r="AP48" s="130">
        <f t="shared" si="16"/>
        <v>0.24731182795698925</v>
      </c>
      <c r="AQ48" s="130">
        <f t="shared" si="17"/>
        <v>0.25806451612903225</v>
      </c>
      <c r="AR48" s="66">
        <f t="shared" si="18"/>
        <v>0.5053763440860215</v>
      </c>
      <c r="BA48" s="31">
        <f t="shared" si="32"/>
        <v>0.43279569892473119</v>
      </c>
      <c r="BB48" s="10">
        <f t="shared" si="33"/>
        <v>37622</v>
      </c>
    </row>
    <row r="49" spans="1:54" x14ac:dyDescent="0.2">
      <c r="A49" s="10">
        <v>37653</v>
      </c>
      <c r="B49" s="17">
        <v>29.5</v>
      </c>
      <c r="C49" s="17">
        <v>25.714285714285708</v>
      </c>
      <c r="D49" s="45">
        <v>29.5</v>
      </c>
      <c r="E49" s="45">
        <v>22.125</v>
      </c>
      <c r="F49" s="45">
        <f t="shared" si="4"/>
        <v>24.916666666666664</v>
      </c>
      <c r="G49" s="12">
        <f t="shared" si="30"/>
        <v>27.535714285714285</v>
      </c>
      <c r="H49" s="12">
        <f t="shared" si="5"/>
        <v>27.535714285714285</v>
      </c>
      <c r="I49" s="12">
        <f t="shared" si="6"/>
        <v>27.483333333333334</v>
      </c>
      <c r="K49" s="46">
        <v>3.7312237509966191</v>
      </c>
      <c r="M49" s="137">
        <v>1.4399815456979999</v>
      </c>
      <c r="N49" s="137">
        <v>6.2472233719936002E-2</v>
      </c>
      <c r="O49" s="14">
        <f t="shared" ca="1" si="7"/>
        <v>0.85309509375392001</v>
      </c>
      <c r="P49" s="49"/>
      <c r="Q49" s="12">
        <f t="shared" si="0"/>
        <v>42.479455598090993</v>
      </c>
      <c r="R49" s="12">
        <f t="shared" si="8"/>
        <v>37.028096889377132</v>
      </c>
      <c r="S49" s="12">
        <f t="shared" si="9"/>
        <v>39.650920419041348</v>
      </c>
      <c r="T49" s="12">
        <f t="shared" si="19"/>
        <v>35.879540180308496</v>
      </c>
      <c r="V49" s="15">
        <f t="shared" si="20"/>
        <v>4</v>
      </c>
      <c r="W49" s="15">
        <f t="shared" si="1"/>
        <v>24</v>
      </c>
      <c r="X49" s="15">
        <f t="shared" si="21"/>
        <v>28</v>
      </c>
      <c r="Y49" s="44">
        <v>4</v>
      </c>
      <c r="Z49" s="44">
        <v>4</v>
      </c>
      <c r="AA49" s="15">
        <f t="shared" si="22"/>
        <v>8</v>
      </c>
      <c r="AB49" s="15">
        <f t="shared" si="23"/>
        <v>20</v>
      </c>
      <c r="AD49">
        <f t="shared" si="24"/>
        <v>672</v>
      </c>
      <c r="AE49">
        <f t="shared" si="2"/>
        <v>384</v>
      </c>
      <c r="AF49">
        <f t="shared" si="3"/>
        <v>288</v>
      </c>
      <c r="AH49">
        <f t="shared" si="10"/>
        <v>672</v>
      </c>
      <c r="AI49">
        <f t="shared" si="11"/>
        <v>320</v>
      </c>
      <c r="AJ49">
        <f t="shared" si="12"/>
        <v>260</v>
      </c>
      <c r="AK49">
        <f t="shared" si="31"/>
        <v>280</v>
      </c>
      <c r="AL49">
        <f t="shared" si="13"/>
        <v>160</v>
      </c>
      <c r="AM49">
        <f t="shared" si="14"/>
        <v>192</v>
      </c>
      <c r="AO49" s="130">
        <f t="shared" si="15"/>
        <v>0.47619047619047616</v>
      </c>
      <c r="AP49" s="130">
        <f t="shared" si="16"/>
        <v>0.23809523809523808</v>
      </c>
      <c r="AQ49" s="130">
        <f t="shared" si="17"/>
        <v>0.28571428571428581</v>
      </c>
      <c r="AR49" s="66">
        <f t="shared" si="18"/>
        <v>0.52380952380952395</v>
      </c>
      <c r="BA49" s="31">
        <f t="shared" si="32"/>
        <v>0.41666666666666669</v>
      </c>
      <c r="BB49" s="10">
        <f t="shared" si="33"/>
        <v>37653</v>
      </c>
    </row>
    <row r="50" spans="1:54" x14ac:dyDescent="0.2">
      <c r="A50" s="10">
        <v>37681</v>
      </c>
      <c r="B50" s="17">
        <v>27.5</v>
      </c>
      <c r="C50" s="17">
        <v>23.645161290322577</v>
      </c>
      <c r="D50" s="45">
        <v>27.5</v>
      </c>
      <c r="E50" s="45">
        <v>20.625</v>
      </c>
      <c r="F50" s="45">
        <f t="shared" si="4"/>
        <v>22.908536585365855</v>
      </c>
      <c r="G50" s="12">
        <f t="shared" si="30"/>
        <v>25.475806451612904</v>
      </c>
      <c r="H50" s="12">
        <f t="shared" si="5"/>
        <v>25.475806451612904</v>
      </c>
      <c r="I50" s="12">
        <f t="shared" si="6"/>
        <v>25.47975609756098</v>
      </c>
      <c r="K50" s="46">
        <v>3.5429698740445339</v>
      </c>
      <c r="M50" s="137">
        <v>1.4389595800100003</v>
      </c>
      <c r="N50" s="137">
        <v>6.2483744662757003E-2</v>
      </c>
      <c r="O50" s="14">
        <f t="shared" ca="1" si="7"/>
        <v>0.84911372966589993</v>
      </c>
      <c r="P50" s="49"/>
      <c r="Q50" s="12">
        <f t="shared" si="0"/>
        <v>39.571388450275009</v>
      </c>
      <c r="R50" s="12">
        <f t="shared" si="8"/>
        <v>34.02443135959129</v>
      </c>
      <c r="S50" s="12">
        <f t="shared" si="9"/>
        <v>36.658655752028963</v>
      </c>
      <c r="T50" s="12">
        <f t="shared" si="19"/>
        <v>32.964458183521778</v>
      </c>
      <c r="V50" s="15">
        <f t="shared" si="20"/>
        <v>5</v>
      </c>
      <c r="W50" s="15">
        <f t="shared" si="1"/>
        <v>26</v>
      </c>
      <c r="X50" s="15">
        <f t="shared" si="21"/>
        <v>31</v>
      </c>
      <c r="Y50" s="44">
        <v>5</v>
      </c>
      <c r="Z50" s="44">
        <v>5</v>
      </c>
      <c r="AA50" s="15">
        <f t="shared" si="22"/>
        <v>10</v>
      </c>
      <c r="AB50" s="15">
        <f t="shared" si="23"/>
        <v>21</v>
      </c>
      <c r="AD50">
        <f t="shared" si="24"/>
        <v>744</v>
      </c>
      <c r="AE50">
        <f t="shared" si="2"/>
        <v>416</v>
      </c>
      <c r="AF50">
        <f t="shared" si="3"/>
        <v>328</v>
      </c>
      <c r="AH50">
        <f t="shared" si="10"/>
        <v>744</v>
      </c>
      <c r="AI50">
        <f t="shared" si="11"/>
        <v>336</v>
      </c>
      <c r="AJ50">
        <f t="shared" si="12"/>
        <v>273</v>
      </c>
      <c r="AK50">
        <f t="shared" si="31"/>
        <v>294</v>
      </c>
      <c r="AL50">
        <f t="shared" si="13"/>
        <v>168</v>
      </c>
      <c r="AM50">
        <f t="shared" si="14"/>
        <v>240</v>
      </c>
      <c r="AO50" s="130">
        <f t="shared" si="15"/>
        <v>0.45161290322580644</v>
      </c>
      <c r="AP50" s="130">
        <f t="shared" si="16"/>
        <v>0.22580645161290322</v>
      </c>
      <c r="AQ50" s="130">
        <f t="shared" si="17"/>
        <v>0.32258064516129037</v>
      </c>
      <c r="AR50" s="66">
        <f t="shared" si="18"/>
        <v>0.54838709677419362</v>
      </c>
      <c r="BA50" s="31">
        <f t="shared" si="32"/>
        <v>0.39516129032258063</v>
      </c>
      <c r="BB50" s="10">
        <f t="shared" si="33"/>
        <v>37681</v>
      </c>
    </row>
    <row r="51" spans="1:54" x14ac:dyDescent="0.2">
      <c r="A51" s="10">
        <v>37712</v>
      </c>
      <c r="B51" s="17">
        <v>27.25</v>
      </c>
      <c r="C51" s="17">
        <v>16.904199999999999</v>
      </c>
      <c r="D51" s="45">
        <v>27.25</v>
      </c>
      <c r="E51" s="45">
        <v>20.4375</v>
      </c>
      <c r="F51" s="45">
        <f t="shared" si="4"/>
        <v>17.648052631578953</v>
      </c>
      <c r="G51" s="12">
        <f t="shared" si="30"/>
        <v>23.195844444444447</v>
      </c>
      <c r="H51" s="12">
        <f t="shared" si="5"/>
        <v>23.195844444444447</v>
      </c>
      <c r="I51" s="12">
        <f t="shared" si="6"/>
        <v>23.025143157894739</v>
      </c>
      <c r="K51" s="46">
        <v>3.2519238089976281</v>
      </c>
      <c r="M51" s="137">
        <v>1.4378665403890001</v>
      </c>
      <c r="N51" s="137">
        <v>6.2496488920932007E-2</v>
      </c>
      <c r="O51" s="14">
        <f t="shared" ca="1" si="7"/>
        <v>0.84472582347205627</v>
      </c>
      <c r="P51" s="49"/>
      <c r="Q51" s="12">
        <f t="shared" si="0"/>
        <v>39.181863225600253</v>
      </c>
      <c r="R51" s="12">
        <f t="shared" si="8"/>
        <v>24.305983572043733</v>
      </c>
      <c r="S51" s="12">
        <f t="shared" si="9"/>
        <v>33.352528602734743</v>
      </c>
      <c r="T51" s="12">
        <f t="shared" si="19"/>
        <v>25.375544381971416</v>
      </c>
      <c r="V51" s="15">
        <f t="shared" si="20"/>
        <v>4</v>
      </c>
      <c r="W51" s="15">
        <f t="shared" si="1"/>
        <v>26</v>
      </c>
      <c r="X51" s="15">
        <f t="shared" si="21"/>
        <v>30</v>
      </c>
      <c r="Y51" s="44">
        <v>4</v>
      </c>
      <c r="Z51" s="44">
        <v>4</v>
      </c>
      <c r="AA51" s="15">
        <f t="shared" si="22"/>
        <v>8</v>
      </c>
      <c r="AB51" s="15">
        <f t="shared" si="23"/>
        <v>22</v>
      </c>
      <c r="AD51">
        <f t="shared" si="24"/>
        <v>720</v>
      </c>
      <c r="AE51">
        <f t="shared" si="2"/>
        <v>416</v>
      </c>
      <c r="AF51">
        <f t="shared" si="3"/>
        <v>304</v>
      </c>
      <c r="AH51">
        <f t="shared" si="10"/>
        <v>720</v>
      </c>
      <c r="AI51">
        <f t="shared" si="11"/>
        <v>352</v>
      </c>
      <c r="AJ51">
        <f t="shared" si="12"/>
        <v>286</v>
      </c>
      <c r="AK51">
        <f t="shared" si="31"/>
        <v>308</v>
      </c>
      <c r="AL51">
        <f t="shared" si="13"/>
        <v>176</v>
      </c>
      <c r="AM51">
        <f t="shared" si="14"/>
        <v>192</v>
      </c>
      <c r="AO51" s="130">
        <f t="shared" si="15"/>
        <v>0.48888888888888887</v>
      </c>
      <c r="AP51" s="130">
        <f t="shared" si="16"/>
        <v>0.24444444444444444</v>
      </c>
      <c r="AQ51" s="130">
        <f t="shared" si="17"/>
        <v>0.26666666666666672</v>
      </c>
      <c r="AR51" s="66">
        <f t="shared" si="18"/>
        <v>0.51111111111111118</v>
      </c>
      <c r="BA51" s="31">
        <f t="shared" si="32"/>
        <v>0.42777777777777776</v>
      </c>
      <c r="BB51" s="10">
        <f t="shared" si="33"/>
        <v>37712</v>
      </c>
    </row>
    <row r="52" spans="1:54" x14ac:dyDescent="0.2">
      <c r="A52" s="10">
        <v>37742</v>
      </c>
      <c r="B52" s="17">
        <v>26.75</v>
      </c>
      <c r="C52" s="17">
        <v>9.5685483870967722</v>
      </c>
      <c r="D52" s="45">
        <v>25.5</v>
      </c>
      <c r="E52" s="45">
        <v>19.125</v>
      </c>
      <c r="F52" s="45">
        <f t="shared" si="4"/>
        <v>10.966463414634147</v>
      </c>
      <c r="G52" s="12">
        <f t="shared" si="30"/>
        <v>19.791666666666668</v>
      </c>
      <c r="H52" s="12">
        <f t="shared" si="5"/>
        <v>19.791666666666668</v>
      </c>
      <c r="I52" s="12">
        <f t="shared" si="6"/>
        <v>19.805243902439027</v>
      </c>
      <c r="K52" s="46">
        <v>3.2117830648055627</v>
      </c>
      <c r="M52" s="137">
        <v>1.4368619653630001</v>
      </c>
      <c r="N52" s="137">
        <v>6.2508822074054018E-2</v>
      </c>
      <c r="O52" s="14">
        <f t="shared" ca="1" si="7"/>
        <v>0.84049942335352157</v>
      </c>
      <c r="P52" s="49"/>
      <c r="Q52" s="12">
        <f t="shared" si="0"/>
        <v>38.436057573460253</v>
      </c>
      <c r="R52" s="12">
        <f t="shared" si="8"/>
        <v>13.748683241154833</v>
      </c>
      <c r="S52" s="12">
        <f t="shared" si="9"/>
        <v>28.437893064476047</v>
      </c>
      <c r="T52" s="12">
        <f t="shared" si="19"/>
        <v>15.757294175032657</v>
      </c>
      <c r="V52" s="15">
        <f t="shared" si="20"/>
        <v>5</v>
      </c>
      <c r="W52" s="15">
        <f t="shared" si="1"/>
        <v>26</v>
      </c>
      <c r="X52" s="15">
        <f t="shared" si="21"/>
        <v>31</v>
      </c>
      <c r="Y52" s="44">
        <v>5</v>
      </c>
      <c r="Z52" s="44">
        <v>4</v>
      </c>
      <c r="AA52" s="15">
        <f t="shared" si="22"/>
        <v>9</v>
      </c>
      <c r="AB52" s="15">
        <f t="shared" si="23"/>
        <v>22</v>
      </c>
      <c r="AC52">
        <v>1</v>
      </c>
      <c r="AD52">
        <f t="shared" si="24"/>
        <v>744</v>
      </c>
      <c r="AE52">
        <f t="shared" si="2"/>
        <v>416</v>
      </c>
      <c r="AF52">
        <f t="shared" si="3"/>
        <v>328</v>
      </c>
      <c r="AH52">
        <f t="shared" si="10"/>
        <v>744</v>
      </c>
      <c r="AI52">
        <f t="shared" si="11"/>
        <v>352</v>
      </c>
      <c r="AJ52">
        <f t="shared" si="12"/>
        <v>286</v>
      </c>
      <c r="AK52">
        <f t="shared" si="31"/>
        <v>308</v>
      </c>
      <c r="AL52">
        <f t="shared" si="13"/>
        <v>176</v>
      </c>
      <c r="AM52">
        <f t="shared" si="14"/>
        <v>216</v>
      </c>
      <c r="AO52" s="130">
        <f t="shared" si="15"/>
        <v>0.4731182795698925</v>
      </c>
      <c r="AP52" s="130">
        <f t="shared" si="16"/>
        <v>0.23655913978494625</v>
      </c>
      <c r="AQ52" s="130">
        <f t="shared" si="17"/>
        <v>0.29032258064516125</v>
      </c>
      <c r="AR52" s="66">
        <f t="shared" si="18"/>
        <v>0.5268817204301075</v>
      </c>
      <c r="BA52" s="31">
        <f t="shared" si="32"/>
        <v>0.41397849462365593</v>
      </c>
      <c r="BB52" s="10">
        <f t="shared" si="33"/>
        <v>37742</v>
      </c>
    </row>
    <row r="53" spans="1:54" x14ac:dyDescent="0.2">
      <c r="A53" s="10">
        <v>37773</v>
      </c>
      <c r="B53" s="17">
        <v>27.75</v>
      </c>
      <c r="C53" s="17">
        <v>9.1999999999999993</v>
      </c>
      <c r="D53" s="45">
        <v>26.5</v>
      </c>
      <c r="E53" s="45">
        <v>19.875</v>
      </c>
      <c r="F53" s="45">
        <f t="shared" si="4"/>
        <v>11.86875</v>
      </c>
      <c r="G53" s="12">
        <f t="shared" si="30"/>
        <v>20.691666666666666</v>
      </c>
      <c r="H53" s="12">
        <f t="shared" si="5"/>
        <v>20.691666666666666</v>
      </c>
      <c r="I53" s="12">
        <f t="shared" si="6"/>
        <v>20.762250000000002</v>
      </c>
      <c r="K53" s="46">
        <v>3.2135507734427087</v>
      </c>
      <c r="M53" s="137">
        <v>1.4358307583200005</v>
      </c>
      <c r="N53" s="137">
        <v>6.2521566332334993E-2</v>
      </c>
      <c r="O53" s="14">
        <f t="shared" ca="1" si="7"/>
        <v>0.83615268111994523</v>
      </c>
      <c r="P53" s="49"/>
      <c r="Q53" s="12">
        <f t="shared" si="0"/>
        <v>39.844303543380015</v>
      </c>
      <c r="R53" s="12">
        <f t="shared" si="8"/>
        <v>13.209642976544004</v>
      </c>
      <c r="S53" s="12">
        <f t="shared" si="9"/>
        <v>29.709731440904676</v>
      </c>
      <c r="T53" s="12">
        <f t="shared" si="19"/>
        <v>17.041516312810508</v>
      </c>
      <c r="V53" s="15">
        <f t="shared" si="20"/>
        <v>5</v>
      </c>
      <c r="W53" s="15">
        <f t="shared" si="1"/>
        <v>25</v>
      </c>
      <c r="X53" s="15">
        <f t="shared" si="21"/>
        <v>30</v>
      </c>
      <c r="Y53" s="44">
        <v>4</v>
      </c>
      <c r="Z53" s="44">
        <v>5</v>
      </c>
      <c r="AA53" s="15">
        <f t="shared" si="22"/>
        <v>9</v>
      </c>
      <c r="AB53" s="15">
        <f t="shared" si="23"/>
        <v>21</v>
      </c>
      <c r="AD53">
        <f t="shared" si="24"/>
        <v>720</v>
      </c>
      <c r="AE53">
        <f t="shared" si="2"/>
        <v>400</v>
      </c>
      <c r="AF53">
        <f t="shared" si="3"/>
        <v>320</v>
      </c>
      <c r="AH53">
        <f t="shared" si="10"/>
        <v>720</v>
      </c>
      <c r="AI53">
        <f t="shared" si="11"/>
        <v>336</v>
      </c>
      <c r="AJ53">
        <f t="shared" si="12"/>
        <v>273</v>
      </c>
      <c r="AK53">
        <f t="shared" si="31"/>
        <v>294</v>
      </c>
      <c r="AL53">
        <f t="shared" si="13"/>
        <v>168</v>
      </c>
      <c r="AM53">
        <f t="shared" si="14"/>
        <v>216</v>
      </c>
      <c r="AO53" s="130">
        <f t="shared" si="15"/>
        <v>0.46666666666666667</v>
      </c>
      <c r="AP53" s="130">
        <f t="shared" si="16"/>
        <v>0.23333333333333334</v>
      </c>
      <c r="AQ53" s="130">
        <f t="shared" si="17"/>
        <v>0.30000000000000004</v>
      </c>
      <c r="AR53" s="66">
        <f t="shared" si="18"/>
        <v>0.53333333333333344</v>
      </c>
      <c r="BA53" s="31">
        <f t="shared" si="32"/>
        <v>0.40833333333333333</v>
      </c>
      <c r="BB53" s="10">
        <f t="shared" si="33"/>
        <v>37773</v>
      </c>
    </row>
    <row r="54" spans="1:54" x14ac:dyDescent="0.2">
      <c r="A54" s="10">
        <v>37803</v>
      </c>
      <c r="B54" s="17">
        <v>55.975000000000001</v>
      </c>
      <c r="C54" s="17">
        <v>18.45967741935484</v>
      </c>
      <c r="D54" s="45">
        <v>54.887500000000003</v>
      </c>
      <c r="E54" s="45">
        <v>41.165624999999999</v>
      </c>
      <c r="F54" s="45">
        <f t="shared" si="4"/>
        <v>21.989634146341459</v>
      </c>
      <c r="G54" s="12">
        <f t="shared" si="30"/>
        <v>40.992204301075269</v>
      </c>
      <c r="H54" s="12">
        <f t="shared" si="5"/>
        <v>40.992204301075269</v>
      </c>
      <c r="I54" s="12">
        <f t="shared" si="6"/>
        <v>41.021439024390247</v>
      </c>
      <c r="K54" s="46">
        <v>3.3464048447514543</v>
      </c>
      <c r="M54" s="137">
        <v>1.4348221273110005</v>
      </c>
      <c r="N54" s="137">
        <v>6.2530873770802006E-2</v>
      </c>
      <c r="O54" s="14">
        <f t="shared" ca="1" si="7"/>
        <v>0.8319731330072806</v>
      </c>
      <c r="P54" s="49"/>
      <c r="Q54" s="12">
        <f t="shared" si="0"/>
        <v>80.314168576233257</v>
      </c>
      <c r="R54" s="12">
        <f t="shared" si="8"/>
        <v>26.486353624313551</v>
      </c>
      <c r="S54" s="12">
        <f t="shared" si="9"/>
        <v>58.816521778435963</v>
      </c>
      <c r="T54" s="12">
        <f t="shared" si="19"/>
        <v>31.551213644644267</v>
      </c>
      <c r="V54" s="15">
        <f t="shared" si="20"/>
        <v>5</v>
      </c>
      <c r="W54" s="15">
        <f t="shared" si="1"/>
        <v>26</v>
      </c>
      <c r="X54" s="15">
        <f t="shared" si="21"/>
        <v>31</v>
      </c>
      <c r="Y54" s="44">
        <v>4</v>
      </c>
      <c r="Z54" s="44">
        <v>4</v>
      </c>
      <c r="AA54" s="15">
        <f t="shared" si="22"/>
        <v>8</v>
      </c>
      <c r="AB54" s="15">
        <f t="shared" si="23"/>
        <v>23</v>
      </c>
      <c r="AC54">
        <v>1</v>
      </c>
      <c r="AD54">
        <f t="shared" si="24"/>
        <v>744</v>
      </c>
      <c r="AE54">
        <f t="shared" si="2"/>
        <v>416</v>
      </c>
      <c r="AF54">
        <f t="shared" si="3"/>
        <v>328</v>
      </c>
      <c r="AH54">
        <f t="shared" si="10"/>
        <v>744</v>
      </c>
      <c r="AI54">
        <f t="shared" si="11"/>
        <v>368</v>
      </c>
      <c r="AJ54">
        <f t="shared" si="12"/>
        <v>299</v>
      </c>
      <c r="AK54">
        <f t="shared" si="31"/>
        <v>322</v>
      </c>
      <c r="AL54">
        <f t="shared" si="13"/>
        <v>184</v>
      </c>
      <c r="AM54">
        <f t="shared" si="14"/>
        <v>192</v>
      </c>
      <c r="AO54" s="130">
        <f t="shared" si="15"/>
        <v>0.4946236559139785</v>
      </c>
      <c r="AP54" s="130">
        <f t="shared" si="16"/>
        <v>0.24731182795698925</v>
      </c>
      <c r="AQ54" s="130">
        <f t="shared" si="17"/>
        <v>0.25806451612903225</v>
      </c>
      <c r="AR54" s="66">
        <f t="shared" si="18"/>
        <v>0.5053763440860215</v>
      </c>
      <c r="BA54" s="31">
        <f t="shared" si="32"/>
        <v>0.43279569892473119</v>
      </c>
      <c r="BB54" s="10">
        <f t="shared" si="33"/>
        <v>37803</v>
      </c>
    </row>
    <row r="55" spans="1:54" x14ac:dyDescent="0.2">
      <c r="A55" s="10">
        <v>37834</v>
      </c>
      <c r="B55" s="17">
        <v>69.474999999999994</v>
      </c>
      <c r="C55" s="17">
        <v>26.75</v>
      </c>
      <c r="D55" s="45">
        <v>68.387500000000003</v>
      </c>
      <c r="E55" s="45">
        <v>51.290624999999999</v>
      </c>
      <c r="F55" s="45">
        <f t="shared" si="4"/>
        <v>32.735518292682926</v>
      </c>
      <c r="G55" s="12">
        <f t="shared" si="30"/>
        <v>53.278024193548383</v>
      </c>
      <c r="H55" s="12">
        <f t="shared" si="5"/>
        <v>53.278024193548383</v>
      </c>
      <c r="I55" s="12">
        <f t="shared" si="6"/>
        <v>53.309628048780482</v>
      </c>
      <c r="K55" s="46">
        <v>3.3398781066068342</v>
      </c>
      <c r="M55" s="137">
        <v>1.4337655027730001</v>
      </c>
      <c r="N55" s="137">
        <v>6.2537364885324007E-2</v>
      </c>
      <c r="O55" s="14">
        <f t="shared" ca="1" si="7"/>
        <v>0.82768255477269825</v>
      </c>
      <c r="P55" s="49"/>
      <c r="Q55" s="12">
        <f t="shared" si="0"/>
        <v>99.610858305154167</v>
      </c>
      <c r="R55" s="12">
        <f t="shared" si="8"/>
        <v>38.353227199177752</v>
      </c>
      <c r="S55" s="12">
        <f t="shared" si="9"/>
        <v>76.388193144614959</v>
      </c>
      <c r="T55" s="12">
        <f t="shared" si="19"/>
        <v>46.935056843443277</v>
      </c>
      <c r="V55" s="15">
        <f t="shared" si="20"/>
        <v>5</v>
      </c>
      <c r="W55" s="15">
        <f t="shared" si="1"/>
        <v>26</v>
      </c>
      <c r="X55" s="15">
        <f t="shared" si="21"/>
        <v>31</v>
      </c>
      <c r="Y55" s="44">
        <v>5</v>
      </c>
      <c r="Z55" s="44">
        <v>5</v>
      </c>
      <c r="AA55" s="15">
        <f t="shared" si="22"/>
        <v>10</v>
      </c>
      <c r="AB55" s="15">
        <f t="shared" si="23"/>
        <v>21</v>
      </c>
      <c r="AD55">
        <f t="shared" si="24"/>
        <v>744</v>
      </c>
      <c r="AE55">
        <f t="shared" si="2"/>
        <v>416</v>
      </c>
      <c r="AF55">
        <f t="shared" si="3"/>
        <v>328</v>
      </c>
      <c r="AH55">
        <f t="shared" si="10"/>
        <v>744</v>
      </c>
      <c r="AI55">
        <f t="shared" si="11"/>
        <v>336</v>
      </c>
      <c r="AJ55">
        <f t="shared" si="12"/>
        <v>273</v>
      </c>
      <c r="AK55">
        <f t="shared" si="31"/>
        <v>294</v>
      </c>
      <c r="AL55">
        <f t="shared" si="13"/>
        <v>168</v>
      </c>
      <c r="AM55">
        <f t="shared" si="14"/>
        <v>240</v>
      </c>
      <c r="AO55" s="130">
        <f t="shared" si="15"/>
        <v>0.45161290322580644</v>
      </c>
      <c r="AP55" s="130">
        <f t="shared" si="16"/>
        <v>0.22580645161290322</v>
      </c>
      <c r="AQ55" s="130">
        <f t="shared" si="17"/>
        <v>0.32258064516129037</v>
      </c>
      <c r="AR55" s="66">
        <f t="shared" si="18"/>
        <v>0.54838709677419362</v>
      </c>
      <c r="BA55" s="31">
        <f t="shared" si="32"/>
        <v>0.39516129032258063</v>
      </c>
      <c r="BB55" s="10">
        <f t="shared" si="33"/>
        <v>37834</v>
      </c>
    </row>
    <row r="56" spans="1:54" x14ac:dyDescent="0.2">
      <c r="A56" s="10">
        <v>37865</v>
      </c>
      <c r="B56" s="17">
        <v>58</v>
      </c>
      <c r="C56" s="17">
        <v>27.5</v>
      </c>
      <c r="D56" s="45">
        <v>55.75</v>
      </c>
      <c r="E56" s="45">
        <v>41.8125</v>
      </c>
      <c r="F56" s="45">
        <f t="shared" si="4"/>
        <v>28.987500000000001</v>
      </c>
      <c r="G56" s="12">
        <f t="shared" si="30"/>
        <v>45.105555555555554</v>
      </c>
      <c r="H56" s="12">
        <f t="shared" si="5"/>
        <v>45.105555555555554</v>
      </c>
      <c r="I56" s="12">
        <f t="shared" si="6"/>
        <v>45.234500000000004</v>
      </c>
      <c r="K56" s="46">
        <v>3.3171831754601171</v>
      </c>
      <c r="M56" s="137">
        <v>1.4327137649050001</v>
      </c>
      <c r="N56" s="137">
        <v>6.254385599986001E-2</v>
      </c>
      <c r="O56" s="14">
        <f t="shared" ca="1" si="7"/>
        <v>0.82341324916392333</v>
      </c>
      <c r="P56" s="49"/>
      <c r="Q56" s="12">
        <f t="shared" si="0"/>
        <v>83.097398364490004</v>
      </c>
      <c r="R56" s="12">
        <f t="shared" si="8"/>
        <v>39.399628534887505</v>
      </c>
      <c r="S56" s="12">
        <f t="shared" si="9"/>
        <v>64.623350318131642</v>
      </c>
      <c r="T56" s="12">
        <f t="shared" si="19"/>
        <v>41.530790260183693</v>
      </c>
      <c r="V56" s="15">
        <f t="shared" si="20"/>
        <v>5</v>
      </c>
      <c r="W56" s="15">
        <f t="shared" si="1"/>
        <v>25</v>
      </c>
      <c r="X56" s="15">
        <f t="shared" si="21"/>
        <v>30</v>
      </c>
      <c r="Y56" s="44">
        <v>4</v>
      </c>
      <c r="Z56" s="44">
        <v>4</v>
      </c>
      <c r="AA56" s="15">
        <f t="shared" si="22"/>
        <v>8</v>
      </c>
      <c r="AB56" s="15">
        <f t="shared" si="23"/>
        <v>22</v>
      </c>
      <c r="AC56">
        <v>1</v>
      </c>
      <c r="AD56">
        <f t="shared" si="24"/>
        <v>720</v>
      </c>
      <c r="AE56">
        <f t="shared" si="2"/>
        <v>400</v>
      </c>
      <c r="AF56">
        <f t="shared" si="3"/>
        <v>320</v>
      </c>
      <c r="AH56">
        <f t="shared" si="10"/>
        <v>720</v>
      </c>
      <c r="AI56">
        <f t="shared" si="11"/>
        <v>352</v>
      </c>
      <c r="AJ56">
        <f t="shared" si="12"/>
        <v>286</v>
      </c>
      <c r="AK56">
        <f t="shared" si="31"/>
        <v>308</v>
      </c>
      <c r="AL56">
        <f t="shared" si="13"/>
        <v>176</v>
      </c>
      <c r="AM56">
        <f t="shared" si="14"/>
        <v>192</v>
      </c>
      <c r="AO56" s="130">
        <f t="shared" si="15"/>
        <v>0.48888888888888887</v>
      </c>
      <c r="AP56" s="130">
        <f t="shared" si="16"/>
        <v>0.24444444444444444</v>
      </c>
      <c r="AQ56" s="130">
        <f t="shared" si="17"/>
        <v>0.26666666666666672</v>
      </c>
      <c r="AR56" s="66">
        <f t="shared" si="18"/>
        <v>0.51111111111111118</v>
      </c>
      <c r="BA56" s="31">
        <f t="shared" si="32"/>
        <v>0.42777777777777776</v>
      </c>
      <c r="BB56" s="10">
        <f t="shared" si="33"/>
        <v>37865</v>
      </c>
    </row>
    <row r="57" spans="1:54" x14ac:dyDescent="0.2">
      <c r="A57" s="10">
        <v>37895</v>
      </c>
      <c r="B57" s="17">
        <v>42.25</v>
      </c>
      <c r="C57" s="17">
        <v>27.862903225806448</v>
      </c>
      <c r="D57" s="45">
        <v>41</v>
      </c>
      <c r="E57" s="45">
        <v>30.75</v>
      </c>
      <c r="F57" s="45">
        <f t="shared" si="4"/>
        <v>28.455128205128215</v>
      </c>
      <c r="G57" s="12">
        <f t="shared" si="30"/>
        <v>36.465053763440864</v>
      </c>
      <c r="H57" s="12">
        <f t="shared" si="5"/>
        <v>36.465053763440864</v>
      </c>
      <c r="I57" s="12">
        <f t="shared" si="6"/>
        <v>36.180256410256419</v>
      </c>
      <c r="K57" s="46">
        <v>3.3377322432471836</v>
      </c>
      <c r="M57" s="137">
        <v>1.4316981651710003</v>
      </c>
      <c r="N57" s="137">
        <v>6.2550137723619018E-2</v>
      </c>
      <c r="O57" s="14">
        <f t="shared" ca="1" si="7"/>
        <v>0.81930182243963179</v>
      </c>
      <c r="P57" s="49"/>
      <c r="Q57" s="12">
        <f t="shared" si="0"/>
        <v>60.489247478474766</v>
      </c>
      <c r="R57" s="12">
        <f t="shared" si="8"/>
        <v>39.891267424724241</v>
      </c>
      <c r="S57" s="12">
        <f t="shared" si="9"/>
        <v>52.206950565980165</v>
      </c>
      <c r="T57" s="12">
        <f t="shared" si="19"/>
        <v>40.739154840987645</v>
      </c>
      <c r="V57" s="15">
        <f t="shared" si="20"/>
        <v>4</v>
      </c>
      <c r="W57" s="15">
        <f t="shared" si="1"/>
        <v>27</v>
      </c>
      <c r="X57" s="15">
        <f t="shared" si="21"/>
        <v>31</v>
      </c>
      <c r="Y57" s="44">
        <v>4</v>
      </c>
      <c r="Z57" s="44">
        <v>4</v>
      </c>
      <c r="AA57" s="15">
        <f t="shared" si="22"/>
        <v>8</v>
      </c>
      <c r="AB57" s="15">
        <f t="shared" si="23"/>
        <v>23</v>
      </c>
      <c r="AD57">
        <f t="shared" si="24"/>
        <v>744</v>
      </c>
      <c r="AE57">
        <f t="shared" si="2"/>
        <v>432</v>
      </c>
      <c r="AF57">
        <f t="shared" si="3"/>
        <v>312</v>
      </c>
      <c r="AH57">
        <f t="shared" si="10"/>
        <v>744</v>
      </c>
      <c r="AI57">
        <f t="shared" si="11"/>
        <v>368</v>
      </c>
      <c r="AJ57">
        <f t="shared" si="12"/>
        <v>299</v>
      </c>
      <c r="AK57">
        <f t="shared" si="31"/>
        <v>322</v>
      </c>
      <c r="AL57">
        <f t="shared" si="13"/>
        <v>184</v>
      </c>
      <c r="AM57">
        <f t="shared" si="14"/>
        <v>192</v>
      </c>
      <c r="AO57" s="130">
        <f t="shared" si="15"/>
        <v>0.4946236559139785</v>
      </c>
      <c r="AP57" s="130">
        <f t="shared" si="16"/>
        <v>0.24731182795698925</v>
      </c>
      <c r="AQ57" s="130">
        <f t="shared" si="17"/>
        <v>0.25806451612903225</v>
      </c>
      <c r="AR57" s="66">
        <f t="shared" si="18"/>
        <v>0.5053763440860215</v>
      </c>
      <c r="BA57" s="31">
        <f t="shared" si="32"/>
        <v>0.43279569892473119</v>
      </c>
      <c r="BB57" s="10">
        <f t="shared" si="33"/>
        <v>37895</v>
      </c>
    </row>
    <row r="58" spans="1:54" x14ac:dyDescent="0.2">
      <c r="A58" s="10">
        <v>37926</v>
      </c>
      <c r="B58" s="17">
        <v>38.25</v>
      </c>
      <c r="C58" s="17">
        <v>27.9375</v>
      </c>
      <c r="D58" s="45">
        <v>37</v>
      </c>
      <c r="E58" s="45">
        <v>27.75</v>
      </c>
      <c r="F58" s="45">
        <f t="shared" si="4"/>
        <v>26.5625</v>
      </c>
      <c r="G58" s="12">
        <f t="shared" si="30"/>
        <v>32.795833333333334</v>
      </c>
      <c r="H58" s="12">
        <f t="shared" si="5"/>
        <v>32.795833333333334</v>
      </c>
      <c r="I58" s="12">
        <f t="shared" si="6"/>
        <v>33.107500000000002</v>
      </c>
      <c r="K58" s="46">
        <v>3.4484141777504145</v>
      </c>
      <c r="M58" s="137">
        <v>1.4306502444470002</v>
      </c>
      <c r="N58" s="137">
        <v>6.2556628838182998E-2</v>
      </c>
      <c r="O58" s="14">
        <f t="shared" ca="1" si="7"/>
        <v>0.81507408173182783</v>
      </c>
      <c r="P58" s="49"/>
      <c r="Q58" s="12">
        <f t="shared" si="0"/>
        <v>54.722371850097758</v>
      </c>
      <c r="R58" s="12">
        <f t="shared" si="8"/>
        <v>39.968791204238066</v>
      </c>
      <c r="S58" s="12">
        <f t="shared" si="9"/>
        <v>46.919366975176409</v>
      </c>
      <c r="T58" s="12">
        <f t="shared" si="19"/>
        <v>38.001647118123444</v>
      </c>
      <c r="V58" s="15">
        <f t="shared" si="20"/>
        <v>6</v>
      </c>
      <c r="W58" s="15">
        <f t="shared" si="1"/>
        <v>24</v>
      </c>
      <c r="X58" s="15">
        <f t="shared" si="21"/>
        <v>30</v>
      </c>
      <c r="Y58" s="44">
        <v>5</v>
      </c>
      <c r="Z58" s="44">
        <v>5</v>
      </c>
      <c r="AA58" s="15">
        <f t="shared" si="22"/>
        <v>10</v>
      </c>
      <c r="AB58" s="15">
        <f t="shared" si="23"/>
        <v>20</v>
      </c>
      <c r="AC58">
        <v>1</v>
      </c>
      <c r="AD58">
        <f t="shared" si="24"/>
        <v>720</v>
      </c>
      <c r="AE58">
        <f t="shared" si="2"/>
        <v>384</v>
      </c>
      <c r="AF58">
        <f t="shared" si="3"/>
        <v>336</v>
      </c>
      <c r="AH58">
        <f t="shared" si="10"/>
        <v>720</v>
      </c>
      <c r="AI58">
        <f t="shared" si="11"/>
        <v>320</v>
      </c>
      <c r="AJ58">
        <f t="shared" si="12"/>
        <v>260</v>
      </c>
      <c r="AK58">
        <f t="shared" si="31"/>
        <v>280</v>
      </c>
      <c r="AL58">
        <f t="shared" si="13"/>
        <v>160</v>
      </c>
      <c r="AM58">
        <f t="shared" si="14"/>
        <v>240</v>
      </c>
      <c r="AO58" s="130">
        <f t="shared" si="15"/>
        <v>0.44444444444444442</v>
      </c>
      <c r="AP58" s="130">
        <f t="shared" si="16"/>
        <v>0.22222222222222221</v>
      </c>
      <c r="AQ58" s="130">
        <f t="shared" si="17"/>
        <v>0.33333333333333337</v>
      </c>
      <c r="AR58" s="66">
        <f t="shared" si="18"/>
        <v>0.55555555555555558</v>
      </c>
      <c r="BA58" s="31">
        <f t="shared" si="32"/>
        <v>0.3888888888888889</v>
      </c>
      <c r="BB58" s="10">
        <f t="shared" si="33"/>
        <v>37926</v>
      </c>
    </row>
    <row r="59" spans="1:54" x14ac:dyDescent="0.2">
      <c r="A59" s="10">
        <v>37956</v>
      </c>
      <c r="B59" s="17">
        <v>38.25</v>
      </c>
      <c r="C59" s="17">
        <v>25.112903225806448</v>
      </c>
      <c r="D59" s="45">
        <v>37</v>
      </c>
      <c r="E59" s="45">
        <v>27.75</v>
      </c>
      <c r="F59" s="45">
        <f t="shared" si="4"/>
        <v>24.402439024390254</v>
      </c>
      <c r="G59" s="12">
        <f t="shared" si="30"/>
        <v>32.145161290322584</v>
      </c>
      <c r="H59" s="12">
        <f t="shared" si="5"/>
        <v>32.145161290322584</v>
      </c>
      <c r="I59" s="12">
        <f t="shared" si="6"/>
        <v>32.157073170731714</v>
      </c>
      <c r="K59" s="46">
        <v>3.5819091892003172</v>
      </c>
      <c r="M59" s="137">
        <v>1.4296404884630003</v>
      </c>
      <c r="N59" s="137">
        <v>6.2562910561967014E-2</v>
      </c>
      <c r="O59" s="14">
        <f t="shared" ca="1" si="7"/>
        <v>0.81100269134901282</v>
      </c>
      <c r="P59" s="49"/>
      <c r="Q59" s="12">
        <f t="shared" si="0"/>
        <v>54.683748683709759</v>
      </c>
      <c r="R59" s="12">
        <f t="shared" si="8"/>
        <v>35.902423234465985</v>
      </c>
      <c r="S59" s="12">
        <f t="shared" si="9"/>
        <v>45.956024088818708</v>
      </c>
      <c r="T59" s="12">
        <f t="shared" si="19"/>
        <v>34.886714846517862</v>
      </c>
      <c r="V59" s="15">
        <f t="shared" si="20"/>
        <v>5</v>
      </c>
      <c r="W59" s="15">
        <f t="shared" si="1"/>
        <v>26</v>
      </c>
      <c r="X59" s="15">
        <f t="shared" si="21"/>
        <v>31</v>
      </c>
      <c r="Y59" s="44">
        <v>4</v>
      </c>
      <c r="Z59" s="44">
        <v>4</v>
      </c>
      <c r="AA59" s="15">
        <f t="shared" si="22"/>
        <v>8</v>
      </c>
      <c r="AB59" s="15">
        <f t="shared" si="23"/>
        <v>23</v>
      </c>
      <c r="AC59">
        <v>1</v>
      </c>
      <c r="AD59">
        <f t="shared" si="24"/>
        <v>744</v>
      </c>
      <c r="AE59">
        <f t="shared" si="2"/>
        <v>416</v>
      </c>
      <c r="AF59">
        <f t="shared" si="3"/>
        <v>328</v>
      </c>
      <c r="AH59">
        <f t="shared" si="10"/>
        <v>744</v>
      </c>
      <c r="AI59">
        <f t="shared" si="11"/>
        <v>368</v>
      </c>
      <c r="AJ59">
        <f t="shared" si="12"/>
        <v>299</v>
      </c>
      <c r="AK59">
        <f t="shared" si="31"/>
        <v>322</v>
      </c>
      <c r="AL59">
        <f t="shared" si="13"/>
        <v>184</v>
      </c>
      <c r="AM59">
        <f t="shared" si="14"/>
        <v>192</v>
      </c>
      <c r="AO59" s="130">
        <f t="shared" si="15"/>
        <v>0.4946236559139785</v>
      </c>
      <c r="AP59" s="130">
        <f t="shared" si="16"/>
        <v>0.24731182795698925</v>
      </c>
      <c r="AQ59" s="130">
        <f t="shared" si="17"/>
        <v>0.25806451612903225</v>
      </c>
      <c r="AR59" s="66">
        <f t="shared" si="18"/>
        <v>0.5053763440860215</v>
      </c>
      <c r="BA59" s="31">
        <f t="shared" si="32"/>
        <v>0.43279569892473119</v>
      </c>
      <c r="BB59" s="10">
        <f t="shared" si="33"/>
        <v>37956</v>
      </c>
    </row>
    <row r="60" spans="1:54" x14ac:dyDescent="0.2">
      <c r="A60" s="10">
        <v>37987</v>
      </c>
      <c r="B60" s="17">
        <v>27.25</v>
      </c>
      <c r="C60" s="17">
        <v>24.137096774193544</v>
      </c>
      <c r="D60" s="45">
        <v>27.25</v>
      </c>
      <c r="E60" s="45">
        <v>20.4375</v>
      </c>
      <c r="F60" s="45">
        <f t="shared" si="4"/>
        <v>22.237804878048781</v>
      </c>
      <c r="G60" s="12">
        <f t="shared" si="30"/>
        <v>25.04032258064516</v>
      </c>
      <c r="H60" s="12">
        <f t="shared" si="5"/>
        <v>25.04032258064516</v>
      </c>
      <c r="I60" s="12">
        <f t="shared" si="6"/>
        <v>25.044634146341465</v>
      </c>
      <c r="K60" s="46">
        <v>3.684121149077082</v>
      </c>
      <c r="M60" s="137">
        <v>1.4285725556920001</v>
      </c>
      <c r="N60" s="137">
        <v>6.2569401676558015E-2</v>
      </c>
      <c r="O60" s="14">
        <f t="shared" ca="1" si="7"/>
        <v>0.80681612837778116</v>
      </c>
      <c r="P60" s="49"/>
      <c r="Q60" s="12">
        <f t="shared" si="0"/>
        <v>38.928602142607005</v>
      </c>
      <c r="R60" s="12">
        <f t="shared" si="8"/>
        <v>34.481594025694804</v>
      </c>
      <c r="S60" s="12">
        <f t="shared" si="9"/>
        <v>35.771917624384358</v>
      </c>
      <c r="T60" s="12">
        <f t="shared" si="19"/>
        <v>31.768317747614173</v>
      </c>
      <c r="V60" s="15">
        <f t="shared" si="20"/>
        <v>5</v>
      </c>
      <c r="W60" s="15">
        <f t="shared" si="1"/>
        <v>26</v>
      </c>
      <c r="X60" s="19">
        <f t="shared" si="21"/>
        <v>31</v>
      </c>
      <c r="Y60" s="43">
        <v>5</v>
      </c>
      <c r="Z60" s="43">
        <v>4</v>
      </c>
      <c r="AA60" s="15">
        <f t="shared" si="22"/>
        <v>9</v>
      </c>
      <c r="AB60" s="20">
        <f t="shared" si="23"/>
        <v>22</v>
      </c>
      <c r="AC60">
        <v>1</v>
      </c>
      <c r="AD60">
        <f t="shared" si="24"/>
        <v>744</v>
      </c>
      <c r="AE60">
        <f t="shared" si="2"/>
        <v>416</v>
      </c>
      <c r="AF60">
        <f t="shared" si="3"/>
        <v>328</v>
      </c>
      <c r="AH60">
        <f t="shared" si="10"/>
        <v>744</v>
      </c>
      <c r="AI60">
        <f t="shared" si="11"/>
        <v>352</v>
      </c>
      <c r="AJ60">
        <f t="shared" si="12"/>
        <v>286</v>
      </c>
      <c r="AK60">
        <f t="shared" si="31"/>
        <v>308</v>
      </c>
      <c r="AL60">
        <f t="shared" si="13"/>
        <v>176</v>
      </c>
      <c r="AM60">
        <f t="shared" si="14"/>
        <v>216</v>
      </c>
      <c r="AO60" s="130">
        <f t="shared" si="15"/>
        <v>0.4731182795698925</v>
      </c>
      <c r="AP60" s="130">
        <f t="shared" si="16"/>
        <v>0.23655913978494625</v>
      </c>
      <c r="AQ60" s="130">
        <f t="shared" si="17"/>
        <v>0.29032258064516125</v>
      </c>
      <c r="AR60" s="66">
        <f t="shared" si="18"/>
        <v>0.5268817204301075</v>
      </c>
      <c r="BA60" s="31">
        <f t="shared" si="32"/>
        <v>0.41397849462365593</v>
      </c>
      <c r="BB60" s="10">
        <f t="shared" si="33"/>
        <v>37987</v>
      </c>
    </row>
    <row r="61" spans="1:54" x14ac:dyDescent="0.2">
      <c r="A61" s="10">
        <v>38018</v>
      </c>
      <c r="B61" s="17">
        <v>25.25</v>
      </c>
      <c r="C61" s="17">
        <v>22.214285714285708</v>
      </c>
      <c r="D61" s="45">
        <v>25.25</v>
      </c>
      <c r="E61" s="45">
        <v>18.9375</v>
      </c>
      <c r="F61" s="45">
        <f t="shared" si="4"/>
        <v>21.374084249084238</v>
      </c>
      <c r="G61" s="12">
        <f t="shared" si="30"/>
        <v>23.512520525451556</v>
      </c>
      <c r="H61" s="12">
        <f t="shared" si="5"/>
        <v>23.512520525451556</v>
      </c>
      <c r="I61" s="12">
        <f t="shared" si="6"/>
        <v>23.544597069597064</v>
      </c>
      <c r="K61" s="46">
        <v>3.511918800833707</v>
      </c>
      <c r="M61" s="137">
        <v>1.4274761729770002</v>
      </c>
      <c r="N61" s="137">
        <v>6.2575892791163018E-2</v>
      </c>
      <c r="O61" s="14">
        <f t="shared" ca="1" si="7"/>
        <v>0.80265034452345108</v>
      </c>
      <c r="P61" s="49"/>
      <c r="Q61" s="12">
        <f t="shared" si="0"/>
        <v>36.043773367669253</v>
      </c>
      <c r="R61" s="12">
        <f t="shared" si="8"/>
        <v>31.710363556846211</v>
      </c>
      <c r="S61" s="12">
        <f t="shared" si="9"/>
        <v>33.563562816714757</v>
      </c>
      <c r="T61" s="12">
        <f t="shared" si="19"/>
        <v>30.510995984770748</v>
      </c>
      <c r="V61" s="15">
        <f t="shared" si="20"/>
        <v>5</v>
      </c>
      <c r="W61" s="15">
        <f t="shared" si="1"/>
        <v>24</v>
      </c>
      <c r="X61" s="21">
        <f t="shared" si="21"/>
        <v>29</v>
      </c>
      <c r="Y61" s="44">
        <v>4</v>
      </c>
      <c r="Z61" s="44">
        <v>5</v>
      </c>
      <c r="AA61" s="15">
        <f t="shared" si="22"/>
        <v>9</v>
      </c>
      <c r="AB61" s="22">
        <f t="shared" si="23"/>
        <v>20</v>
      </c>
      <c r="AD61">
        <f t="shared" si="24"/>
        <v>696</v>
      </c>
      <c r="AE61">
        <f t="shared" si="2"/>
        <v>384</v>
      </c>
      <c r="AF61">
        <f t="shared" si="3"/>
        <v>312</v>
      </c>
      <c r="AH61">
        <f t="shared" si="10"/>
        <v>696</v>
      </c>
      <c r="AI61">
        <f t="shared" si="11"/>
        <v>320</v>
      </c>
      <c r="AJ61">
        <f t="shared" si="12"/>
        <v>260</v>
      </c>
      <c r="AK61">
        <f t="shared" si="31"/>
        <v>280</v>
      </c>
      <c r="AL61">
        <f t="shared" si="13"/>
        <v>160</v>
      </c>
      <c r="AM61">
        <f t="shared" si="14"/>
        <v>216</v>
      </c>
      <c r="AO61" s="130">
        <f t="shared" si="15"/>
        <v>0.45977011494252873</v>
      </c>
      <c r="AP61" s="130">
        <f t="shared" si="16"/>
        <v>0.22988505747126436</v>
      </c>
      <c r="AQ61" s="130">
        <f t="shared" si="17"/>
        <v>0.31034482758620685</v>
      </c>
      <c r="AR61" s="66">
        <f t="shared" si="18"/>
        <v>0.54022988505747116</v>
      </c>
      <c r="BA61" s="31">
        <f t="shared" si="32"/>
        <v>0.40229885057471265</v>
      </c>
      <c r="BB61" s="10">
        <f t="shared" si="33"/>
        <v>38018</v>
      </c>
    </row>
    <row r="62" spans="1:54" x14ac:dyDescent="0.2">
      <c r="A62" s="10">
        <v>38047</v>
      </c>
      <c r="B62" s="17">
        <v>23.25</v>
      </c>
      <c r="C62" s="17">
        <v>20.145161290322577</v>
      </c>
      <c r="D62" s="45">
        <v>23.25</v>
      </c>
      <c r="E62" s="45">
        <v>17.4375</v>
      </c>
      <c r="F62" s="45">
        <f t="shared" si="4"/>
        <v>19.589743589743588</v>
      </c>
      <c r="G62" s="12">
        <f t="shared" si="30"/>
        <v>21.71505376344086</v>
      </c>
      <c r="H62" s="12">
        <f t="shared" si="5"/>
        <v>21.71505376344086</v>
      </c>
      <c r="I62" s="12">
        <f t="shared" si="6"/>
        <v>21.63948717948718</v>
      </c>
      <c r="K62" s="46">
        <v>3.7011938622201113</v>
      </c>
      <c r="M62" s="137">
        <v>1.426452135298</v>
      </c>
      <c r="N62" s="137">
        <v>6.2581965124194019E-2</v>
      </c>
      <c r="O62" s="14">
        <f t="shared" ca="1" si="7"/>
        <v>0.7987720449958905</v>
      </c>
      <c r="P62" s="49"/>
      <c r="Q62" s="12">
        <f t="shared" si="0"/>
        <v>33.165012145678496</v>
      </c>
      <c r="R62" s="12">
        <f t="shared" si="8"/>
        <v>28.73610833850325</v>
      </c>
      <c r="S62" s="12">
        <f t="shared" si="9"/>
        <v>30.975484808971085</v>
      </c>
      <c r="T62" s="12">
        <f t="shared" si="19"/>
        <v>27.943831573530048</v>
      </c>
      <c r="V62" s="15">
        <f t="shared" si="20"/>
        <v>4</v>
      </c>
      <c r="W62" s="15">
        <f t="shared" si="1"/>
        <v>27</v>
      </c>
      <c r="X62" s="21">
        <f t="shared" si="21"/>
        <v>31</v>
      </c>
      <c r="Y62" s="44">
        <v>4</v>
      </c>
      <c r="Z62" s="44">
        <v>4</v>
      </c>
      <c r="AA62" s="15">
        <f t="shared" si="22"/>
        <v>8</v>
      </c>
      <c r="AB62" s="22">
        <f t="shared" si="23"/>
        <v>23</v>
      </c>
      <c r="AD62">
        <f t="shared" si="24"/>
        <v>744</v>
      </c>
      <c r="AE62">
        <f t="shared" si="2"/>
        <v>432</v>
      </c>
      <c r="AF62">
        <f t="shared" si="3"/>
        <v>312</v>
      </c>
      <c r="AH62">
        <f t="shared" si="10"/>
        <v>744</v>
      </c>
      <c r="AI62">
        <f t="shared" si="11"/>
        <v>368</v>
      </c>
      <c r="AJ62">
        <f t="shared" si="12"/>
        <v>299</v>
      </c>
      <c r="AK62">
        <f t="shared" si="31"/>
        <v>322</v>
      </c>
      <c r="AL62">
        <f t="shared" si="13"/>
        <v>184</v>
      </c>
      <c r="AM62">
        <f t="shared" si="14"/>
        <v>192</v>
      </c>
      <c r="AO62" s="130">
        <f t="shared" si="15"/>
        <v>0.4946236559139785</v>
      </c>
      <c r="AP62" s="130">
        <f t="shared" si="16"/>
        <v>0.24731182795698925</v>
      </c>
      <c r="AQ62" s="130">
        <f t="shared" si="17"/>
        <v>0.25806451612903225</v>
      </c>
      <c r="AR62" s="66">
        <f t="shared" si="18"/>
        <v>0.5053763440860215</v>
      </c>
      <c r="BA62" s="31">
        <f t="shared" si="32"/>
        <v>0.43279569892473119</v>
      </c>
      <c r="BB62" s="10">
        <f t="shared" si="33"/>
        <v>38047</v>
      </c>
    </row>
    <row r="63" spans="1:54" x14ac:dyDescent="0.2">
      <c r="A63" s="10">
        <v>38078</v>
      </c>
      <c r="B63" s="17">
        <v>23</v>
      </c>
      <c r="C63" s="17">
        <v>13.404199999999999</v>
      </c>
      <c r="D63" s="45">
        <v>23</v>
      </c>
      <c r="E63" s="45">
        <v>17.25</v>
      </c>
      <c r="F63" s="45">
        <f t="shared" si="4"/>
        <v>14.213842105263156</v>
      </c>
      <c r="G63" s="12">
        <f t="shared" si="30"/>
        <v>19.290288888888888</v>
      </c>
      <c r="H63" s="12">
        <f t="shared" si="5"/>
        <v>19.290288888888888</v>
      </c>
      <c r="I63" s="12">
        <f t="shared" si="6"/>
        <v>19.134090526315788</v>
      </c>
      <c r="K63" s="46">
        <v>3.4333348630856695</v>
      </c>
      <c r="M63" s="137">
        <v>1.425359382234</v>
      </c>
      <c r="N63" s="137">
        <v>6.2588456238826001E-2</v>
      </c>
      <c r="O63" s="14">
        <f t="shared" ca="1" si="7"/>
        <v>0.79464619891501265</v>
      </c>
      <c r="P63" s="49"/>
      <c r="Q63" s="12">
        <f t="shared" si="0"/>
        <v>32.783265791382</v>
      </c>
      <c r="R63" s="12">
        <f t="shared" si="8"/>
        <v>19.105802231340984</v>
      </c>
      <c r="S63" s="12">
        <f t="shared" si="9"/>
        <v>27.495594253782063</v>
      </c>
      <c r="T63" s="12">
        <f t="shared" si="19"/>
        <v>20.25983320232951</v>
      </c>
      <c r="V63" s="15">
        <f t="shared" si="20"/>
        <v>4</v>
      </c>
      <c r="W63" s="15">
        <f t="shared" si="1"/>
        <v>26</v>
      </c>
      <c r="X63" s="21">
        <f t="shared" si="21"/>
        <v>30</v>
      </c>
      <c r="Y63" s="44">
        <v>4</v>
      </c>
      <c r="Z63" s="44">
        <v>4</v>
      </c>
      <c r="AA63" s="15">
        <f t="shared" si="22"/>
        <v>8</v>
      </c>
      <c r="AB63" s="22">
        <f t="shared" si="23"/>
        <v>22</v>
      </c>
      <c r="AD63">
        <f t="shared" si="24"/>
        <v>720</v>
      </c>
      <c r="AE63">
        <f t="shared" si="2"/>
        <v>416</v>
      </c>
      <c r="AF63">
        <f t="shared" si="3"/>
        <v>304</v>
      </c>
      <c r="AH63">
        <f t="shared" si="10"/>
        <v>720</v>
      </c>
      <c r="AI63">
        <f t="shared" si="11"/>
        <v>352</v>
      </c>
      <c r="AJ63">
        <f t="shared" si="12"/>
        <v>286</v>
      </c>
      <c r="AK63">
        <f t="shared" si="31"/>
        <v>308</v>
      </c>
      <c r="AL63">
        <f t="shared" si="13"/>
        <v>176</v>
      </c>
      <c r="AM63">
        <f t="shared" si="14"/>
        <v>192</v>
      </c>
      <c r="AO63" s="130">
        <f t="shared" si="15"/>
        <v>0.48888888888888887</v>
      </c>
      <c r="AP63" s="130">
        <f t="shared" si="16"/>
        <v>0.24444444444444444</v>
      </c>
      <c r="AQ63" s="130">
        <f t="shared" si="17"/>
        <v>0.26666666666666672</v>
      </c>
      <c r="AR63" s="66">
        <f t="shared" si="18"/>
        <v>0.51111111111111118</v>
      </c>
      <c r="BA63" s="31">
        <f t="shared" si="32"/>
        <v>0.42777777777777776</v>
      </c>
      <c r="BB63" s="10">
        <f t="shared" si="33"/>
        <v>38078</v>
      </c>
    </row>
    <row r="64" spans="1:54" x14ac:dyDescent="0.2">
      <c r="A64" s="10">
        <v>38108</v>
      </c>
      <c r="B64" s="17">
        <v>22.5</v>
      </c>
      <c r="C64" s="17">
        <v>6.0685483870967722</v>
      </c>
      <c r="D64" s="45">
        <v>21.25</v>
      </c>
      <c r="E64" s="45">
        <v>15.9375</v>
      </c>
      <c r="F64" s="45">
        <f t="shared" si="4"/>
        <v>8.0813953488372086</v>
      </c>
      <c r="G64" s="12">
        <f t="shared" si="30"/>
        <v>15.833333333333334</v>
      </c>
      <c r="H64" s="12">
        <f t="shared" si="5"/>
        <v>15.833333333333334</v>
      </c>
      <c r="I64" s="12">
        <f t="shared" si="6"/>
        <v>16.155813953488373</v>
      </c>
      <c r="K64" s="46">
        <v>3.3980716172186409</v>
      </c>
      <c r="M64" s="137">
        <v>1.4243037747850003</v>
      </c>
      <c r="N64" s="137">
        <v>6.2594737962677005E-2</v>
      </c>
      <c r="O64" s="14">
        <f t="shared" ca="1" si="7"/>
        <v>0.79067295558435902</v>
      </c>
      <c r="Q64" s="12">
        <f t="shared" si="0"/>
        <v>32.046834932662506</v>
      </c>
      <c r="R64" s="12">
        <f t="shared" si="8"/>
        <v>8.6434563752073572</v>
      </c>
      <c r="S64" s="12">
        <f t="shared" si="9"/>
        <v>22.551476434095839</v>
      </c>
      <c r="T64" s="12">
        <f t="shared" si="19"/>
        <v>11.510361900878779</v>
      </c>
      <c r="V64" s="15">
        <f t="shared" si="20"/>
        <v>6</v>
      </c>
      <c r="W64" s="15">
        <f t="shared" si="1"/>
        <v>25</v>
      </c>
      <c r="X64" s="21">
        <f t="shared" si="21"/>
        <v>31</v>
      </c>
      <c r="Y64" s="44">
        <v>5</v>
      </c>
      <c r="Z64" s="44">
        <v>5</v>
      </c>
      <c r="AA64" s="15">
        <f t="shared" si="22"/>
        <v>10</v>
      </c>
      <c r="AB64" s="22">
        <f t="shared" si="23"/>
        <v>21</v>
      </c>
      <c r="AC64">
        <v>1</v>
      </c>
      <c r="AD64">
        <f t="shared" si="24"/>
        <v>744</v>
      </c>
      <c r="AE64">
        <f t="shared" si="2"/>
        <v>400</v>
      </c>
      <c r="AF64">
        <f t="shared" si="3"/>
        <v>344</v>
      </c>
      <c r="AH64">
        <f t="shared" si="10"/>
        <v>744</v>
      </c>
      <c r="AI64">
        <f t="shared" si="11"/>
        <v>336</v>
      </c>
      <c r="AJ64">
        <f t="shared" si="12"/>
        <v>273</v>
      </c>
      <c r="AK64">
        <f t="shared" si="31"/>
        <v>294</v>
      </c>
      <c r="AL64">
        <f t="shared" si="13"/>
        <v>168</v>
      </c>
      <c r="AM64">
        <f t="shared" si="14"/>
        <v>240</v>
      </c>
      <c r="AO64" s="130">
        <f t="shared" si="15"/>
        <v>0.45161290322580644</v>
      </c>
      <c r="AP64" s="130">
        <f t="shared" si="16"/>
        <v>0.22580645161290322</v>
      </c>
      <c r="AQ64" s="130">
        <f t="shared" si="17"/>
        <v>0.32258064516129037</v>
      </c>
      <c r="AR64" s="66">
        <f t="shared" si="18"/>
        <v>0.54838709677419362</v>
      </c>
      <c r="BA64" s="31">
        <f t="shared" si="32"/>
        <v>0.39516129032258063</v>
      </c>
      <c r="BB64" s="10">
        <f t="shared" si="33"/>
        <v>38108</v>
      </c>
    </row>
    <row r="65" spans="1:54" x14ac:dyDescent="0.2">
      <c r="A65" s="10">
        <v>38139</v>
      </c>
      <c r="B65" s="17">
        <v>23.5</v>
      </c>
      <c r="C65" s="17">
        <v>5.7</v>
      </c>
      <c r="D65" s="45">
        <v>22.25</v>
      </c>
      <c r="E65" s="45">
        <v>16.6875</v>
      </c>
      <c r="F65" s="45">
        <f t="shared" si="4"/>
        <v>8.0131578947368425</v>
      </c>
      <c r="G65" s="12">
        <f t="shared" si="30"/>
        <v>16.961111111111112</v>
      </c>
      <c r="H65" s="12">
        <f t="shared" si="5"/>
        <v>16.961111111111112</v>
      </c>
      <c r="I65" s="12">
        <f t="shared" si="6"/>
        <v>16.685789473684213</v>
      </c>
      <c r="K65" s="46">
        <v>3.4031038616585896</v>
      </c>
      <c r="M65" s="137">
        <v>1.4232147393090002</v>
      </c>
      <c r="N65" s="137">
        <v>6.2601229077337006E-2</v>
      </c>
      <c r="O65" s="14">
        <f t="shared" ca="1" si="7"/>
        <v>0.786587337351913</v>
      </c>
      <c r="Q65" s="12">
        <f t="shared" si="0"/>
        <v>33.445546373761502</v>
      </c>
      <c r="R65" s="12">
        <f t="shared" si="8"/>
        <v>8.1123240140613007</v>
      </c>
      <c r="S65" s="12">
        <f t="shared" si="9"/>
        <v>24.139303328390987</v>
      </c>
      <c r="T65" s="12">
        <f t="shared" si="19"/>
        <v>11.404444424199752</v>
      </c>
      <c r="V65" s="15">
        <f t="shared" si="20"/>
        <v>4</v>
      </c>
      <c r="W65" s="15">
        <f t="shared" si="1"/>
        <v>26</v>
      </c>
      <c r="X65" s="21">
        <f t="shared" si="21"/>
        <v>30</v>
      </c>
      <c r="Y65" s="44">
        <v>4</v>
      </c>
      <c r="Z65" s="44">
        <v>4</v>
      </c>
      <c r="AA65" s="15">
        <f t="shared" si="22"/>
        <v>8</v>
      </c>
      <c r="AB65" s="22">
        <f t="shared" si="23"/>
        <v>22</v>
      </c>
      <c r="AD65">
        <f t="shared" si="24"/>
        <v>720</v>
      </c>
      <c r="AE65">
        <f t="shared" si="2"/>
        <v>416</v>
      </c>
      <c r="AF65">
        <f t="shared" si="3"/>
        <v>304</v>
      </c>
      <c r="AH65">
        <f t="shared" si="10"/>
        <v>720</v>
      </c>
      <c r="AI65">
        <f t="shared" si="11"/>
        <v>352</v>
      </c>
      <c r="AJ65">
        <f t="shared" si="12"/>
        <v>286</v>
      </c>
      <c r="AK65">
        <f t="shared" si="31"/>
        <v>308</v>
      </c>
      <c r="AL65">
        <f t="shared" si="13"/>
        <v>176</v>
      </c>
      <c r="AM65">
        <f t="shared" si="14"/>
        <v>192</v>
      </c>
      <c r="AO65" s="130">
        <f t="shared" si="15"/>
        <v>0.48888888888888887</v>
      </c>
      <c r="AP65" s="130">
        <f t="shared" si="16"/>
        <v>0.24444444444444444</v>
      </c>
      <c r="AQ65" s="130">
        <f t="shared" si="17"/>
        <v>0.26666666666666672</v>
      </c>
      <c r="AR65" s="66">
        <f t="shared" si="18"/>
        <v>0.51111111111111118</v>
      </c>
      <c r="BA65" s="31">
        <f t="shared" si="32"/>
        <v>0.42777777777777776</v>
      </c>
      <c r="BB65" s="10">
        <f t="shared" si="33"/>
        <v>38139</v>
      </c>
    </row>
    <row r="66" spans="1:54" x14ac:dyDescent="0.2">
      <c r="A66" s="10">
        <v>38169</v>
      </c>
      <c r="B66" s="17">
        <v>52.362499999999997</v>
      </c>
      <c r="C66" s="17">
        <v>14.95967741935484</v>
      </c>
      <c r="D66" s="45">
        <v>51.274999999999999</v>
      </c>
      <c r="E66" s="45">
        <v>38.456249999999997</v>
      </c>
      <c r="F66" s="45">
        <f t="shared" si="4"/>
        <v>18.814634146341465</v>
      </c>
      <c r="G66" s="12">
        <f t="shared" si="30"/>
        <v>37.572580645161288</v>
      </c>
      <c r="H66" s="12">
        <f t="shared" si="5"/>
        <v>37.572580645161288</v>
      </c>
      <c r="I66" s="12">
        <f t="shared" si="6"/>
        <v>37.601439024390245</v>
      </c>
      <c r="K66" s="46">
        <v>3.4834540074185365</v>
      </c>
      <c r="M66" s="137">
        <v>1.4221625335220001</v>
      </c>
      <c r="N66" s="137">
        <v>6.2607510801215002E-2</v>
      </c>
      <c r="O66" s="14">
        <f t="shared" ca="1" si="7"/>
        <v>0.78265284218410669</v>
      </c>
      <c r="Q66" s="12">
        <f t="shared" si="0"/>
        <v>74.467985661545725</v>
      </c>
      <c r="R66" s="12">
        <f t="shared" si="8"/>
        <v>21.275092739381535</v>
      </c>
      <c r="S66" s="12">
        <f t="shared" si="9"/>
        <v>53.434316481282238</v>
      </c>
      <c r="T66" s="12">
        <f t="shared" si="19"/>
        <v>26.75746776485051</v>
      </c>
      <c r="V66" s="15">
        <f t="shared" si="20"/>
        <v>5</v>
      </c>
      <c r="W66" s="15">
        <f t="shared" si="1"/>
        <v>26</v>
      </c>
      <c r="X66" s="21">
        <f t="shared" si="21"/>
        <v>31</v>
      </c>
      <c r="Y66" s="44">
        <v>5</v>
      </c>
      <c r="Z66" s="44">
        <v>4</v>
      </c>
      <c r="AA66" s="15">
        <f t="shared" si="22"/>
        <v>9</v>
      </c>
      <c r="AB66" s="22">
        <f t="shared" si="23"/>
        <v>22</v>
      </c>
      <c r="AC66">
        <v>1</v>
      </c>
      <c r="AD66">
        <f t="shared" si="24"/>
        <v>744</v>
      </c>
      <c r="AE66">
        <f t="shared" si="2"/>
        <v>416</v>
      </c>
      <c r="AF66">
        <f t="shared" si="3"/>
        <v>328</v>
      </c>
      <c r="AH66">
        <f t="shared" si="10"/>
        <v>744</v>
      </c>
      <c r="AI66">
        <f t="shared" si="11"/>
        <v>352</v>
      </c>
      <c r="AJ66">
        <f t="shared" si="12"/>
        <v>286</v>
      </c>
      <c r="AK66">
        <f t="shared" si="31"/>
        <v>308</v>
      </c>
      <c r="AL66">
        <f t="shared" si="13"/>
        <v>176</v>
      </c>
      <c r="AM66">
        <f t="shared" si="14"/>
        <v>216</v>
      </c>
      <c r="AO66" s="130">
        <f t="shared" si="15"/>
        <v>0.4731182795698925</v>
      </c>
      <c r="AP66" s="130">
        <f t="shared" si="16"/>
        <v>0.23655913978494625</v>
      </c>
      <c r="AQ66" s="130">
        <f t="shared" si="17"/>
        <v>0.29032258064516125</v>
      </c>
      <c r="AR66" s="66">
        <f t="shared" si="18"/>
        <v>0.5268817204301075</v>
      </c>
      <c r="BA66" s="31">
        <f t="shared" si="32"/>
        <v>0.41397849462365593</v>
      </c>
      <c r="BB66" s="10">
        <f t="shared" si="33"/>
        <v>38169</v>
      </c>
    </row>
    <row r="67" spans="1:54" x14ac:dyDescent="0.2">
      <c r="A67" s="10">
        <v>38200</v>
      </c>
      <c r="B67" s="17">
        <v>65.862499999999997</v>
      </c>
      <c r="C67" s="17">
        <v>23.25</v>
      </c>
      <c r="D67" s="45">
        <v>64.775000000000006</v>
      </c>
      <c r="E67" s="45">
        <v>48.581249999999997</v>
      </c>
      <c r="F67" s="45">
        <f t="shared" si="4"/>
        <v>29.428353658536597</v>
      </c>
      <c r="G67" s="12">
        <f t="shared" si="30"/>
        <v>49.800134408602155</v>
      </c>
      <c r="H67" s="12">
        <f t="shared" si="5"/>
        <v>49.800134408602155</v>
      </c>
      <c r="I67" s="12">
        <f t="shared" si="6"/>
        <v>49.831475609756104</v>
      </c>
      <c r="K67" s="46">
        <v>3.4695732959992891</v>
      </c>
      <c r="M67" s="137">
        <v>1.4210770076210002</v>
      </c>
      <c r="N67" s="137">
        <v>6.2614001915902023E-2</v>
      </c>
      <c r="O67" s="14">
        <f t="shared" ca="1" si="7"/>
        <v>0.77860707648001004</v>
      </c>
      <c r="Q67" s="12">
        <f t="shared" si="0"/>
        <v>93.595684414438125</v>
      </c>
      <c r="R67" s="12">
        <f t="shared" si="8"/>
        <v>33.040040427188252</v>
      </c>
      <c r="S67" s="12">
        <f t="shared" si="9"/>
        <v>70.76982598449996</v>
      </c>
      <c r="T67" s="12">
        <f t="shared" si="19"/>
        <v>41.819956756285698</v>
      </c>
      <c r="V67" s="15">
        <f t="shared" si="20"/>
        <v>5</v>
      </c>
      <c r="W67" s="15">
        <f t="shared" si="1"/>
        <v>26</v>
      </c>
      <c r="X67" s="21">
        <f t="shared" si="21"/>
        <v>31</v>
      </c>
      <c r="Y67" s="44">
        <v>4</v>
      </c>
      <c r="Z67" s="44">
        <v>5</v>
      </c>
      <c r="AA67" s="15">
        <f t="shared" si="22"/>
        <v>9</v>
      </c>
      <c r="AB67" s="22">
        <f t="shared" si="23"/>
        <v>22</v>
      </c>
      <c r="AD67">
        <f t="shared" si="24"/>
        <v>744</v>
      </c>
      <c r="AE67">
        <f t="shared" si="2"/>
        <v>416</v>
      </c>
      <c r="AF67">
        <f t="shared" si="3"/>
        <v>328</v>
      </c>
      <c r="AH67">
        <f t="shared" si="10"/>
        <v>744</v>
      </c>
      <c r="AI67">
        <f t="shared" si="11"/>
        <v>352</v>
      </c>
      <c r="AJ67">
        <f t="shared" si="12"/>
        <v>286</v>
      </c>
      <c r="AK67">
        <f t="shared" si="31"/>
        <v>308</v>
      </c>
      <c r="AL67">
        <f t="shared" si="13"/>
        <v>176</v>
      </c>
      <c r="AM67">
        <f t="shared" si="14"/>
        <v>216</v>
      </c>
      <c r="AO67" s="130">
        <f t="shared" si="15"/>
        <v>0.4731182795698925</v>
      </c>
      <c r="AP67" s="130">
        <f t="shared" si="16"/>
        <v>0.23655913978494625</v>
      </c>
      <c r="AQ67" s="130">
        <f t="shared" si="17"/>
        <v>0.29032258064516125</v>
      </c>
      <c r="AR67" s="66">
        <f t="shared" si="18"/>
        <v>0.5268817204301075</v>
      </c>
      <c r="BA67" s="31">
        <f t="shared" si="32"/>
        <v>0.41397849462365593</v>
      </c>
      <c r="BB67" s="10">
        <f t="shared" si="33"/>
        <v>38200</v>
      </c>
    </row>
    <row r="68" spans="1:54" x14ac:dyDescent="0.2">
      <c r="A68" s="10">
        <v>38231</v>
      </c>
      <c r="B68" s="17">
        <v>53.75</v>
      </c>
      <c r="C68" s="17">
        <v>24</v>
      </c>
      <c r="D68" s="45">
        <v>51.5</v>
      </c>
      <c r="E68" s="45">
        <v>38.625</v>
      </c>
      <c r="F68" s="45">
        <f t="shared" si="4"/>
        <v>25.725000000000001</v>
      </c>
      <c r="G68" s="12">
        <f t="shared" si="30"/>
        <v>41.294444444444444</v>
      </c>
      <c r="H68" s="12">
        <f t="shared" si="5"/>
        <v>41.294444444444444</v>
      </c>
      <c r="I68" s="12">
        <f t="shared" si="6"/>
        <v>41.418999999999997</v>
      </c>
      <c r="K68" s="46">
        <v>3.4516784480040608</v>
      </c>
      <c r="M68" s="137">
        <v>1.4199932610890003</v>
      </c>
      <c r="N68" s="137">
        <v>6.2620493030603006E-2</v>
      </c>
      <c r="O68" s="14">
        <f t="shared" ca="1" si="7"/>
        <v>0.77458142093374738</v>
      </c>
      <c r="Q68" s="12">
        <f t="shared" si="0"/>
        <v>76.32463778353376</v>
      </c>
      <c r="R68" s="12">
        <f t="shared" si="8"/>
        <v>34.079838266136008</v>
      </c>
      <c r="S68" s="12">
        <f t="shared" si="9"/>
        <v>58.637832831525216</v>
      </c>
      <c r="T68" s="12">
        <f t="shared" si="19"/>
        <v>36.529326641514537</v>
      </c>
      <c r="V68" s="15">
        <f t="shared" si="20"/>
        <v>5</v>
      </c>
      <c r="W68" s="15">
        <f t="shared" si="1"/>
        <v>25</v>
      </c>
      <c r="X68" s="21">
        <f t="shared" si="21"/>
        <v>30</v>
      </c>
      <c r="Y68" s="44">
        <v>4</v>
      </c>
      <c r="Z68" s="44">
        <v>4</v>
      </c>
      <c r="AA68" s="15">
        <f t="shared" si="22"/>
        <v>8</v>
      </c>
      <c r="AB68" s="22">
        <f t="shared" si="23"/>
        <v>22</v>
      </c>
      <c r="AC68">
        <v>1</v>
      </c>
      <c r="AD68">
        <f t="shared" si="24"/>
        <v>720</v>
      </c>
      <c r="AE68">
        <f t="shared" si="2"/>
        <v>400</v>
      </c>
      <c r="AF68">
        <f t="shared" si="3"/>
        <v>320</v>
      </c>
      <c r="AH68">
        <f t="shared" si="10"/>
        <v>720</v>
      </c>
      <c r="AI68">
        <f t="shared" si="11"/>
        <v>352</v>
      </c>
      <c r="AJ68">
        <f t="shared" si="12"/>
        <v>286</v>
      </c>
      <c r="AK68">
        <f t="shared" si="31"/>
        <v>308</v>
      </c>
      <c r="AL68">
        <f t="shared" si="13"/>
        <v>176</v>
      </c>
      <c r="AM68">
        <f t="shared" si="14"/>
        <v>192</v>
      </c>
      <c r="AO68" s="130">
        <f t="shared" si="15"/>
        <v>0.48888888888888887</v>
      </c>
      <c r="AP68" s="130">
        <f t="shared" si="16"/>
        <v>0.24444444444444444</v>
      </c>
      <c r="AQ68" s="130">
        <f t="shared" si="17"/>
        <v>0.26666666666666672</v>
      </c>
      <c r="AR68" s="66">
        <f t="shared" si="18"/>
        <v>0.51111111111111118</v>
      </c>
      <c r="BA68" s="31">
        <f t="shared" si="32"/>
        <v>0.42777777777777776</v>
      </c>
      <c r="BB68" s="10">
        <f t="shared" si="33"/>
        <v>38231</v>
      </c>
    </row>
    <row r="69" spans="1:54" x14ac:dyDescent="0.2">
      <c r="A69" s="10">
        <v>38261</v>
      </c>
      <c r="B69" s="17">
        <v>38</v>
      </c>
      <c r="C69" s="17">
        <v>24.362903225806448</v>
      </c>
      <c r="D69" s="45">
        <v>36.75</v>
      </c>
      <c r="E69" s="45">
        <v>27.5625</v>
      </c>
      <c r="F69" s="45">
        <f t="shared" si="4"/>
        <v>25.14329268292682</v>
      </c>
      <c r="G69" s="12">
        <f t="shared" si="30"/>
        <v>32.331989247311824</v>
      </c>
      <c r="H69" s="12">
        <f t="shared" si="5"/>
        <v>32.331989247311824</v>
      </c>
      <c r="I69" s="12">
        <f t="shared" si="6"/>
        <v>32.343048780487798</v>
      </c>
      <c r="K69" s="46">
        <v>3.4714202189621366</v>
      </c>
      <c r="M69" s="137">
        <v>1.4189461656670002</v>
      </c>
      <c r="N69" s="137">
        <v>6.2626774754520997E-2</v>
      </c>
      <c r="O69" s="14">
        <f t="shared" ca="1" si="7"/>
        <v>0.77070468270895565</v>
      </c>
      <c r="Q69" s="12">
        <f t="shared" si="0"/>
        <v>53.919954295346002</v>
      </c>
      <c r="R69" s="12">
        <f t="shared" si="8"/>
        <v>34.569648116774246</v>
      </c>
      <c r="S69" s="12">
        <f t="shared" si="9"/>
        <v>45.877352170859794</v>
      </c>
      <c r="T69" s="12">
        <f t="shared" si="19"/>
        <v>35.676978744682152</v>
      </c>
      <c r="V69" s="15">
        <f t="shared" si="20"/>
        <v>5</v>
      </c>
      <c r="W69" s="15">
        <f t="shared" si="1"/>
        <v>26</v>
      </c>
      <c r="X69" s="21">
        <f t="shared" si="21"/>
        <v>31</v>
      </c>
      <c r="Y69" s="44">
        <v>5</v>
      </c>
      <c r="Z69" s="44">
        <v>5</v>
      </c>
      <c r="AA69" s="15">
        <f t="shared" si="22"/>
        <v>10</v>
      </c>
      <c r="AB69" s="22">
        <f t="shared" si="23"/>
        <v>21</v>
      </c>
      <c r="AD69">
        <f t="shared" si="24"/>
        <v>744</v>
      </c>
      <c r="AE69">
        <f t="shared" si="2"/>
        <v>416</v>
      </c>
      <c r="AF69">
        <f t="shared" si="3"/>
        <v>328</v>
      </c>
      <c r="AH69">
        <f t="shared" si="10"/>
        <v>744</v>
      </c>
      <c r="AI69">
        <f t="shared" si="11"/>
        <v>336</v>
      </c>
      <c r="AJ69">
        <f t="shared" si="12"/>
        <v>273</v>
      </c>
      <c r="AK69">
        <f t="shared" si="31"/>
        <v>294</v>
      </c>
      <c r="AL69">
        <f t="shared" si="13"/>
        <v>168</v>
      </c>
      <c r="AM69">
        <f t="shared" si="14"/>
        <v>240</v>
      </c>
      <c r="AO69" s="130">
        <f t="shared" si="15"/>
        <v>0.45161290322580644</v>
      </c>
      <c r="AP69" s="130">
        <f t="shared" si="16"/>
        <v>0.22580645161290322</v>
      </c>
      <c r="AQ69" s="130">
        <f t="shared" si="17"/>
        <v>0.32258064516129037</v>
      </c>
      <c r="AR69" s="66">
        <f t="shared" si="18"/>
        <v>0.54838709677419362</v>
      </c>
      <c r="BA69" s="31">
        <f t="shared" si="32"/>
        <v>0.39516129032258063</v>
      </c>
      <c r="BB69" s="10">
        <f t="shared" si="33"/>
        <v>38261</v>
      </c>
    </row>
    <row r="70" spans="1:54" x14ac:dyDescent="0.2">
      <c r="A70" s="10">
        <v>38292</v>
      </c>
      <c r="B70" s="17">
        <v>34</v>
      </c>
      <c r="C70" s="17">
        <v>24.4375</v>
      </c>
      <c r="D70" s="45">
        <v>32.75</v>
      </c>
      <c r="E70" s="45">
        <v>24.5625</v>
      </c>
      <c r="F70" s="45">
        <f t="shared" si="4"/>
        <v>23.240625000000001</v>
      </c>
      <c r="G70" s="12">
        <f t="shared" si="30"/>
        <v>29.218055555555555</v>
      </c>
      <c r="H70" s="12">
        <f t="shared" si="5"/>
        <v>29.218055555555555</v>
      </c>
      <c r="I70" s="12">
        <f t="shared" si="6"/>
        <v>29.265875000000001</v>
      </c>
      <c r="K70" s="46">
        <v>3.6486361180330023</v>
      </c>
      <c r="M70" s="137">
        <v>1.4178659122600001</v>
      </c>
      <c r="N70" s="137">
        <v>6.2633265869249999E-2</v>
      </c>
      <c r="O70" s="14">
        <f t="shared" ca="1" si="7"/>
        <v>0.76671831992154726</v>
      </c>
      <c r="Q70" s="12">
        <f t="shared" si="0"/>
        <v>48.207441016840008</v>
      </c>
      <c r="R70" s="12">
        <f t="shared" si="8"/>
        <v>34.649098230853753</v>
      </c>
      <c r="S70" s="12">
        <f t="shared" si="9"/>
        <v>41.427284994741143</v>
      </c>
      <c r="T70" s="12">
        <f t="shared" si="19"/>
        <v>32.952089967117566</v>
      </c>
      <c r="V70" s="15">
        <f t="shared" si="20"/>
        <v>5</v>
      </c>
      <c r="W70" s="15">
        <f t="shared" si="1"/>
        <v>25</v>
      </c>
      <c r="X70" s="21">
        <f t="shared" si="21"/>
        <v>30</v>
      </c>
      <c r="Y70" s="44">
        <v>4</v>
      </c>
      <c r="Z70" s="44">
        <v>4</v>
      </c>
      <c r="AA70" s="15">
        <f t="shared" si="22"/>
        <v>8</v>
      </c>
      <c r="AB70" s="22">
        <f t="shared" si="23"/>
        <v>22</v>
      </c>
      <c r="AC70">
        <v>1</v>
      </c>
      <c r="AD70">
        <f t="shared" si="24"/>
        <v>720</v>
      </c>
      <c r="AE70">
        <f t="shared" si="2"/>
        <v>400</v>
      </c>
      <c r="AF70">
        <f t="shared" si="3"/>
        <v>320</v>
      </c>
      <c r="AH70">
        <f t="shared" si="10"/>
        <v>720</v>
      </c>
      <c r="AI70">
        <f t="shared" si="11"/>
        <v>352</v>
      </c>
      <c r="AJ70">
        <f t="shared" si="12"/>
        <v>286</v>
      </c>
      <c r="AK70">
        <f t="shared" si="31"/>
        <v>308</v>
      </c>
      <c r="AL70">
        <f t="shared" si="13"/>
        <v>176</v>
      </c>
      <c r="AM70">
        <f t="shared" si="14"/>
        <v>192</v>
      </c>
      <c r="AO70" s="130">
        <f t="shared" si="15"/>
        <v>0.48888888888888887</v>
      </c>
      <c r="AP70" s="130">
        <f t="shared" si="16"/>
        <v>0.24444444444444444</v>
      </c>
      <c r="AQ70" s="130">
        <f t="shared" si="17"/>
        <v>0.26666666666666672</v>
      </c>
      <c r="AR70" s="66">
        <f t="shared" si="18"/>
        <v>0.51111111111111118</v>
      </c>
      <c r="BA70" s="31">
        <f t="shared" si="32"/>
        <v>0.42777777777777776</v>
      </c>
      <c r="BB70" s="10">
        <f t="shared" si="33"/>
        <v>38292</v>
      </c>
    </row>
    <row r="71" spans="1:54" x14ac:dyDescent="0.2">
      <c r="A71" s="10">
        <v>38322</v>
      </c>
      <c r="B71" s="17">
        <v>34</v>
      </c>
      <c r="C71" s="17">
        <v>21.612903225806448</v>
      </c>
      <c r="D71" s="45">
        <v>32.75</v>
      </c>
      <c r="E71" s="45">
        <v>24.5625</v>
      </c>
      <c r="F71" s="45">
        <f t="shared" si="4"/>
        <v>21.134146341463417</v>
      </c>
      <c r="G71" s="12">
        <f t="shared" si="30"/>
        <v>28.327956989247312</v>
      </c>
      <c r="H71" s="12">
        <f t="shared" si="5"/>
        <v>28.327956989247312</v>
      </c>
      <c r="I71" s="12">
        <f t="shared" si="6"/>
        <v>28.339024390243907</v>
      </c>
      <c r="K71" s="46">
        <v>3.7751689135707065</v>
      </c>
      <c r="M71" s="137">
        <v>1.4168221920270003</v>
      </c>
      <c r="N71" s="137">
        <v>6.2639547593194025E-2</v>
      </c>
      <c r="O71" s="14">
        <f t="shared" ca="1" si="7"/>
        <v>0.76287942895708571</v>
      </c>
      <c r="Q71" s="12">
        <f t="shared" si="0"/>
        <v>48.171954528918008</v>
      </c>
      <c r="R71" s="12">
        <f t="shared" si="8"/>
        <v>30.621640924454518</v>
      </c>
      <c r="S71" s="12">
        <f t="shared" si="9"/>
        <v>40.135678117151961</v>
      </c>
      <c r="T71" s="12">
        <f t="shared" si="19"/>
        <v>29.943327546131609</v>
      </c>
      <c r="V71" s="15">
        <f t="shared" si="20"/>
        <v>5</v>
      </c>
      <c r="W71" s="15">
        <f t="shared" si="1"/>
        <v>26</v>
      </c>
      <c r="X71" s="21">
        <f t="shared" si="21"/>
        <v>31</v>
      </c>
      <c r="Y71" s="44">
        <v>4</v>
      </c>
      <c r="Z71" s="44">
        <v>4</v>
      </c>
      <c r="AA71" s="15">
        <f t="shared" si="22"/>
        <v>8</v>
      </c>
      <c r="AB71" s="22">
        <f t="shared" si="23"/>
        <v>23</v>
      </c>
      <c r="AC71">
        <v>1</v>
      </c>
      <c r="AD71">
        <f t="shared" si="24"/>
        <v>744</v>
      </c>
      <c r="AE71">
        <f t="shared" si="2"/>
        <v>416</v>
      </c>
      <c r="AF71">
        <f t="shared" si="3"/>
        <v>328</v>
      </c>
      <c r="AH71">
        <f t="shared" si="10"/>
        <v>744</v>
      </c>
      <c r="AI71">
        <f t="shared" si="11"/>
        <v>368</v>
      </c>
      <c r="AJ71">
        <f t="shared" si="12"/>
        <v>299</v>
      </c>
      <c r="AK71">
        <f t="shared" si="31"/>
        <v>322</v>
      </c>
      <c r="AL71">
        <f t="shared" si="13"/>
        <v>184</v>
      </c>
      <c r="AM71">
        <f t="shared" si="14"/>
        <v>192</v>
      </c>
      <c r="AO71" s="130">
        <f t="shared" si="15"/>
        <v>0.4946236559139785</v>
      </c>
      <c r="AP71" s="130">
        <f t="shared" si="16"/>
        <v>0.24731182795698925</v>
      </c>
      <c r="AQ71" s="130">
        <f t="shared" si="17"/>
        <v>0.25806451612903225</v>
      </c>
      <c r="AR71" s="66">
        <f t="shared" si="18"/>
        <v>0.5053763440860215</v>
      </c>
      <c r="BA71" s="31">
        <f t="shared" si="32"/>
        <v>0.43279569892473119</v>
      </c>
      <c r="BB71" s="10">
        <f t="shared" si="33"/>
        <v>38322</v>
      </c>
    </row>
    <row r="72" spans="1:54" x14ac:dyDescent="0.2">
      <c r="A72" s="10">
        <v>38353</v>
      </c>
      <c r="B72" s="17">
        <v>24</v>
      </c>
      <c r="C72" s="17">
        <v>21.887096774193544</v>
      </c>
      <c r="D72" s="45">
        <v>24</v>
      </c>
      <c r="E72" s="45">
        <v>18</v>
      </c>
      <c r="F72" s="45">
        <f t="shared" si="4"/>
        <v>19.965116279069768</v>
      </c>
      <c r="G72" s="12">
        <f t="shared" si="30"/>
        <v>22.134408602150536</v>
      </c>
      <c r="H72" s="12">
        <f t="shared" si="5"/>
        <v>22.134408602150536</v>
      </c>
      <c r="I72" s="12">
        <f t="shared" si="6"/>
        <v>22.2246511627907</v>
      </c>
      <c r="K72" s="46">
        <v>3.978840657634958</v>
      </c>
      <c r="M72" s="137">
        <v>1.4157454208950002</v>
      </c>
      <c r="N72" s="137">
        <v>6.2646038707950019E-2</v>
      </c>
      <c r="O72" s="14">
        <f t="shared" ca="1" si="7"/>
        <v>0.75893199190489635</v>
      </c>
      <c r="Q72" s="12">
        <f t="shared" si="0"/>
        <v>33.977890101480007</v>
      </c>
      <c r="R72" s="12">
        <f t="shared" si="8"/>
        <v>30.986557034750241</v>
      </c>
      <c r="S72" s="12">
        <f t="shared" si="9"/>
        <v>31.336687622713523</v>
      </c>
      <c r="T72" s="12">
        <f t="shared" si="19"/>
        <v>28.265521949729251</v>
      </c>
      <c r="V72" s="15">
        <f t="shared" si="20"/>
        <v>6</v>
      </c>
      <c r="W72" s="15">
        <f t="shared" si="1"/>
        <v>25</v>
      </c>
      <c r="X72" s="21">
        <f t="shared" si="21"/>
        <v>31</v>
      </c>
      <c r="Y72" s="43">
        <v>5</v>
      </c>
      <c r="Z72" s="43">
        <v>5</v>
      </c>
      <c r="AA72" s="15">
        <f t="shared" si="22"/>
        <v>10</v>
      </c>
      <c r="AB72" s="22">
        <f t="shared" si="23"/>
        <v>21</v>
      </c>
      <c r="AC72">
        <v>1</v>
      </c>
      <c r="AD72">
        <f t="shared" si="24"/>
        <v>744</v>
      </c>
      <c r="AE72">
        <f t="shared" si="2"/>
        <v>400</v>
      </c>
      <c r="AF72">
        <f t="shared" si="3"/>
        <v>344</v>
      </c>
      <c r="AH72">
        <f t="shared" si="10"/>
        <v>744</v>
      </c>
      <c r="AI72">
        <f t="shared" si="11"/>
        <v>336</v>
      </c>
      <c r="AJ72">
        <f t="shared" si="12"/>
        <v>273</v>
      </c>
      <c r="AK72">
        <f t="shared" si="31"/>
        <v>294</v>
      </c>
      <c r="AL72">
        <f t="shared" si="13"/>
        <v>168</v>
      </c>
      <c r="AM72">
        <f t="shared" si="14"/>
        <v>240</v>
      </c>
      <c r="AO72" s="130">
        <f t="shared" si="15"/>
        <v>0.45161290322580644</v>
      </c>
      <c r="AP72" s="130">
        <f t="shared" si="16"/>
        <v>0.22580645161290322</v>
      </c>
      <c r="AQ72" s="130">
        <f t="shared" si="17"/>
        <v>0.32258064516129037</v>
      </c>
      <c r="AR72" s="66">
        <f t="shared" si="18"/>
        <v>0.54838709677419362</v>
      </c>
      <c r="BA72" s="31">
        <f t="shared" si="32"/>
        <v>0.39516129032258063</v>
      </c>
      <c r="BB72" s="10">
        <f t="shared" si="33"/>
        <v>38353</v>
      </c>
    </row>
    <row r="73" spans="1:54" x14ac:dyDescent="0.2">
      <c r="A73" s="10">
        <v>38384</v>
      </c>
      <c r="B73" s="17">
        <v>22</v>
      </c>
      <c r="C73" s="17">
        <v>19.964285714285708</v>
      </c>
      <c r="D73" s="45">
        <v>22</v>
      </c>
      <c r="E73" s="45">
        <v>16.5</v>
      </c>
      <c r="F73" s="45">
        <f t="shared" si="4"/>
        <v>19.194444444444436</v>
      </c>
      <c r="G73" s="12">
        <f t="shared" si="30"/>
        <v>20.797619047619044</v>
      </c>
      <c r="H73" s="12">
        <f t="shared" si="5"/>
        <v>20.797619047619044</v>
      </c>
      <c r="I73" s="12">
        <f t="shared" si="6"/>
        <v>20.765555555555551</v>
      </c>
      <c r="K73" s="46">
        <v>3.8190003803789754</v>
      </c>
      <c r="M73" s="137">
        <v>1.4146704153000003</v>
      </c>
      <c r="N73" s="137">
        <v>6.2652529822721015E-2</v>
      </c>
      <c r="O73" s="14">
        <f t="shared" ca="1" si="7"/>
        <v>0.75500419717451572</v>
      </c>
      <c r="Q73" s="12">
        <f t="shared" si="0"/>
        <v>31.122749136600007</v>
      </c>
      <c r="R73" s="12">
        <f t="shared" si="8"/>
        <v>28.242884362596424</v>
      </c>
      <c r="S73" s="12">
        <f t="shared" si="9"/>
        <v>29.421776375346429</v>
      </c>
      <c r="T73" s="12">
        <f t="shared" si="19"/>
        <v>27.153812693674993</v>
      </c>
      <c r="V73" s="15">
        <f t="shared" si="20"/>
        <v>4</v>
      </c>
      <c r="W73" s="15">
        <f t="shared" si="1"/>
        <v>24</v>
      </c>
      <c r="X73" s="21">
        <f t="shared" si="21"/>
        <v>28</v>
      </c>
      <c r="Y73" s="44">
        <v>4</v>
      </c>
      <c r="Z73" s="44">
        <v>4</v>
      </c>
      <c r="AA73" s="15">
        <f t="shared" si="22"/>
        <v>8</v>
      </c>
      <c r="AB73" s="22">
        <f t="shared" si="23"/>
        <v>20</v>
      </c>
      <c r="AD73">
        <f t="shared" si="24"/>
        <v>672</v>
      </c>
      <c r="AE73">
        <f t="shared" si="2"/>
        <v>384</v>
      </c>
      <c r="AF73">
        <f t="shared" si="3"/>
        <v>288</v>
      </c>
      <c r="AH73">
        <f t="shared" si="10"/>
        <v>672</v>
      </c>
      <c r="AI73">
        <f t="shared" si="11"/>
        <v>320</v>
      </c>
      <c r="AJ73">
        <f t="shared" si="12"/>
        <v>260</v>
      </c>
      <c r="AK73">
        <f t="shared" si="31"/>
        <v>280</v>
      </c>
      <c r="AL73">
        <f t="shared" si="13"/>
        <v>160</v>
      </c>
      <c r="AM73">
        <f t="shared" si="14"/>
        <v>192</v>
      </c>
      <c r="AO73" s="130">
        <f t="shared" si="15"/>
        <v>0.47619047619047616</v>
      </c>
      <c r="AP73" s="130">
        <f t="shared" si="16"/>
        <v>0.23809523809523808</v>
      </c>
      <c r="AQ73" s="130">
        <f t="shared" si="17"/>
        <v>0.28571428571428581</v>
      </c>
      <c r="AR73" s="66">
        <f t="shared" si="18"/>
        <v>0.52380952380952395</v>
      </c>
      <c r="BA73" s="31">
        <f t="shared" si="32"/>
        <v>0.41666666666666669</v>
      </c>
      <c r="BB73" s="10">
        <f t="shared" si="33"/>
        <v>38384</v>
      </c>
    </row>
    <row r="74" spans="1:54" x14ac:dyDescent="0.2">
      <c r="A74" s="10">
        <v>38412</v>
      </c>
      <c r="B74" s="17">
        <v>20</v>
      </c>
      <c r="C74" s="17">
        <v>17.895161290322577</v>
      </c>
      <c r="D74" s="45">
        <v>20</v>
      </c>
      <c r="E74" s="45">
        <v>15</v>
      </c>
      <c r="F74" s="45">
        <f t="shared" si="4"/>
        <v>17.301282051282051</v>
      </c>
      <c r="G74" s="12">
        <f t="shared" si="30"/>
        <v>18.868279569892472</v>
      </c>
      <c r="H74" s="12">
        <f t="shared" si="5"/>
        <v>18.868279569892472</v>
      </c>
      <c r="I74" s="12">
        <f t="shared" si="6"/>
        <v>18.812564102564103</v>
      </c>
      <c r="K74" s="46">
        <v>3.641097958074571</v>
      </c>
      <c r="M74" s="137">
        <v>1.413700957701</v>
      </c>
      <c r="N74" s="137">
        <v>6.2658392765106014E-2</v>
      </c>
      <c r="O74" s="14">
        <f t="shared" ca="1" si="7"/>
        <v>0.75147331680682661</v>
      </c>
      <c r="Q74" s="12">
        <f t="shared" ref="Q74:Q137" si="34">M74*B74</f>
        <v>28.274019154019999</v>
      </c>
      <c r="R74" s="12">
        <f t="shared" si="8"/>
        <v>25.298406654342891</v>
      </c>
      <c r="S74" s="12">
        <f t="shared" si="9"/>
        <v>26.674104898127201</v>
      </c>
      <c r="T74" s="12">
        <f t="shared" si="19"/>
        <v>24.458839005352559</v>
      </c>
      <c r="V74" s="15">
        <f t="shared" si="20"/>
        <v>4</v>
      </c>
      <c r="W74" s="15">
        <f t="shared" ref="W74:W137" si="35">X74-V74</f>
        <v>27</v>
      </c>
      <c r="X74" s="21">
        <f t="shared" si="21"/>
        <v>31</v>
      </c>
      <c r="Y74" s="44">
        <v>4</v>
      </c>
      <c r="Z74" s="44">
        <v>4</v>
      </c>
      <c r="AA74" s="15">
        <f t="shared" si="22"/>
        <v>8</v>
      </c>
      <c r="AB74" s="22">
        <f t="shared" si="23"/>
        <v>23</v>
      </c>
      <c r="AD74">
        <f t="shared" si="24"/>
        <v>744</v>
      </c>
      <c r="AE74">
        <f t="shared" ref="AE74:AE137" si="36">W74*16</f>
        <v>432</v>
      </c>
      <c r="AF74">
        <f t="shared" ref="AF74:AF137" si="37">V74*24+W74*8</f>
        <v>312</v>
      </c>
      <c r="AH74">
        <f t="shared" si="10"/>
        <v>744</v>
      </c>
      <c r="AI74">
        <f t="shared" si="11"/>
        <v>368</v>
      </c>
      <c r="AJ74">
        <f t="shared" si="12"/>
        <v>299</v>
      </c>
      <c r="AK74">
        <f t="shared" si="31"/>
        <v>322</v>
      </c>
      <c r="AL74">
        <f t="shared" si="13"/>
        <v>184</v>
      </c>
      <c r="AM74">
        <f t="shared" si="14"/>
        <v>192</v>
      </c>
      <c r="AO74" s="130">
        <f t="shared" si="15"/>
        <v>0.4946236559139785</v>
      </c>
      <c r="AP74" s="130">
        <f t="shared" si="16"/>
        <v>0.24731182795698925</v>
      </c>
      <c r="AQ74" s="130">
        <f t="shared" si="17"/>
        <v>0.25806451612903225</v>
      </c>
      <c r="AR74" s="66">
        <f t="shared" si="18"/>
        <v>0.5053763440860215</v>
      </c>
      <c r="BA74" s="31">
        <f t="shared" si="32"/>
        <v>0.43279569892473119</v>
      </c>
      <c r="BB74" s="10">
        <f t="shared" si="33"/>
        <v>38412</v>
      </c>
    </row>
    <row r="75" spans="1:54" x14ac:dyDescent="0.2">
      <c r="A75" s="10">
        <v>38443</v>
      </c>
      <c r="B75" s="17">
        <v>19.75</v>
      </c>
      <c r="C75" s="17">
        <v>11.154199999999999</v>
      </c>
      <c r="D75" s="45">
        <v>19.75</v>
      </c>
      <c r="E75" s="45">
        <v>14.8125</v>
      </c>
      <c r="F75" s="45">
        <f t="shared" si="4"/>
        <v>11.92436842105263</v>
      </c>
      <c r="G75" s="12">
        <f t="shared" si="30"/>
        <v>16.445844444444443</v>
      </c>
      <c r="H75" s="12">
        <f t="shared" si="5"/>
        <v>16.445844444444443</v>
      </c>
      <c r="I75" s="12">
        <f t="shared" si="6"/>
        <v>16.306722105263155</v>
      </c>
      <c r="K75" s="46">
        <v>3.40188139508356</v>
      </c>
      <c r="M75" s="137">
        <v>1.4126293046259999</v>
      </c>
      <c r="N75" s="137">
        <v>6.2664883879902017E-2</v>
      </c>
      <c r="O75" s="14">
        <f t="shared" ca="1" si="7"/>
        <v>0.74758264782558725</v>
      </c>
      <c r="Q75" s="12">
        <f t="shared" si="34"/>
        <v>27.899428766363499</v>
      </c>
      <c r="R75" s="12">
        <f t="shared" si="8"/>
        <v>15.756749789659327</v>
      </c>
      <c r="S75" s="12">
        <f t="shared" si="9"/>
        <v>23.231881801542919</v>
      </c>
      <c r="T75" s="12">
        <f t="shared" si="19"/>
        <v>16.844712270735808</v>
      </c>
      <c r="V75" s="15">
        <f t="shared" si="20"/>
        <v>4</v>
      </c>
      <c r="W75" s="15">
        <f t="shared" si="35"/>
        <v>26</v>
      </c>
      <c r="X75" s="21">
        <f t="shared" si="21"/>
        <v>30</v>
      </c>
      <c r="Y75" s="44">
        <v>5</v>
      </c>
      <c r="Z75" s="44">
        <v>4</v>
      </c>
      <c r="AA75" s="15">
        <f t="shared" si="22"/>
        <v>9</v>
      </c>
      <c r="AB75" s="22">
        <f t="shared" si="23"/>
        <v>21</v>
      </c>
      <c r="AD75">
        <f t="shared" si="24"/>
        <v>720</v>
      </c>
      <c r="AE75">
        <f t="shared" si="36"/>
        <v>416</v>
      </c>
      <c r="AF75">
        <f t="shared" si="37"/>
        <v>304</v>
      </c>
      <c r="AH75">
        <f t="shared" si="10"/>
        <v>720</v>
      </c>
      <c r="AI75">
        <f t="shared" si="11"/>
        <v>336</v>
      </c>
      <c r="AJ75">
        <f t="shared" si="12"/>
        <v>273</v>
      </c>
      <c r="AK75">
        <f t="shared" si="31"/>
        <v>294</v>
      </c>
      <c r="AL75">
        <f t="shared" si="13"/>
        <v>168</v>
      </c>
      <c r="AM75">
        <f t="shared" si="14"/>
        <v>216</v>
      </c>
      <c r="AO75" s="130">
        <f t="shared" si="15"/>
        <v>0.46666666666666667</v>
      </c>
      <c r="AP75" s="130">
        <f t="shared" si="16"/>
        <v>0.23333333333333334</v>
      </c>
      <c r="AQ75" s="130">
        <f t="shared" si="17"/>
        <v>0.30000000000000004</v>
      </c>
      <c r="AR75" s="66">
        <f t="shared" si="18"/>
        <v>0.53333333333333344</v>
      </c>
      <c r="BA75" s="31">
        <f t="shared" si="32"/>
        <v>0.40833333333333333</v>
      </c>
      <c r="BB75" s="10">
        <f t="shared" si="33"/>
        <v>38443</v>
      </c>
    </row>
    <row r="76" spans="1:54" x14ac:dyDescent="0.2">
      <c r="A76" s="10">
        <v>38473</v>
      </c>
      <c r="B76" s="17">
        <v>19.25</v>
      </c>
      <c r="C76" s="17">
        <v>3.8185483870967722</v>
      </c>
      <c r="D76" s="45">
        <v>18</v>
      </c>
      <c r="E76" s="45">
        <v>13.5</v>
      </c>
      <c r="F76" s="45">
        <f t="shared" si="4"/>
        <v>5.8924418604651159</v>
      </c>
      <c r="G76" s="12">
        <f t="shared" si="30"/>
        <v>13.073924731182796</v>
      </c>
      <c r="H76" s="12">
        <f t="shared" si="5"/>
        <v>13.073924731182796</v>
      </c>
      <c r="I76" s="12">
        <f t="shared" si="6"/>
        <v>13.372674418604651</v>
      </c>
      <c r="K76" s="46">
        <v>3.3682211791229086</v>
      </c>
      <c r="M76" s="137">
        <v>1.4115938943730002</v>
      </c>
      <c r="N76" s="137">
        <v>6.2671165603913018E-2</v>
      </c>
      <c r="O76" s="14">
        <f t="shared" ca="1" si="7"/>
        <v>0.74383592994198322</v>
      </c>
      <c r="Q76" s="12">
        <f t="shared" si="34"/>
        <v>27.173182466680252</v>
      </c>
      <c r="R76" s="12">
        <f t="shared" si="8"/>
        <v>5.3902395885936718</v>
      </c>
      <c r="S76" s="12">
        <f t="shared" si="9"/>
        <v>18.455072326029804</v>
      </c>
      <c r="T76" s="12">
        <f t="shared" si="19"/>
        <v>8.3177349531804392</v>
      </c>
      <c r="V76" s="15">
        <f t="shared" si="20"/>
        <v>6</v>
      </c>
      <c r="W76" s="15">
        <f t="shared" si="35"/>
        <v>25</v>
      </c>
      <c r="X76" s="21">
        <f t="shared" si="21"/>
        <v>31</v>
      </c>
      <c r="Y76" s="44">
        <v>4</v>
      </c>
      <c r="Z76" s="44">
        <v>5</v>
      </c>
      <c r="AA76" s="15">
        <f t="shared" si="22"/>
        <v>9</v>
      </c>
      <c r="AB76" s="22">
        <f t="shared" si="23"/>
        <v>22</v>
      </c>
      <c r="AC76">
        <v>1</v>
      </c>
      <c r="AD76">
        <f t="shared" si="24"/>
        <v>744</v>
      </c>
      <c r="AE76">
        <f t="shared" si="36"/>
        <v>400</v>
      </c>
      <c r="AF76">
        <f t="shared" si="37"/>
        <v>344</v>
      </c>
      <c r="AH76">
        <f t="shared" si="10"/>
        <v>744</v>
      </c>
      <c r="AI76">
        <f t="shared" si="11"/>
        <v>352</v>
      </c>
      <c r="AJ76">
        <f t="shared" si="12"/>
        <v>286</v>
      </c>
      <c r="AK76">
        <f t="shared" si="31"/>
        <v>308</v>
      </c>
      <c r="AL76">
        <f t="shared" si="13"/>
        <v>176</v>
      </c>
      <c r="AM76">
        <f t="shared" si="14"/>
        <v>216</v>
      </c>
      <c r="AO76" s="130">
        <f t="shared" si="15"/>
        <v>0.4731182795698925</v>
      </c>
      <c r="AP76" s="130">
        <f t="shared" si="16"/>
        <v>0.23655913978494625</v>
      </c>
      <c r="AQ76" s="130">
        <f t="shared" si="17"/>
        <v>0.29032258064516125</v>
      </c>
      <c r="AR76" s="66">
        <f t="shared" si="18"/>
        <v>0.5268817204301075</v>
      </c>
      <c r="BA76" s="31">
        <f t="shared" si="32"/>
        <v>0.41397849462365593</v>
      </c>
      <c r="BB76" s="10">
        <f t="shared" si="33"/>
        <v>38473</v>
      </c>
    </row>
    <row r="77" spans="1:54" x14ac:dyDescent="0.2">
      <c r="A77" s="10">
        <v>38504</v>
      </c>
      <c r="B77" s="17">
        <v>20.25</v>
      </c>
      <c r="C77" s="17">
        <v>3.45</v>
      </c>
      <c r="D77" s="45">
        <v>19</v>
      </c>
      <c r="E77" s="45">
        <v>14.25</v>
      </c>
      <c r="F77" s="45">
        <f t="shared" si="4"/>
        <v>5.723684210526315</v>
      </c>
      <c r="G77" s="12">
        <f t="shared" si="30"/>
        <v>14.116666666666667</v>
      </c>
      <c r="H77" s="12">
        <f t="shared" si="5"/>
        <v>14.116666666666667</v>
      </c>
      <c r="I77" s="12">
        <f t="shared" si="6"/>
        <v>13.858421052631581</v>
      </c>
      <c r="K77" s="46">
        <v>3.3744094563563736</v>
      </c>
      <c r="M77" s="137">
        <v>1.4105256968960003</v>
      </c>
      <c r="N77" s="137">
        <v>6.2677656718737013E-2</v>
      </c>
      <c r="O77" s="14">
        <f t="shared" ca="1" si="7"/>
        <v>0.73998329212451386</v>
      </c>
      <c r="Q77" s="12">
        <f t="shared" si="34"/>
        <v>28.563145362144006</v>
      </c>
      <c r="R77" s="12">
        <f t="shared" si="8"/>
        <v>4.8663136542912016</v>
      </c>
      <c r="S77" s="12">
        <f t="shared" si="9"/>
        <v>19.911921087848537</v>
      </c>
      <c r="T77" s="12">
        <f t="shared" si="19"/>
        <v>8.0734036598652636</v>
      </c>
      <c r="V77" s="15">
        <f t="shared" si="20"/>
        <v>4</v>
      </c>
      <c r="W77" s="15">
        <f t="shared" si="35"/>
        <v>26</v>
      </c>
      <c r="X77" s="21">
        <f t="shared" si="21"/>
        <v>30</v>
      </c>
      <c r="Y77" s="44">
        <v>4</v>
      </c>
      <c r="Z77" s="44">
        <v>4</v>
      </c>
      <c r="AA77" s="15">
        <f t="shared" si="22"/>
        <v>8</v>
      </c>
      <c r="AB77" s="22">
        <f t="shared" si="23"/>
        <v>22</v>
      </c>
      <c r="AD77">
        <f t="shared" si="24"/>
        <v>720</v>
      </c>
      <c r="AE77">
        <f t="shared" si="36"/>
        <v>416</v>
      </c>
      <c r="AF77">
        <f t="shared" si="37"/>
        <v>304</v>
      </c>
      <c r="AH77">
        <f t="shared" si="10"/>
        <v>720</v>
      </c>
      <c r="AI77">
        <f t="shared" si="11"/>
        <v>352</v>
      </c>
      <c r="AJ77">
        <f t="shared" si="12"/>
        <v>286</v>
      </c>
      <c r="AK77">
        <f t="shared" si="31"/>
        <v>308</v>
      </c>
      <c r="AL77">
        <f t="shared" si="13"/>
        <v>176</v>
      </c>
      <c r="AM77">
        <f t="shared" si="14"/>
        <v>192</v>
      </c>
      <c r="AO77" s="130">
        <f t="shared" si="15"/>
        <v>0.48888888888888887</v>
      </c>
      <c r="AP77" s="130">
        <f t="shared" si="16"/>
        <v>0.24444444444444444</v>
      </c>
      <c r="AQ77" s="130">
        <f t="shared" si="17"/>
        <v>0.26666666666666672</v>
      </c>
      <c r="AR77" s="66">
        <f t="shared" si="18"/>
        <v>0.51111111111111118</v>
      </c>
      <c r="BA77" s="31">
        <f t="shared" si="32"/>
        <v>0.42777777777777776</v>
      </c>
      <c r="BB77" s="10">
        <f t="shared" si="33"/>
        <v>38504</v>
      </c>
    </row>
    <row r="78" spans="1:54" x14ac:dyDescent="0.2">
      <c r="A78" s="10">
        <v>38534</v>
      </c>
      <c r="B78" s="17">
        <v>49.6</v>
      </c>
      <c r="C78" s="17">
        <v>12.70967741935484</v>
      </c>
      <c r="D78" s="45">
        <v>48.512500000000003</v>
      </c>
      <c r="E78" s="45">
        <v>36.384374999999999</v>
      </c>
      <c r="F78" s="45">
        <f t="shared" si="4"/>
        <v>17.624273255813943</v>
      </c>
      <c r="G78" s="12">
        <f t="shared" si="30"/>
        <v>34.815524193548384</v>
      </c>
      <c r="H78" s="12">
        <f t="shared" si="5"/>
        <v>34.815524193548384</v>
      </c>
      <c r="I78" s="12">
        <f t="shared" si="6"/>
        <v>35.53068023255814</v>
      </c>
      <c r="K78" s="46">
        <v>3.4540402197123958</v>
      </c>
      <c r="M78" s="137">
        <v>1.4094536622760001</v>
      </c>
      <c r="N78" s="137">
        <v>6.2687342227039006E-2</v>
      </c>
      <c r="O78" s="14">
        <f t="shared" ca="1" si="7"/>
        <v>0.73626133071794209</v>
      </c>
      <c r="Q78" s="12">
        <f t="shared" si="34"/>
        <v>69.908901648889611</v>
      </c>
      <c r="R78" s="12">
        <f t="shared" si="8"/>
        <v>17.91370138505626</v>
      </c>
      <c r="S78" s="12">
        <f t="shared" si="9"/>
        <v>49.070868078655458</v>
      </c>
      <c r="T78" s="12">
        <f t="shared" si="19"/>
        <v>24.840596485359924</v>
      </c>
      <c r="V78" s="15">
        <f t="shared" si="20"/>
        <v>6</v>
      </c>
      <c r="W78" s="15">
        <f t="shared" si="35"/>
        <v>25</v>
      </c>
      <c r="X78" s="21">
        <f t="shared" si="21"/>
        <v>31</v>
      </c>
      <c r="Y78" s="44">
        <v>5</v>
      </c>
      <c r="Z78" s="44">
        <v>5</v>
      </c>
      <c r="AA78" s="15">
        <f t="shared" si="22"/>
        <v>10</v>
      </c>
      <c r="AB78" s="22">
        <f t="shared" si="23"/>
        <v>21</v>
      </c>
      <c r="AC78">
        <v>1</v>
      </c>
      <c r="AD78">
        <f t="shared" si="24"/>
        <v>744</v>
      </c>
      <c r="AE78">
        <f t="shared" si="36"/>
        <v>400</v>
      </c>
      <c r="AF78">
        <f t="shared" si="37"/>
        <v>344</v>
      </c>
      <c r="AH78">
        <f t="shared" si="10"/>
        <v>744</v>
      </c>
      <c r="AI78">
        <f t="shared" si="11"/>
        <v>336</v>
      </c>
      <c r="AJ78">
        <f t="shared" si="12"/>
        <v>273</v>
      </c>
      <c r="AK78">
        <f t="shared" si="31"/>
        <v>294</v>
      </c>
      <c r="AL78">
        <f t="shared" si="13"/>
        <v>168</v>
      </c>
      <c r="AM78">
        <f t="shared" si="14"/>
        <v>240</v>
      </c>
      <c r="AO78" s="130">
        <f t="shared" si="15"/>
        <v>0.45161290322580644</v>
      </c>
      <c r="AP78" s="130">
        <f t="shared" si="16"/>
        <v>0.22580645161290322</v>
      </c>
      <c r="AQ78" s="130">
        <f t="shared" si="17"/>
        <v>0.32258064516129037</v>
      </c>
      <c r="AR78" s="66">
        <f t="shared" si="18"/>
        <v>0.54838709677419362</v>
      </c>
      <c r="BA78" s="31">
        <f t="shared" si="32"/>
        <v>0.39516129032258063</v>
      </c>
      <c r="BB78" s="10">
        <f t="shared" si="33"/>
        <v>38534</v>
      </c>
    </row>
    <row r="79" spans="1:54" x14ac:dyDescent="0.2">
      <c r="A79" s="10">
        <v>38565</v>
      </c>
      <c r="B79" s="17">
        <v>63.1</v>
      </c>
      <c r="C79" s="17">
        <v>21</v>
      </c>
      <c r="D79" s="45">
        <v>62.012500000000003</v>
      </c>
      <c r="E79" s="45">
        <v>46.509374999999999</v>
      </c>
      <c r="F79" s="45">
        <f t="shared" ref="F79:F142" si="38">((G79*AD79)-(B79*AE79))*(1/AF79)</f>
        <v>26.232692307692314</v>
      </c>
      <c r="G79" s="12">
        <f t="shared" si="30"/>
        <v>47.639516129032259</v>
      </c>
      <c r="H79" s="12">
        <f t="shared" ref="H79:H142" si="39">(F79*AF79+B79*AE79)/AD79</f>
        <v>47.639516129032259</v>
      </c>
      <c r="I79" s="12">
        <f t="shared" ref="I79:I142" si="40">B79*$C$5+F79*$C$6</f>
        <v>46.878384615384618</v>
      </c>
      <c r="K79" s="46">
        <v>3.4407154201492918</v>
      </c>
      <c r="M79" s="137">
        <v>1.4082528530370002</v>
      </c>
      <c r="N79" s="137">
        <v>6.270042817393702E-2</v>
      </c>
      <c r="O79" s="14">
        <f t="shared" ref="O79:O142" ca="1" si="41">1/((1+N79)^((A79-$B$2)/365))</f>
        <v>0.73242295614959174</v>
      </c>
      <c r="Q79" s="12">
        <f t="shared" si="34"/>
        <v>88.86075502663472</v>
      </c>
      <c r="R79" s="12">
        <f t="shared" ref="R79:R142" si="42">C79*M79</f>
        <v>29.573309913777003</v>
      </c>
      <c r="S79" s="12">
        <f t="shared" ref="S79:S142" si="43">M79*G79</f>
        <v>67.088484506011866</v>
      </c>
      <c r="T79" s="12">
        <f t="shared" si="19"/>
        <v>36.942263785149471</v>
      </c>
      <c r="V79" s="15">
        <f t="shared" si="20"/>
        <v>4</v>
      </c>
      <c r="W79" s="15">
        <f t="shared" si="35"/>
        <v>27</v>
      </c>
      <c r="X79" s="21">
        <f t="shared" si="21"/>
        <v>31</v>
      </c>
      <c r="Y79" s="44">
        <v>4</v>
      </c>
      <c r="Z79" s="44">
        <v>4</v>
      </c>
      <c r="AA79" s="15">
        <f t="shared" si="22"/>
        <v>8</v>
      </c>
      <c r="AB79" s="22">
        <f t="shared" si="23"/>
        <v>23</v>
      </c>
      <c r="AD79">
        <f t="shared" si="24"/>
        <v>744</v>
      </c>
      <c r="AE79">
        <f t="shared" si="36"/>
        <v>432</v>
      </c>
      <c r="AF79">
        <f t="shared" si="37"/>
        <v>312</v>
      </c>
      <c r="AH79">
        <f t="shared" ref="AH79:AH142" si="44">X79*24</f>
        <v>744</v>
      </c>
      <c r="AI79">
        <f t="shared" ref="AI79:AI142" si="45">AB79*16</f>
        <v>368</v>
      </c>
      <c r="AJ79">
        <f t="shared" ref="AJ79:AJ142" si="46">AB79*13</f>
        <v>299</v>
      </c>
      <c r="AK79">
        <f t="shared" si="31"/>
        <v>322</v>
      </c>
      <c r="AL79">
        <f t="shared" ref="AL79:AL142" si="47">AB79*8</f>
        <v>184</v>
      </c>
      <c r="AM79">
        <f t="shared" ref="AM79:AM142" si="48">AA79*24</f>
        <v>192</v>
      </c>
      <c r="AO79" s="130">
        <f t="shared" ref="AO79:AO142" si="49">AI79/AH79</f>
        <v>0.4946236559139785</v>
      </c>
      <c r="AP79" s="130">
        <f t="shared" ref="AP79:AP142" si="50">AL79/AH79</f>
        <v>0.24731182795698925</v>
      </c>
      <c r="AQ79" s="130">
        <f t="shared" ref="AQ79:AQ142" si="51">1-(AO79+AP79)</f>
        <v>0.25806451612903225</v>
      </c>
      <c r="AR79" s="66">
        <f t="shared" ref="AR79:AR142" si="52">AQ79+AP79</f>
        <v>0.5053763440860215</v>
      </c>
      <c r="BA79" s="31">
        <f t="shared" si="32"/>
        <v>0.43279569892473119</v>
      </c>
      <c r="BB79" s="10">
        <f t="shared" si="33"/>
        <v>38565</v>
      </c>
    </row>
    <row r="80" spans="1:54" x14ac:dyDescent="0.2">
      <c r="A80" s="10">
        <v>38596</v>
      </c>
      <c r="B80" s="17">
        <v>50.5</v>
      </c>
      <c r="C80" s="17">
        <v>21.75</v>
      </c>
      <c r="D80" s="45">
        <v>48.25</v>
      </c>
      <c r="E80" s="45">
        <v>36.1875</v>
      </c>
      <c r="F80" s="45">
        <f t="shared" si="38"/>
        <v>23.550000000000011</v>
      </c>
      <c r="G80" s="12">
        <f t="shared" si="30"/>
        <v>38.522222222222226</v>
      </c>
      <c r="H80" s="12">
        <f t="shared" si="39"/>
        <v>38.522222222222226</v>
      </c>
      <c r="I80" s="12">
        <f t="shared" si="40"/>
        <v>38.642000000000003</v>
      </c>
      <c r="K80" s="46">
        <v>3.4221071483159808</v>
      </c>
      <c r="M80" s="137">
        <v>1.4070495327550001</v>
      </c>
      <c r="N80" s="137">
        <v>6.2713514120890004E-2</v>
      </c>
      <c r="O80" s="14">
        <f t="shared" ca="1" si="41"/>
        <v>0.72860306886812698</v>
      </c>
      <c r="Q80" s="12">
        <f t="shared" si="34"/>
        <v>71.0560014041275</v>
      </c>
      <c r="R80" s="12">
        <f t="shared" si="42"/>
        <v>30.603327337421252</v>
      </c>
      <c r="S80" s="12">
        <f t="shared" si="43"/>
        <v>54.202674778462068</v>
      </c>
      <c r="T80" s="12">
        <f t="shared" ref="T80:T143" si="53">F80*M80</f>
        <v>33.136016496380272</v>
      </c>
      <c r="V80" s="15">
        <f t="shared" ref="V80:V143" si="54">Z80+AC80</f>
        <v>5</v>
      </c>
      <c r="W80" s="15">
        <f t="shared" si="35"/>
        <v>25</v>
      </c>
      <c r="X80" s="21">
        <f>A81-A80</f>
        <v>30</v>
      </c>
      <c r="Y80" s="44">
        <v>4</v>
      </c>
      <c r="Z80" s="44">
        <v>4</v>
      </c>
      <c r="AA80" s="15">
        <f>Y80+Z80</f>
        <v>8</v>
      </c>
      <c r="AB80" s="22">
        <f>X80-AA80</f>
        <v>22</v>
      </c>
      <c r="AC80">
        <v>1</v>
      </c>
      <c r="AD80">
        <f t="shared" ref="AD80:AD143" si="55">X80*24</f>
        <v>720</v>
      </c>
      <c r="AE80">
        <f t="shared" si="36"/>
        <v>400</v>
      </c>
      <c r="AF80">
        <f t="shared" si="37"/>
        <v>320</v>
      </c>
      <c r="AH80">
        <f t="shared" si="44"/>
        <v>720</v>
      </c>
      <c r="AI80">
        <f t="shared" si="45"/>
        <v>352</v>
      </c>
      <c r="AJ80">
        <f t="shared" si="46"/>
        <v>286</v>
      </c>
      <c r="AK80">
        <f t="shared" si="31"/>
        <v>308</v>
      </c>
      <c r="AL80">
        <f t="shared" si="47"/>
        <v>176</v>
      </c>
      <c r="AM80">
        <f t="shared" si="48"/>
        <v>192</v>
      </c>
      <c r="AO80" s="130">
        <f t="shared" si="49"/>
        <v>0.48888888888888887</v>
      </c>
      <c r="AP80" s="130">
        <f t="shared" si="50"/>
        <v>0.24444444444444444</v>
      </c>
      <c r="AQ80" s="130">
        <f t="shared" si="51"/>
        <v>0.26666666666666672</v>
      </c>
      <c r="AR80" s="66">
        <f t="shared" si="52"/>
        <v>0.51111111111111118</v>
      </c>
      <c r="BA80" s="31">
        <f t="shared" si="32"/>
        <v>0.42777777777777776</v>
      </c>
      <c r="BB80" s="10">
        <f t="shared" si="33"/>
        <v>38596</v>
      </c>
    </row>
    <row r="81" spans="1:54" x14ac:dyDescent="0.2">
      <c r="A81" s="10">
        <v>38626</v>
      </c>
      <c r="B81" s="17">
        <v>34.75</v>
      </c>
      <c r="C81" s="17">
        <v>22.112903225806448</v>
      </c>
      <c r="D81" s="45">
        <v>33.5</v>
      </c>
      <c r="E81" s="45">
        <v>25.125</v>
      </c>
      <c r="F81" s="45">
        <f t="shared" si="38"/>
        <v>22.847560975609756</v>
      </c>
      <c r="G81" s="12">
        <f t="shared" si="30"/>
        <v>29.502688172043012</v>
      </c>
      <c r="H81" s="12">
        <f t="shared" si="39"/>
        <v>29.502688172043012</v>
      </c>
      <c r="I81" s="12">
        <f t="shared" si="40"/>
        <v>29.512926829268292</v>
      </c>
      <c r="K81" s="46">
        <v>3.44073614442003</v>
      </c>
      <c r="M81" s="137">
        <v>1.4058826462190002</v>
      </c>
      <c r="N81" s="137">
        <v>6.2726177940577013E-2</v>
      </c>
      <c r="O81" s="14">
        <f t="shared" ca="1" si="41"/>
        <v>0.72492393033071179</v>
      </c>
      <c r="Q81" s="12">
        <f t="shared" si="34"/>
        <v>48.854421956110258</v>
      </c>
      <c r="R81" s="12">
        <f t="shared" si="42"/>
        <v>31.088146902681434</v>
      </c>
      <c r="S81" s="12">
        <f t="shared" si="43"/>
        <v>41.477317317885827</v>
      </c>
      <c r="T81" s="12">
        <f t="shared" si="53"/>
        <v>32.120989484040209</v>
      </c>
      <c r="V81" s="15">
        <f t="shared" si="54"/>
        <v>5</v>
      </c>
      <c r="W81" s="15">
        <f t="shared" si="35"/>
        <v>26</v>
      </c>
      <c r="X81" s="21">
        <f>A82-A81</f>
        <v>31</v>
      </c>
      <c r="Y81" s="44">
        <v>5</v>
      </c>
      <c r="Z81" s="44">
        <v>5</v>
      </c>
      <c r="AA81" s="15">
        <f>Y81+Z81</f>
        <v>10</v>
      </c>
      <c r="AB81" s="22">
        <f>X81-AA81</f>
        <v>21</v>
      </c>
      <c r="AD81">
        <f t="shared" si="55"/>
        <v>744</v>
      </c>
      <c r="AE81">
        <f t="shared" si="36"/>
        <v>416</v>
      </c>
      <c r="AF81">
        <f t="shared" si="37"/>
        <v>328</v>
      </c>
      <c r="AH81">
        <f t="shared" si="44"/>
        <v>744</v>
      </c>
      <c r="AI81">
        <f t="shared" si="45"/>
        <v>336</v>
      </c>
      <c r="AJ81">
        <f t="shared" si="46"/>
        <v>273</v>
      </c>
      <c r="AK81">
        <f t="shared" si="31"/>
        <v>294</v>
      </c>
      <c r="AL81">
        <f t="shared" si="47"/>
        <v>168</v>
      </c>
      <c r="AM81">
        <f t="shared" si="48"/>
        <v>240</v>
      </c>
      <c r="AO81" s="130">
        <f t="shared" si="49"/>
        <v>0.45161290322580644</v>
      </c>
      <c r="AP81" s="130">
        <f t="shared" si="50"/>
        <v>0.22580645161290322</v>
      </c>
      <c r="AQ81" s="130">
        <f t="shared" si="51"/>
        <v>0.32258064516129037</v>
      </c>
      <c r="AR81" s="66">
        <f t="shared" si="52"/>
        <v>0.54838709677419362</v>
      </c>
      <c r="BA81" s="31">
        <f t="shared" si="32"/>
        <v>0.39516129032258063</v>
      </c>
      <c r="BB81" s="10">
        <f t="shared" si="33"/>
        <v>38626</v>
      </c>
    </row>
    <row r="82" spans="1:54" x14ac:dyDescent="0.2">
      <c r="A82" s="10">
        <v>38657</v>
      </c>
      <c r="B82" s="17">
        <v>30.75</v>
      </c>
      <c r="C82" s="17">
        <v>22.1875</v>
      </c>
      <c r="D82" s="45">
        <v>29.5</v>
      </c>
      <c r="E82" s="45">
        <v>22.125</v>
      </c>
      <c r="F82" s="45">
        <f t="shared" si="38"/>
        <v>21.065625000000001</v>
      </c>
      <c r="G82" s="12">
        <f t="shared" ref="G82:G145" si="56">((Z82*16*E82)+(B82*W82*16)+(X82*8*C82))/(X82*24)</f>
        <v>26.445833333333333</v>
      </c>
      <c r="H82" s="12">
        <f t="shared" si="39"/>
        <v>26.445833333333333</v>
      </c>
      <c r="I82" s="12">
        <f t="shared" si="40"/>
        <v>26.488875</v>
      </c>
      <c r="K82" s="46">
        <v>3.5281318506853476</v>
      </c>
      <c r="M82" s="137">
        <v>1.4046744090790002</v>
      </c>
      <c r="N82" s="137">
        <v>6.2739263887644017E-2</v>
      </c>
      <c r="O82" s="14">
        <f t="shared" ca="1" si="41"/>
        <v>0.72114018661643298</v>
      </c>
      <c r="Q82" s="12">
        <f t="shared" si="34"/>
        <v>43.193738079179255</v>
      </c>
      <c r="R82" s="12">
        <f t="shared" si="42"/>
        <v>31.166213451440317</v>
      </c>
      <c r="S82" s="12">
        <f t="shared" si="43"/>
        <v>37.147785310101725</v>
      </c>
      <c r="T82" s="12">
        <f t="shared" si="53"/>
        <v>29.590344348754815</v>
      </c>
      <c r="V82" s="15">
        <f t="shared" si="54"/>
        <v>5</v>
      </c>
      <c r="W82" s="15">
        <f t="shared" si="35"/>
        <v>25</v>
      </c>
      <c r="X82" s="21">
        <f>A83-A82</f>
        <v>30</v>
      </c>
      <c r="Y82" s="44">
        <v>4</v>
      </c>
      <c r="Z82" s="44">
        <v>4</v>
      </c>
      <c r="AA82" s="15">
        <f>Y82+Z82</f>
        <v>8</v>
      </c>
      <c r="AB82" s="22">
        <f>X82-AA82</f>
        <v>22</v>
      </c>
      <c r="AC82">
        <v>1</v>
      </c>
      <c r="AD82">
        <f t="shared" si="55"/>
        <v>720</v>
      </c>
      <c r="AE82">
        <f t="shared" si="36"/>
        <v>400</v>
      </c>
      <c r="AF82">
        <f t="shared" si="37"/>
        <v>320</v>
      </c>
      <c r="AH82">
        <f t="shared" si="44"/>
        <v>720</v>
      </c>
      <c r="AI82">
        <f t="shared" si="45"/>
        <v>352</v>
      </c>
      <c r="AJ82">
        <f t="shared" si="46"/>
        <v>286</v>
      </c>
      <c r="AK82">
        <f t="shared" ref="AK82:AK145" si="57">AB82*14</f>
        <v>308</v>
      </c>
      <c r="AL82">
        <f t="shared" si="47"/>
        <v>176</v>
      </c>
      <c r="AM82">
        <f t="shared" si="48"/>
        <v>192</v>
      </c>
      <c r="AO82" s="130">
        <f t="shared" si="49"/>
        <v>0.48888888888888887</v>
      </c>
      <c r="AP82" s="130">
        <f t="shared" si="50"/>
        <v>0.24444444444444444</v>
      </c>
      <c r="AQ82" s="130">
        <f t="shared" si="51"/>
        <v>0.26666666666666672</v>
      </c>
      <c r="AR82" s="66">
        <f t="shared" si="52"/>
        <v>0.51111111111111118</v>
      </c>
      <c r="BA82" s="31">
        <f t="shared" ref="BA82:BA100" si="58">AK82/AD82</f>
        <v>0.42777777777777776</v>
      </c>
      <c r="BB82" s="10">
        <f t="shared" ref="BB82:BB100" si="59">A82</f>
        <v>38657</v>
      </c>
    </row>
    <row r="83" spans="1:54" x14ac:dyDescent="0.2">
      <c r="A83" s="10">
        <v>38687</v>
      </c>
      <c r="B83" s="17">
        <v>30.75</v>
      </c>
      <c r="C83" s="17">
        <v>19.362903225806448</v>
      </c>
      <c r="D83" s="45">
        <v>29.5</v>
      </c>
      <c r="E83" s="45">
        <v>22.125</v>
      </c>
      <c r="F83" s="45">
        <f t="shared" si="38"/>
        <v>18.957317073170731</v>
      </c>
      <c r="G83" s="12">
        <f t="shared" si="56"/>
        <v>25.551075268817204</v>
      </c>
      <c r="H83" s="12">
        <f t="shared" si="39"/>
        <v>25.551075268817204</v>
      </c>
      <c r="I83" s="12">
        <f t="shared" si="40"/>
        <v>25.561219512195123</v>
      </c>
      <c r="K83" s="46">
        <v>3.6498929605687667</v>
      </c>
      <c r="M83" s="137">
        <v>1.4035027798640003</v>
      </c>
      <c r="N83" s="137">
        <v>6.2751927707439023E-2</v>
      </c>
      <c r="O83" s="14">
        <f t="shared" ca="1" si="41"/>
        <v>0.71749587581991392</v>
      </c>
      <c r="Q83" s="12">
        <f t="shared" si="34"/>
        <v>43.157710480818011</v>
      </c>
      <c r="R83" s="12">
        <f t="shared" si="42"/>
        <v>27.175888503656967</v>
      </c>
      <c r="S83" s="12">
        <f t="shared" si="43"/>
        <v>35.861005168299258</v>
      </c>
      <c r="T83" s="12">
        <f t="shared" si="53"/>
        <v>26.606647210958396</v>
      </c>
      <c r="V83" s="15">
        <f t="shared" si="54"/>
        <v>5</v>
      </c>
      <c r="W83" s="15">
        <f t="shared" si="35"/>
        <v>26</v>
      </c>
      <c r="X83" s="23">
        <f>A84-A83</f>
        <v>31</v>
      </c>
      <c r="Y83" s="44">
        <v>5</v>
      </c>
      <c r="Z83" s="44">
        <v>4</v>
      </c>
      <c r="AA83" s="15">
        <f>Y83+Z83</f>
        <v>9</v>
      </c>
      <c r="AB83" s="24">
        <f>X83-AA83</f>
        <v>22</v>
      </c>
      <c r="AC83">
        <v>1</v>
      </c>
      <c r="AD83">
        <f t="shared" si="55"/>
        <v>744</v>
      </c>
      <c r="AE83">
        <f t="shared" si="36"/>
        <v>416</v>
      </c>
      <c r="AF83">
        <f t="shared" si="37"/>
        <v>328</v>
      </c>
      <c r="AH83">
        <f t="shared" si="44"/>
        <v>744</v>
      </c>
      <c r="AI83">
        <f t="shared" si="45"/>
        <v>352</v>
      </c>
      <c r="AJ83">
        <f t="shared" si="46"/>
        <v>286</v>
      </c>
      <c r="AK83">
        <f t="shared" si="57"/>
        <v>308</v>
      </c>
      <c r="AL83">
        <f t="shared" si="47"/>
        <v>176</v>
      </c>
      <c r="AM83">
        <f t="shared" si="48"/>
        <v>216</v>
      </c>
      <c r="AO83" s="130">
        <f t="shared" si="49"/>
        <v>0.4731182795698925</v>
      </c>
      <c r="AP83" s="130">
        <f t="shared" si="50"/>
        <v>0.23655913978494625</v>
      </c>
      <c r="AQ83" s="130">
        <f t="shared" si="51"/>
        <v>0.29032258064516125</v>
      </c>
      <c r="AR83" s="66">
        <f t="shared" si="52"/>
        <v>0.5268817204301075</v>
      </c>
      <c r="BA83" s="31">
        <f t="shared" si="58"/>
        <v>0.41397849462365593</v>
      </c>
      <c r="BB83" s="10">
        <f t="shared" si="59"/>
        <v>38687</v>
      </c>
    </row>
    <row r="84" spans="1:54" x14ac:dyDescent="0.2">
      <c r="A84" s="10">
        <v>38718</v>
      </c>
      <c r="B84" s="17">
        <v>32.1</v>
      </c>
      <c r="C84" s="17">
        <v>26.384677419354837</v>
      </c>
      <c r="D84" s="45">
        <v>32.35</v>
      </c>
      <c r="E84" s="45">
        <v>24.637499999999999</v>
      </c>
      <c r="F84" s="45">
        <f t="shared" si="38"/>
        <v>24.751162790697677</v>
      </c>
      <c r="G84" s="12">
        <f t="shared" si="56"/>
        <v>28.702150537634409</v>
      </c>
      <c r="H84" s="12">
        <f t="shared" si="39"/>
        <v>28.702150537634409</v>
      </c>
      <c r="I84" s="12">
        <f t="shared" si="40"/>
        <v>28.866511627906981</v>
      </c>
      <c r="K84" s="46">
        <v>3.8692389915762582</v>
      </c>
      <c r="M84" s="137">
        <v>1.4022896580669999</v>
      </c>
      <c r="N84" s="137">
        <v>6.2765013654617022E-2</v>
      </c>
      <c r="O84" s="14">
        <f t="shared" ca="1" si="41"/>
        <v>0.71374796644949101</v>
      </c>
      <c r="Q84" s="12">
        <f t="shared" si="34"/>
        <v>45.013498023950696</v>
      </c>
      <c r="R84" s="12">
        <f t="shared" si="42"/>
        <v>36.998960276595184</v>
      </c>
      <c r="S84" s="12">
        <f t="shared" si="43"/>
        <v>40.248728863206914</v>
      </c>
      <c r="T84" s="12">
        <f t="shared" si="53"/>
        <v>34.708299606528094</v>
      </c>
      <c r="V84" s="15">
        <f t="shared" si="54"/>
        <v>6</v>
      </c>
      <c r="W84" s="15">
        <f t="shared" si="35"/>
        <v>25</v>
      </c>
      <c r="X84" s="32">
        <f t="shared" ref="X84:X147" si="60">X72</f>
        <v>31</v>
      </c>
      <c r="Y84" s="43">
        <v>4</v>
      </c>
      <c r="Z84" s="43">
        <v>5</v>
      </c>
      <c r="AA84" s="32">
        <f t="shared" ref="AA84:AB99" si="61">AA72</f>
        <v>10</v>
      </c>
      <c r="AB84" s="32">
        <f t="shared" si="61"/>
        <v>21</v>
      </c>
      <c r="AC84">
        <v>1</v>
      </c>
      <c r="AD84">
        <f t="shared" si="55"/>
        <v>744</v>
      </c>
      <c r="AE84">
        <f t="shared" si="36"/>
        <v>400</v>
      </c>
      <c r="AF84">
        <f t="shared" si="37"/>
        <v>344</v>
      </c>
      <c r="AH84">
        <f t="shared" si="44"/>
        <v>744</v>
      </c>
      <c r="AI84">
        <f t="shared" si="45"/>
        <v>336</v>
      </c>
      <c r="AJ84">
        <f t="shared" si="46"/>
        <v>273</v>
      </c>
      <c r="AK84">
        <f t="shared" si="57"/>
        <v>294</v>
      </c>
      <c r="AL84">
        <f t="shared" si="47"/>
        <v>168</v>
      </c>
      <c r="AM84">
        <f t="shared" si="48"/>
        <v>240</v>
      </c>
      <c r="AO84" s="130">
        <f t="shared" si="49"/>
        <v>0.45161290322580644</v>
      </c>
      <c r="AP84" s="130">
        <f t="shared" si="50"/>
        <v>0.22580645161290322</v>
      </c>
      <c r="AQ84" s="130">
        <f t="shared" si="51"/>
        <v>0.32258064516129037</v>
      </c>
      <c r="AR84" s="66">
        <f t="shared" si="52"/>
        <v>0.54838709677419362</v>
      </c>
      <c r="BA84" s="31">
        <f t="shared" si="58"/>
        <v>0.39516129032258063</v>
      </c>
      <c r="BB84" s="10">
        <f t="shared" si="59"/>
        <v>38718</v>
      </c>
    </row>
    <row r="85" spans="1:54" x14ac:dyDescent="0.2">
      <c r="A85" s="10">
        <v>38749</v>
      </c>
      <c r="B85" s="17">
        <v>30.6</v>
      </c>
      <c r="C85" s="17">
        <v>25.353571428571424</v>
      </c>
      <c r="D85" s="45">
        <v>30.85</v>
      </c>
      <c r="E85" s="45">
        <v>23.512499999999999</v>
      </c>
      <c r="F85" s="45">
        <f t="shared" si="38"/>
        <v>24.944444444444443</v>
      </c>
      <c r="G85" s="12">
        <f t="shared" si="56"/>
        <v>28.176190476190477</v>
      </c>
      <c r="H85" s="12">
        <f t="shared" si="39"/>
        <v>28.176190476190477</v>
      </c>
      <c r="I85" s="12">
        <f t="shared" si="40"/>
        <v>28.111555555555555</v>
      </c>
      <c r="K85" s="46">
        <v>3.7169011075660068</v>
      </c>
      <c r="M85" s="137">
        <v>1.4010740662720003</v>
      </c>
      <c r="N85" s="137">
        <v>6.2778099601852017E-2</v>
      </c>
      <c r="O85" s="14">
        <f t="shared" ca="1" si="41"/>
        <v>0.71001815020883763</v>
      </c>
      <c r="Q85" s="12">
        <f t="shared" si="34"/>
        <v>42.872866427923213</v>
      </c>
      <c r="R85" s="12">
        <f t="shared" si="42"/>
        <v>35.522231415946173</v>
      </c>
      <c r="S85" s="12">
        <f t="shared" si="43"/>
        <v>39.476929762530602</v>
      </c>
      <c r="T85" s="12">
        <f t="shared" si="53"/>
        <v>34.949014208673781</v>
      </c>
      <c r="V85" s="15">
        <f t="shared" si="54"/>
        <v>4</v>
      </c>
      <c r="W85" s="15">
        <f t="shared" si="35"/>
        <v>24</v>
      </c>
      <c r="X85" s="32">
        <f t="shared" si="60"/>
        <v>28</v>
      </c>
      <c r="Y85" s="44">
        <v>4</v>
      </c>
      <c r="Z85" s="44">
        <v>4</v>
      </c>
      <c r="AA85" s="32">
        <f t="shared" si="61"/>
        <v>8</v>
      </c>
      <c r="AB85" s="32">
        <f t="shared" si="61"/>
        <v>20</v>
      </c>
      <c r="AD85">
        <f t="shared" si="55"/>
        <v>672</v>
      </c>
      <c r="AE85">
        <f t="shared" si="36"/>
        <v>384</v>
      </c>
      <c r="AF85">
        <f t="shared" si="37"/>
        <v>288</v>
      </c>
      <c r="AH85">
        <f t="shared" si="44"/>
        <v>672</v>
      </c>
      <c r="AI85">
        <f t="shared" si="45"/>
        <v>320</v>
      </c>
      <c r="AJ85">
        <f t="shared" si="46"/>
        <v>260</v>
      </c>
      <c r="AK85">
        <f t="shared" si="57"/>
        <v>280</v>
      </c>
      <c r="AL85">
        <f t="shared" si="47"/>
        <v>160</v>
      </c>
      <c r="AM85">
        <f t="shared" si="48"/>
        <v>192</v>
      </c>
      <c r="AO85" s="130">
        <f t="shared" si="49"/>
        <v>0.47619047619047616</v>
      </c>
      <c r="AP85" s="130">
        <f t="shared" si="50"/>
        <v>0.23809523809523808</v>
      </c>
      <c r="AQ85" s="130">
        <f t="shared" si="51"/>
        <v>0.28571428571428581</v>
      </c>
      <c r="AR85" s="66">
        <f t="shared" si="52"/>
        <v>0.52380952380952395</v>
      </c>
      <c r="BA85" s="31">
        <f t="shared" si="58"/>
        <v>0.41666666666666669</v>
      </c>
      <c r="BB85" s="10">
        <f t="shared" si="59"/>
        <v>38749</v>
      </c>
    </row>
    <row r="86" spans="1:54" x14ac:dyDescent="0.2">
      <c r="A86" s="10">
        <v>38777</v>
      </c>
      <c r="B86" s="17">
        <v>28.85</v>
      </c>
      <c r="C86" s="17">
        <v>21.880645161290321</v>
      </c>
      <c r="D86" s="45">
        <v>29.1</v>
      </c>
      <c r="E86" s="45">
        <v>22.2</v>
      </c>
      <c r="F86" s="45">
        <f t="shared" si="38"/>
        <v>21.946153846153848</v>
      </c>
      <c r="G86" s="12">
        <f t="shared" si="56"/>
        <v>25.954838709677421</v>
      </c>
      <c r="H86" s="12">
        <f t="shared" si="39"/>
        <v>25.954838709677421</v>
      </c>
      <c r="I86" s="12">
        <f t="shared" si="40"/>
        <v>25.812307692307694</v>
      </c>
      <c r="K86" s="46">
        <v>3.5452695426845824</v>
      </c>
      <c r="M86" s="137">
        <v>1.3999739963210001</v>
      </c>
      <c r="N86" s="137">
        <v>6.278991916714502E-2</v>
      </c>
      <c r="O86" s="14">
        <f t="shared" ca="1" si="41"/>
        <v>0.70666476966801617</v>
      </c>
      <c r="Q86" s="12">
        <f t="shared" si="34"/>
        <v>40.389249793860856</v>
      </c>
      <c r="R86" s="12">
        <f t="shared" si="42"/>
        <v>30.632334248533365</v>
      </c>
      <c r="S86" s="12">
        <f t="shared" si="43"/>
        <v>36.336099272254089</v>
      </c>
      <c r="T86" s="12">
        <f t="shared" si="53"/>
        <v>30.724044703875489</v>
      </c>
      <c r="V86" s="15">
        <f t="shared" si="54"/>
        <v>4</v>
      </c>
      <c r="W86" s="15">
        <f t="shared" si="35"/>
        <v>27</v>
      </c>
      <c r="X86" s="32">
        <f t="shared" si="60"/>
        <v>31</v>
      </c>
      <c r="Y86" s="44">
        <v>4</v>
      </c>
      <c r="Z86" s="44">
        <v>4</v>
      </c>
      <c r="AA86" s="32">
        <f t="shared" si="61"/>
        <v>8</v>
      </c>
      <c r="AB86" s="32">
        <f t="shared" si="61"/>
        <v>23</v>
      </c>
      <c r="AD86">
        <f t="shared" si="55"/>
        <v>744</v>
      </c>
      <c r="AE86">
        <f t="shared" si="36"/>
        <v>432</v>
      </c>
      <c r="AF86">
        <f t="shared" si="37"/>
        <v>312</v>
      </c>
      <c r="AH86">
        <f t="shared" si="44"/>
        <v>744</v>
      </c>
      <c r="AI86">
        <f t="shared" si="45"/>
        <v>368</v>
      </c>
      <c r="AJ86">
        <f t="shared" si="46"/>
        <v>299</v>
      </c>
      <c r="AK86">
        <f t="shared" si="57"/>
        <v>322</v>
      </c>
      <c r="AL86">
        <f t="shared" si="47"/>
        <v>184</v>
      </c>
      <c r="AM86">
        <f t="shared" si="48"/>
        <v>192</v>
      </c>
      <c r="AO86" s="130">
        <f t="shared" si="49"/>
        <v>0.4946236559139785</v>
      </c>
      <c r="AP86" s="130">
        <f t="shared" si="50"/>
        <v>0.24731182795698925</v>
      </c>
      <c r="AQ86" s="130">
        <f t="shared" si="51"/>
        <v>0.25806451612903225</v>
      </c>
      <c r="AR86" s="66">
        <f t="shared" si="52"/>
        <v>0.5053763440860215</v>
      </c>
      <c r="BA86" s="31">
        <f t="shared" si="58"/>
        <v>0.43279569892473119</v>
      </c>
      <c r="BB86" s="10">
        <f t="shared" si="59"/>
        <v>38777</v>
      </c>
    </row>
    <row r="87" spans="1:54" x14ac:dyDescent="0.2">
      <c r="A87" s="10">
        <v>38808</v>
      </c>
      <c r="B87" s="17">
        <v>27.35</v>
      </c>
      <c r="C87" s="17">
        <v>16.754200000000001</v>
      </c>
      <c r="D87" s="45">
        <v>26.85</v>
      </c>
      <c r="E87" s="45">
        <v>20.512499999999999</v>
      </c>
      <c r="F87" s="45">
        <f t="shared" si="38"/>
        <v>17.693775000000006</v>
      </c>
      <c r="G87" s="12">
        <f t="shared" si="56"/>
        <v>23.058344444444447</v>
      </c>
      <c r="H87" s="12">
        <f t="shared" si="39"/>
        <v>23.058344444444447</v>
      </c>
      <c r="I87" s="12">
        <f t="shared" si="40"/>
        <v>23.101261000000004</v>
      </c>
      <c r="K87" s="46">
        <v>3.3063439364374925</v>
      </c>
      <c r="M87" s="137">
        <v>1.3987537266400001</v>
      </c>
      <c r="N87" s="137">
        <v>6.2803005114487012E-2</v>
      </c>
      <c r="O87" s="14">
        <f t="shared" ca="1" si="41"/>
        <v>0.70296917082369159</v>
      </c>
      <c r="Q87" s="12">
        <f t="shared" si="34"/>
        <v>38.255914423604004</v>
      </c>
      <c r="R87" s="12">
        <f t="shared" si="42"/>
        <v>23.43499968687189</v>
      </c>
      <c r="S87" s="12">
        <f t="shared" si="43"/>
        <v>32.252945221815416</v>
      </c>
      <c r="T87" s="12">
        <f t="shared" si="53"/>
        <v>24.749233719579674</v>
      </c>
      <c r="V87" s="15">
        <f t="shared" si="54"/>
        <v>5</v>
      </c>
      <c r="W87" s="15">
        <f t="shared" si="35"/>
        <v>25</v>
      </c>
      <c r="X87" s="32">
        <f t="shared" si="60"/>
        <v>30</v>
      </c>
      <c r="Y87" s="44">
        <v>5</v>
      </c>
      <c r="Z87" s="44">
        <v>5</v>
      </c>
      <c r="AA87" s="32">
        <f t="shared" si="61"/>
        <v>9</v>
      </c>
      <c r="AB87" s="32">
        <f t="shared" si="61"/>
        <v>21</v>
      </c>
      <c r="AD87">
        <f t="shared" si="55"/>
        <v>720</v>
      </c>
      <c r="AE87">
        <f t="shared" si="36"/>
        <v>400</v>
      </c>
      <c r="AF87">
        <f t="shared" si="37"/>
        <v>320</v>
      </c>
      <c r="AH87">
        <f t="shared" si="44"/>
        <v>720</v>
      </c>
      <c r="AI87">
        <f t="shared" si="45"/>
        <v>336</v>
      </c>
      <c r="AJ87">
        <f t="shared" si="46"/>
        <v>273</v>
      </c>
      <c r="AK87">
        <f t="shared" si="57"/>
        <v>294</v>
      </c>
      <c r="AL87">
        <f t="shared" si="47"/>
        <v>168</v>
      </c>
      <c r="AM87">
        <f t="shared" si="48"/>
        <v>216</v>
      </c>
      <c r="AO87" s="130">
        <f t="shared" si="49"/>
        <v>0.46666666666666667</v>
      </c>
      <c r="AP87" s="130">
        <f t="shared" si="50"/>
        <v>0.23333333333333334</v>
      </c>
      <c r="AQ87" s="130">
        <f t="shared" si="51"/>
        <v>0.30000000000000004</v>
      </c>
      <c r="AR87" s="66">
        <f t="shared" si="52"/>
        <v>0.53333333333333344</v>
      </c>
      <c r="BA87" s="31">
        <f t="shared" si="58"/>
        <v>0.40833333333333333</v>
      </c>
      <c r="BB87" s="10">
        <f t="shared" si="59"/>
        <v>38808</v>
      </c>
    </row>
    <row r="88" spans="1:54" x14ac:dyDescent="0.2">
      <c r="A88" s="10">
        <v>38838</v>
      </c>
      <c r="B88" s="17">
        <v>26.35</v>
      </c>
      <c r="C88" s="17">
        <v>6.5540322580645158</v>
      </c>
      <c r="D88" s="45">
        <v>24.85</v>
      </c>
      <c r="E88" s="45">
        <v>18.45</v>
      </c>
      <c r="F88" s="45">
        <f t="shared" si="38"/>
        <v>8.5554878048780463</v>
      </c>
      <c r="G88" s="12">
        <f t="shared" si="56"/>
        <v>18.505107526881719</v>
      </c>
      <c r="H88" s="12">
        <f t="shared" si="39"/>
        <v>18.505107526881719</v>
      </c>
      <c r="I88" s="12">
        <f t="shared" si="40"/>
        <v>18.520414634146341</v>
      </c>
      <c r="K88" s="46">
        <v>3.2748726867620941</v>
      </c>
      <c r="M88" s="137">
        <v>1.3975704917540004</v>
      </c>
      <c r="N88" s="137">
        <v>6.2815668934550012E-2</v>
      </c>
      <c r="O88" s="14">
        <f t="shared" ca="1" si="41"/>
        <v>0.69940979521885227</v>
      </c>
      <c r="Q88" s="12">
        <f t="shared" si="34"/>
        <v>36.825982457717913</v>
      </c>
      <c r="R88" s="12">
        <f t="shared" si="42"/>
        <v>9.1597220858748063</v>
      </c>
      <c r="S88" s="12">
        <f t="shared" si="43"/>
        <v>25.862192226304739</v>
      </c>
      <c r="T88" s="12">
        <f t="shared" si="53"/>
        <v>11.956897298658765</v>
      </c>
      <c r="V88" s="15">
        <f t="shared" si="54"/>
        <v>5</v>
      </c>
      <c r="W88" s="15">
        <f t="shared" si="35"/>
        <v>26</v>
      </c>
      <c r="X88" s="32">
        <f t="shared" si="60"/>
        <v>31</v>
      </c>
      <c r="Y88" s="44">
        <v>4</v>
      </c>
      <c r="Z88" s="44">
        <v>4</v>
      </c>
      <c r="AA88" s="32">
        <f t="shared" si="61"/>
        <v>9</v>
      </c>
      <c r="AB88" s="32">
        <f t="shared" si="61"/>
        <v>22</v>
      </c>
      <c r="AC88">
        <v>1</v>
      </c>
      <c r="AD88">
        <f t="shared" si="55"/>
        <v>744</v>
      </c>
      <c r="AE88">
        <f t="shared" si="36"/>
        <v>416</v>
      </c>
      <c r="AF88">
        <f t="shared" si="37"/>
        <v>328</v>
      </c>
      <c r="AH88">
        <f t="shared" si="44"/>
        <v>744</v>
      </c>
      <c r="AI88">
        <f t="shared" si="45"/>
        <v>352</v>
      </c>
      <c r="AJ88">
        <f t="shared" si="46"/>
        <v>286</v>
      </c>
      <c r="AK88">
        <f t="shared" si="57"/>
        <v>308</v>
      </c>
      <c r="AL88">
        <f t="shared" si="47"/>
        <v>176</v>
      </c>
      <c r="AM88">
        <f t="shared" si="48"/>
        <v>216</v>
      </c>
      <c r="AO88" s="130">
        <f t="shared" si="49"/>
        <v>0.4731182795698925</v>
      </c>
      <c r="AP88" s="130">
        <f t="shared" si="50"/>
        <v>0.23655913978494625</v>
      </c>
      <c r="AQ88" s="130">
        <f t="shared" si="51"/>
        <v>0.29032258064516125</v>
      </c>
      <c r="AR88" s="66">
        <f t="shared" si="52"/>
        <v>0.5268817204301075</v>
      </c>
      <c r="BA88" s="31">
        <f t="shared" si="58"/>
        <v>0.41397849462365593</v>
      </c>
      <c r="BB88" s="10">
        <f t="shared" si="59"/>
        <v>38838</v>
      </c>
    </row>
    <row r="89" spans="1:54" x14ac:dyDescent="0.2">
      <c r="A89" s="10">
        <v>38869</v>
      </c>
      <c r="B89" s="17">
        <v>27.1</v>
      </c>
      <c r="C89" s="17">
        <v>7.6</v>
      </c>
      <c r="D89" s="45">
        <v>26.85</v>
      </c>
      <c r="E89" s="45">
        <v>19.95</v>
      </c>
      <c r="F89" s="45">
        <f t="shared" si="38"/>
        <v>10.19999999999999</v>
      </c>
      <c r="G89" s="12">
        <f t="shared" si="56"/>
        <v>19.964444444444442</v>
      </c>
      <c r="H89" s="12">
        <f t="shared" si="39"/>
        <v>19.964444444444442</v>
      </c>
      <c r="I89" s="12">
        <f t="shared" si="40"/>
        <v>19.663999999999998</v>
      </c>
      <c r="K89" s="46">
        <v>3.2828928359095118</v>
      </c>
      <c r="M89" s="137">
        <v>1.3963454174950003</v>
      </c>
      <c r="N89" s="137">
        <v>6.2828754882005011E-2</v>
      </c>
      <c r="O89" s="14">
        <f t="shared" ca="1" si="41"/>
        <v>0.69574927512860774</v>
      </c>
      <c r="Q89" s="12">
        <f t="shared" si="34"/>
        <v>37.84096081411451</v>
      </c>
      <c r="R89" s="12">
        <f t="shared" si="42"/>
        <v>10.612225172962003</v>
      </c>
      <c r="S89" s="12">
        <f t="shared" si="43"/>
        <v>27.877260512833516</v>
      </c>
      <c r="T89" s="12">
        <f t="shared" si="53"/>
        <v>14.24272325844899</v>
      </c>
      <c r="V89" s="15">
        <f t="shared" si="54"/>
        <v>4</v>
      </c>
      <c r="W89" s="15">
        <f t="shared" si="35"/>
        <v>26</v>
      </c>
      <c r="X89" s="32">
        <f t="shared" si="60"/>
        <v>30</v>
      </c>
      <c r="Y89" s="44">
        <v>4</v>
      </c>
      <c r="Z89" s="44">
        <v>4</v>
      </c>
      <c r="AA89" s="32">
        <f t="shared" si="61"/>
        <v>8</v>
      </c>
      <c r="AB89" s="32">
        <f t="shared" si="61"/>
        <v>22</v>
      </c>
      <c r="AD89">
        <f t="shared" si="55"/>
        <v>720</v>
      </c>
      <c r="AE89">
        <f t="shared" si="36"/>
        <v>416</v>
      </c>
      <c r="AF89">
        <f t="shared" si="37"/>
        <v>304</v>
      </c>
      <c r="AH89">
        <f t="shared" si="44"/>
        <v>720</v>
      </c>
      <c r="AI89">
        <f t="shared" si="45"/>
        <v>352</v>
      </c>
      <c r="AJ89">
        <f t="shared" si="46"/>
        <v>286</v>
      </c>
      <c r="AK89">
        <f t="shared" si="57"/>
        <v>308</v>
      </c>
      <c r="AL89">
        <f t="shared" si="47"/>
        <v>176</v>
      </c>
      <c r="AM89">
        <f t="shared" si="48"/>
        <v>192</v>
      </c>
      <c r="AO89" s="130">
        <f t="shared" si="49"/>
        <v>0.48888888888888887</v>
      </c>
      <c r="AP89" s="130">
        <f t="shared" si="50"/>
        <v>0.24444444444444444</v>
      </c>
      <c r="AQ89" s="130">
        <f t="shared" si="51"/>
        <v>0.26666666666666672</v>
      </c>
      <c r="AR89" s="66">
        <f t="shared" si="52"/>
        <v>0.51111111111111118</v>
      </c>
      <c r="BA89" s="31">
        <f t="shared" si="58"/>
        <v>0.42777777777777776</v>
      </c>
      <c r="BB89" s="10">
        <f t="shared" si="59"/>
        <v>38869</v>
      </c>
    </row>
    <row r="90" spans="1:54" x14ac:dyDescent="0.2">
      <c r="A90" s="10">
        <v>38899</v>
      </c>
      <c r="B90" s="17">
        <v>59.16</v>
      </c>
      <c r="C90" s="17">
        <v>18.332258064516136</v>
      </c>
      <c r="D90" s="45">
        <v>59.297499999999999</v>
      </c>
      <c r="E90" s="45">
        <v>43.451250000000002</v>
      </c>
      <c r="F90" s="45">
        <f t="shared" si="38"/>
        <v>23.321220930232545</v>
      </c>
      <c r="G90" s="12">
        <f t="shared" si="56"/>
        <v>42.589381720430104</v>
      </c>
      <c r="H90" s="12">
        <f t="shared" si="39"/>
        <v>42.589381720430104</v>
      </c>
      <c r="I90" s="12">
        <f t="shared" si="40"/>
        <v>43.390937209302322</v>
      </c>
      <c r="K90" s="46">
        <v>3.3620671260972506</v>
      </c>
      <c r="M90" s="137">
        <v>1.3951575487300005</v>
      </c>
      <c r="N90" s="137">
        <v>6.2841418702176008E-2</v>
      </c>
      <c r="O90" s="14">
        <f t="shared" ca="1" si="41"/>
        <v>0.69222370064559857</v>
      </c>
      <c r="Q90" s="12">
        <f t="shared" si="34"/>
        <v>82.537520582866833</v>
      </c>
      <c r="R90" s="12">
        <f t="shared" si="42"/>
        <v>25.576388223976117</v>
      </c>
      <c r="S90" s="12">
        <f t="shared" si="43"/>
        <v>59.418897403001559</v>
      </c>
      <c r="T90" s="12">
        <f t="shared" si="53"/>
        <v>32.536777426414019</v>
      </c>
      <c r="V90" s="15">
        <f t="shared" si="54"/>
        <v>6</v>
      </c>
      <c r="W90" s="15">
        <f t="shared" si="35"/>
        <v>25</v>
      </c>
      <c r="X90" s="32">
        <f t="shared" si="60"/>
        <v>31</v>
      </c>
      <c r="Y90" s="44">
        <v>5</v>
      </c>
      <c r="Z90" s="44">
        <v>5</v>
      </c>
      <c r="AA90" s="32">
        <f t="shared" si="61"/>
        <v>10</v>
      </c>
      <c r="AB90" s="32">
        <f t="shared" si="61"/>
        <v>21</v>
      </c>
      <c r="AC90">
        <v>1</v>
      </c>
      <c r="AD90">
        <f t="shared" si="55"/>
        <v>744</v>
      </c>
      <c r="AE90">
        <f t="shared" si="36"/>
        <v>400</v>
      </c>
      <c r="AF90">
        <f t="shared" si="37"/>
        <v>344</v>
      </c>
      <c r="AH90">
        <f t="shared" si="44"/>
        <v>744</v>
      </c>
      <c r="AI90">
        <f t="shared" si="45"/>
        <v>336</v>
      </c>
      <c r="AJ90">
        <f t="shared" si="46"/>
        <v>273</v>
      </c>
      <c r="AK90">
        <f t="shared" si="57"/>
        <v>294</v>
      </c>
      <c r="AL90">
        <f t="shared" si="47"/>
        <v>168</v>
      </c>
      <c r="AM90">
        <f t="shared" si="48"/>
        <v>240</v>
      </c>
      <c r="AO90" s="130">
        <f t="shared" si="49"/>
        <v>0.45161290322580644</v>
      </c>
      <c r="AP90" s="130">
        <f t="shared" si="50"/>
        <v>0.22580645161290322</v>
      </c>
      <c r="AQ90" s="130">
        <f t="shared" si="51"/>
        <v>0.32258064516129037</v>
      </c>
      <c r="AR90" s="66">
        <f t="shared" si="52"/>
        <v>0.54838709677419362</v>
      </c>
      <c r="BA90" s="31">
        <f t="shared" si="58"/>
        <v>0.39516129032258063</v>
      </c>
      <c r="BB90" s="10">
        <f t="shared" si="59"/>
        <v>38899</v>
      </c>
    </row>
    <row r="91" spans="1:54" x14ac:dyDescent="0.2">
      <c r="A91" s="10">
        <v>38930</v>
      </c>
      <c r="B91" s="17">
        <v>72.16</v>
      </c>
      <c r="C91" s="17">
        <v>20.654838709677417</v>
      </c>
      <c r="D91" s="45">
        <v>72.297499999999999</v>
      </c>
      <c r="E91" s="45">
        <v>53.201250000000002</v>
      </c>
      <c r="F91" s="45">
        <f t="shared" si="38"/>
        <v>27.331025641025647</v>
      </c>
      <c r="G91" s="12">
        <f t="shared" si="56"/>
        <v>53.360752688172042</v>
      </c>
      <c r="H91" s="12">
        <f t="shared" si="39"/>
        <v>53.360752688172042</v>
      </c>
      <c r="I91" s="12">
        <f t="shared" si="40"/>
        <v>52.43525128205129</v>
      </c>
      <c r="K91" s="46">
        <v>3.3489639074412056</v>
      </c>
      <c r="M91" s="137">
        <v>1.3939277023860004</v>
      </c>
      <c r="N91" s="137">
        <v>6.2854504649743001E-2</v>
      </c>
      <c r="O91" s="14">
        <f t="shared" ca="1" si="41"/>
        <v>0.68859795802103141</v>
      </c>
      <c r="Q91" s="12">
        <f t="shared" si="34"/>
        <v>100.58582300417379</v>
      </c>
      <c r="R91" s="12">
        <f t="shared" si="42"/>
        <v>28.791351865734065</v>
      </c>
      <c r="S91" s="12">
        <f t="shared" si="43"/>
        <v>74.381031392211241</v>
      </c>
      <c r="T91" s="12">
        <f t="shared" si="53"/>
        <v>38.097473775647742</v>
      </c>
      <c r="V91" s="15">
        <f t="shared" si="54"/>
        <v>4</v>
      </c>
      <c r="W91" s="15">
        <f t="shared" si="35"/>
        <v>27</v>
      </c>
      <c r="X91" s="32">
        <f t="shared" si="60"/>
        <v>31</v>
      </c>
      <c r="Y91" s="44">
        <v>4</v>
      </c>
      <c r="Z91" s="44">
        <v>4</v>
      </c>
      <c r="AA91" s="32">
        <f t="shared" si="61"/>
        <v>8</v>
      </c>
      <c r="AB91" s="32">
        <f t="shared" si="61"/>
        <v>23</v>
      </c>
      <c r="AD91">
        <f t="shared" si="55"/>
        <v>744</v>
      </c>
      <c r="AE91">
        <f t="shared" si="36"/>
        <v>432</v>
      </c>
      <c r="AF91">
        <f t="shared" si="37"/>
        <v>312</v>
      </c>
      <c r="AH91">
        <f t="shared" si="44"/>
        <v>744</v>
      </c>
      <c r="AI91">
        <f t="shared" si="45"/>
        <v>368</v>
      </c>
      <c r="AJ91">
        <f t="shared" si="46"/>
        <v>299</v>
      </c>
      <c r="AK91">
        <f t="shared" si="57"/>
        <v>322</v>
      </c>
      <c r="AL91">
        <f t="shared" si="47"/>
        <v>184</v>
      </c>
      <c r="AM91">
        <f t="shared" si="48"/>
        <v>192</v>
      </c>
      <c r="AO91" s="130">
        <f t="shared" si="49"/>
        <v>0.4946236559139785</v>
      </c>
      <c r="AP91" s="130">
        <f t="shared" si="50"/>
        <v>0.24731182795698925</v>
      </c>
      <c r="AQ91" s="130">
        <f t="shared" si="51"/>
        <v>0.25806451612903225</v>
      </c>
      <c r="AR91" s="66">
        <f t="shared" si="52"/>
        <v>0.5053763440860215</v>
      </c>
      <c r="BA91" s="31">
        <f t="shared" si="58"/>
        <v>0.43279569892473119</v>
      </c>
      <c r="BB91" s="10">
        <f t="shared" si="59"/>
        <v>38930</v>
      </c>
    </row>
    <row r="92" spans="1:54" x14ac:dyDescent="0.2">
      <c r="A92" s="10">
        <v>38961</v>
      </c>
      <c r="B92" s="17">
        <v>64.599999999999994</v>
      </c>
      <c r="C92" s="17">
        <v>19.850000000000001</v>
      </c>
      <c r="D92" s="45">
        <v>64.599999999999994</v>
      </c>
      <c r="E92" s="45">
        <v>47.887500000000003</v>
      </c>
      <c r="F92" s="45">
        <f t="shared" si="38"/>
        <v>24.465</v>
      </c>
      <c r="G92" s="12">
        <f t="shared" si="56"/>
        <v>46.762222222222213</v>
      </c>
      <c r="H92" s="12">
        <f t="shared" si="39"/>
        <v>46.762222222222213</v>
      </c>
      <c r="I92" s="12">
        <f t="shared" si="40"/>
        <v>46.940600000000003</v>
      </c>
      <c r="K92" s="46">
        <v>3.329312131473174</v>
      </c>
      <c r="M92" s="137">
        <v>1.392695443364</v>
      </c>
      <c r="N92" s="137">
        <v>6.2867590597366019E-2</v>
      </c>
      <c r="O92" s="14">
        <f t="shared" ca="1" si="41"/>
        <v>0.68498977445000409</v>
      </c>
      <c r="Q92" s="12">
        <f t="shared" si="34"/>
        <v>89.968125641314387</v>
      </c>
      <c r="R92" s="12">
        <f t="shared" si="42"/>
        <v>27.645004550775401</v>
      </c>
      <c r="S92" s="12">
        <f t="shared" si="43"/>
        <v>65.125533810463651</v>
      </c>
      <c r="T92" s="12">
        <f t="shared" si="53"/>
        <v>34.072294021900262</v>
      </c>
      <c r="V92" s="15">
        <f t="shared" si="54"/>
        <v>5</v>
      </c>
      <c r="W92" s="15">
        <f t="shared" si="35"/>
        <v>25</v>
      </c>
      <c r="X92" s="32">
        <f t="shared" si="60"/>
        <v>30</v>
      </c>
      <c r="Y92" s="44">
        <v>5</v>
      </c>
      <c r="Z92" s="44">
        <v>4</v>
      </c>
      <c r="AA92" s="32">
        <f t="shared" si="61"/>
        <v>8</v>
      </c>
      <c r="AB92" s="32">
        <f t="shared" si="61"/>
        <v>22</v>
      </c>
      <c r="AC92">
        <v>1</v>
      </c>
      <c r="AD92">
        <f t="shared" si="55"/>
        <v>720</v>
      </c>
      <c r="AE92">
        <f t="shared" si="36"/>
        <v>400</v>
      </c>
      <c r="AF92">
        <f t="shared" si="37"/>
        <v>320</v>
      </c>
      <c r="AH92">
        <f t="shared" si="44"/>
        <v>720</v>
      </c>
      <c r="AI92">
        <f t="shared" si="45"/>
        <v>352</v>
      </c>
      <c r="AJ92">
        <f t="shared" si="46"/>
        <v>286</v>
      </c>
      <c r="AK92">
        <f t="shared" si="57"/>
        <v>308</v>
      </c>
      <c r="AL92">
        <f t="shared" si="47"/>
        <v>176</v>
      </c>
      <c r="AM92">
        <f t="shared" si="48"/>
        <v>192</v>
      </c>
      <c r="AO92" s="130">
        <f t="shared" si="49"/>
        <v>0.48888888888888887</v>
      </c>
      <c r="AP92" s="130">
        <f t="shared" si="50"/>
        <v>0.24444444444444444</v>
      </c>
      <c r="AQ92" s="130">
        <f t="shared" si="51"/>
        <v>0.26666666666666672</v>
      </c>
      <c r="AR92" s="66">
        <f t="shared" si="52"/>
        <v>0.51111111111111118</v>
      </c>
      <c r="BA92" s="31">
        <f t="shared" si="58"/>
        <v>0.42777777777777776</v>
      </c>
      <c r="BB92" s="10">
        <f t="shared" si="59"/>
        <v>38961</v>
      </c>
    </row>
    <row r="93" spans="1:54" x14ac:dyDescent="0.2">
      <c r="A93" s="10">
        <v>38991</v>
      </c>
      <c r="B93" s="17">
        <v>39.6</v>
      </c>
      <c r="C93" s="17">
        <v>25.711290322580641</v>
      </c>
      <c r="D93" s="45">
        <v>38.35</v>
      </c>
      <c r="E93" s="45">
        <v>27.637499999999999</v>
      </c>
      <c r="F93" s="45">
        <f t="shared" si="38"/>
        <v>26.181097560975616</v>
      </c>
      <c r="G93" s="12">
        <f t="shared" si="56"/>
        <v>33.68413978494624</v>
      </c>
      <c r="H93" s="12">
        <f t="shared" si="39"/>
        <v>33.68413978494624</v>
      </c>
      <c r="I93" s="12">
        <f t="shared" si="40"/>
        <v>33.695682926829271</v>
      </c>
      <c r="K93" s="46">
        <v>3.3465463243795646</v>
      </c>
      <c r="M93" s="137">
        <v>1.3915006453750001</v>
      </c>
      <c r="N93" s="137">
        <v>6.2880254417701023E-2</v>
      </c>
      <c r="O93" s="14">
        <f t="shared" ca="1" si="41"/>
        <v>0.68151462998769208</v>
      </c>
      <c r="Q93" s="12">
        <f t="shared" si="34"/>
        <v>55.103425556850006</v>
      </c>
      <c r="R93" s="12">
        <f t="shared" si="42"/>
        <v>35.777277077294954</v>
      </c>
      <c r="S93" s="12">
        <f t="shared" si="43"/>
        <v>46.871502249654405</v>
      </c>
      <c r="T93" s="12">
        <f t="shared" si="53"/>
        <v>36.431014152723407</v>
      </c>
      <c r="V93" s="15">
        <f t="shared" si="54"/>
        <v>5</v>
      </c>
      <c r="W93" s="15">
        <f t="shared" si="35"/>
        <v>26</v>
      </c>
      <c r="X93" s="32">
        <f t="shared" si="60"/>
        <v>31</v>
      </c>
      <c r="Y93" s="44">
        <v>4</v>
      </c>
      <c r="Z93" s="44">
        <v>5</v>
      </c>
      <c r="AA93" s="32">
        <f t="shared" si="61"/>
        <v>10</v>
      </c>
      <c r="AB93" s="32">
        <f t="shared" si="61"/>
        <v>21</v>
      </c>
      <c r="AD93">
        <f t="shared" si="55"/>
        <v>744</v>
      </c>
      <c r="AE93">
        <f t="shared" si="36"/>
        <v>416</v>
      </c>
      <c r="AF93">
        <f t="shared" si="37"/>
        <v>328</v>
      </c>
      <c r="AH93">
        <f t="shared" si="44"/>
        <v>744</v>
      </c>
      <c r="AI93">
        <f t="shared" si="45"/>
        <v>336</v>
      </c>
      <c r="AJ93">
        <f t="shared" si="46"/>
        <v>273</v>
      </c>
      <c r="AK93">
        <f t="shared" si="57"/>
        <v>294</v>
      </c>
      <c r="AL93">
        <f t="shared" si="47"/>
        <v>168</v>
      </c>
      <c r="AM93">
        <f t="shared" si="48"/>
        <v>240</v>
      </c>
      <c r="AO93" s="130">
        <f t="shared" si="49"/>
        <v>0.45161290322580644</v>
      </c>
      <c r="AP93" s="130">
        <f t="shared" si="50"/>
        <v>0.22580645161290322</v>
      </c>
      <c r="AQ93" s="130">
        <f t="shared" si="51"/>
        <v>0.32258064516129037</v>
      </c>
      <c r="AR93" s="66">
        <f t="shared" si="52"/>
        <v>0.54838709677419362</v>
      </c>
      <c r="BA93" s="31">
        <f t="shared" si="58"/>
        <v>0.39516129032258063</v>
      </c>
      <c r="BB93" s="10">
        <f t="shared" si="59"/>
        <v>38991</v>
      </c>
    </row>
    <row r="94" spans="1:54" x14ac:dyDescent="0.2">
      <c r="A94" s="10">
        <v>39022</v>
      </c>
      <c r="B94" s="17">
        <v>36.85</v>
      </c>
      <c r="C94" s="17">
        <v>26.487500000000001</v>
      </c>
      <c r="D94" s="45">
        <v>37.1</v>
      </c>
      <c r="E94" s="45">
        <v>25.387499999999999</v>
      </c>
      <c r="F94" s="45">
        <f t="shared" si="38"/>
        <v>24.943124999999998</v>
      </c>
      <c r="G94" s="12">
        <f t="shared" si="56"/>
        <v>31.558055555555555</v>
      </c>
      <c r="H94" s="12">
        <f t="shared" si="39"/>
        <v>31.558055555555555</v>
      </c>
      <c r="I94" s="12">
        <f t="shared" si="40"/>
        <v>31.610975000000003</v>
      </c>
      <c r="K94" s="46">
        <v>3.7506189245156403</v>
      </c>
      <c r="M94" s="137">
        <v>1.3902636634270003</v>
      </c>
      <c r="N94" s="137">
        <v>6.2893340365436007E-2</v>
      </c>
      <c r="O94" s="14">
        <f t="shared" ca="1" si="41"/>
        <v>0.67794077373691519</v>
      </c>
      <c r="Q94" s="12">
        <f t="shared" si="34"/>
        <v>51.231215997284963</v>
      </c>
      <c r="R94" s="12">
        <f t="shared" si="42"/>
        <v>36.824608785022669</v>
      </c>
      <c r="S94" s="12">
        <f t="shared" si="43"/>
        <v>43.874017927299462</v>
      </c>
      <c r="T94" s="12">
        <f t="shared" si="53"/>
        <v>34.67752033981759</v>
      </c>
      <c r="V94" s="15">
        <f t="shared" si="54"/>
        <v>5</v>
      </c>
      <c r="W94" s="15">
        <f t="shared" si="35"/>
        <v>25</v>
      </c>
      <c r="X94" s="32">
        <f t="shared" si="60"/>
        <v>30</v>
      </c>
      <c r="Y94" s="44">
        <v>4</v>
      </c>
      <c r="Z94" s="44">
        <v>4</v>
      </c>
      <c r="AA94" s="32">
        <f t="shared" si="61"/>
        <v>8</v>
      </c>
      <c r="AB94" s="32">
        <f t="shared" si="61"/>
        <v>22</v>
      </c>
      <c r="AC94">
        <v>1</v>
      </c>
      <c r="AD94">
        <f t="shared" si="55"/>
        <v>720</v>
      </c>
      <c r="AE94">
        <f t="shared" si="36"/>
        <v>400</v>
      </c>
      <c r="AF94">
        <f t="shared" si="37"/>
        <v>320</v>
      </c>
      <c r="AH94">
        <f t="shared" si="44"/>
        <v>720</v>
      </c>
      <c r="AI94">
        <f t="shared" si="45"/>
        <v>352</v>
      </c>
      <c r="AJ94">
        <f t="shared" si="46"/>
        <v>286</v>
      </c>
      <c r="AK94">
        <f t="shared" si="57"/>
        <v>308</v>
      </c>
      <c r="AL94">
        <f t="shared" si="47"/>
        <v>176</v>
      </c>
      <c r="AM94">
        <f t="shared" si="48"/>
        <v>192</v>
      </c>
      <c r="AO94" s="130">
        <f t="shared" si="49"/>
        <v>0.48888888888888887</v>
      </c>
      <c r="AP94" s="130">
        <f t="shared" si="50"/>
        <v>0.24444444444444444</v>
      </c>
      <c r="AQ94" s="130">
        <f t="shared" si="51"/>
        <v>0.26666666666666672</v>
      </c>
      <c r="AR94" s="66">
        <f t="shared" si="52"/>
        <v>0.51111111111111118</v>
      </c>
      <c r="BA94" s="31">
        <f t="shared" si="58"/>
        <v>0.42777777777777776</v>
      </c>
      <c r="BB94" s="10">
        <f t="shared" si="59"/>
        <v>39022</v>
      </c>
    </row>
    <row r="95" spans="1:54" x14ac:dyDescent="0.2">
      <c r="A95" s="10">
        <v>39052</v>
      </c>
      <c r="B95" s="17">
        <v>37.35</v>
      </c>
      <c r="C95" s="17">
        <v>25.598387096774193</v>
      </c>
      <c r="D95" s="45">
        <v>37.1</v>
      </c>
      <c r="E95" s="45">
        <v>25.012499999999999</v>
      </c>
      <c r="F95" s="45">
        <f t="shared" si="38"/>
        <v>24.271511627906982</v>
      </c>
      <c r="G95" s="12">
        <f t="shared" si="56"/>
        <v>31.302956989247313</v>
      </c>
      <c r="H95" s="12">
        <f t="shared" si="39"/>
        <v>31.302956989247313</v>
      </c>
      <c r="I95" s="12">
        <f t="shared" si="40"/>
        <v>31.595465116279073</v>
      </c>
      <c r="K95" s="46">
        <v>3.8821918465974248</v>
      </c>
      <c r="M95" s="137">
        <v>1.3890643106750002</v>
      </c>
      <c r="N95" s="137">
        <v>6.2906004185879008E-2</v>
      </c>
      <c r="O95" s="14">
        <f t="shared" ca="1" si="41"/>
        <v>0.67449870592832828</v>
      </c>
      <c r="Q95" s="12">
        <f t="shared" si="34"/>
        <v>51.881552003711263</v>
      </c>
      <c r="R95" s="12">
        <f t="shared" si="42"/>
        <v>35.557805926972463</v>
      </c>
      <c r="S95" s="12">
        <f t="shared" si="43"/>
        <v>43.481820372358001</v>
      </c>
      <c r="T95" s="12">
        <f t="shared" si="53"/>
        <v>33.714690568458863</v>
      </c>
      <c r="V95" s="15">
        <f t="shared" si="54"/>
        <v>6</v>
      </c>
      <c r="W95" s="15">
        <f t="shared" si="35"/>
        <v>25</v>
      </c>
      <c r="X95" s="32">
        <f t="shared" si="60"/>
        <v>31</v>
      </c>
      <c r="Y95" s="44">
        <v>5</v>
      </c>
      <c r="Z95" s="44">
        <v>5</v>
      </c>
      <c r="AA95" s="32">
        <f t="shared" si="61"/>
        <v>9</v>
      </c>
      <c r="AB95" s="32">
        <f t="shared" si="61"/>
        <v>22</v>
      </c>
      <c r="AC95">
        <v>1</v>
      </c>
      <c r="AD95">
        <f t="shared" si="55"/>
        <v>744</v>
      </c>
      <c r="AE95">
        <f t="shared" si="36"/>
        <v>400</v>
      </c>
      <c r="AF95">
        <f t="shared" si="37"/>
        <v>344</v>
      </c>
      <c r="AH95">
        <f t="shared" si="44"/>
        <v>744</v>
      </c>
      <c r="AI95">
        <f t="shared" si="45"/>
        <v>352</v>
      </c>
      <c r="AJ95">
        <f t="shared" si="46"/>
        <v>286</v>
      </c>
      <c r="AK95">
        <f t="shared" si="57"/>
        <v>308</v>
      </c>
      <c r="AL95">
        <f t="shared" si="47"/>
        <v>176</v>
      </c>
      <c r="AM95">
        <f t="shared" si="48"/>
        <v>216</v>
      </c>
      <c r="AO95" s="130">
        <f t="shared" si="49"/>
        <v>0.4731182795698925</v>
      </c>
      <c r="AP95" s="130">
        <f t="shared" si="50"/>
        <v>0.23655913978494625</v>
      </c>
      <c r="AQ95" s="130">
        <f t="shared" si="51"/>
        <v>0.29032258064516125</v>
      </c>
      <c r="AR95" s="66">
        <f t="shared" si="52"/>
        <v>0.5268817204301075</v>
      </c>
      <c r="BA95" s="31">
        <f t="shared" si="58"/>
        <v>0.41397849462365593</v>
      </c>
      <c r="BB95" s="10">
        <f t="shared" si="59"/>
        <v>39052</v>
      </c>
    </row>
    <row r="96" spans="1:54" x14ac:dyDescent="0.2">
      <c r="A96" s="10">
        <v>39083</v>
      </c>
      <c r="B96" s="17">
        <v>32.450000000000003</v>
      </c>
      <c r="C96" s="17">
        <v>26.684677419354838</v>
      </c>
      <c r="D96" s="45">
        <v>32.450000000000003</v>
      </c>
      <c r="E96" s="45">
        <v>24.712499999999999</v>
      </c>
      <c r="F96" s="45">
        <f t="shared" si="38"/>
        <v>24.998170731707322</v>
      </c>
      <c r="G96" s="12">
        <f t="shared" si="56"/>
        <v>29.164784946236562</v>
      </c>
      <c r="H96" s="12">
        <f t="shared" si="39"/>
        <v>29.164784946236562</v>
      </c>
      <c r="I96" s="12">
        <f t="shared" si="40"/>
        <v>29.171195121951225</v>
      </c>
      <c r="K96" s="46">
        <v>4.1366323249091046</v>
      </c>
      <c r="M96" s="137">
        <v>1.3878226384960002</v>
      </c>
      <c r="N96" s="137">
        <v>6.2919090133725E-2</v>
      </c>
      <c r="O96" s="14">
        <f t="shared" ca="1" si="41"/>
        <v>0.67095888133450055</v>
      </c>
      <c r="Q96" s="12">
        <f t="shared" si="34"/>
        <v>45.034844619195212</v>
      </c>
      <c r="R96" s="12">
        <f t="shared" si="42"/>
        <v>37.03359942354367</v>
      </c>
      <c r="S96" s="12">
        <f t="shared" si="43"/>
        <v>40.475548795254454</v>
      </c>
      <c r="T96" s="12">
        <f t="shared" si="53"/>
        <v>34.693027262451544</v>
      </c>
      <c r="V96" s="15">
        <f t="shared" si="54"/>
        <v>5</v>
      </c>
      <c r="W96" s="15">
        <f t="shared" si="35"/>
        <v>26</v>
      </c>
      <c r="X96" s="32">
        <f t="shared" si="60"/>
        <v>31</v>
      </c>
      <c r="Y96" s="43">
        <v>4</v>
      </c>
      <c r="Z96" s="43">
        <v>4</v>
      </c>
      <c r="AA96" s="32">
        <f t="shared" si="61"/>
        <v>10</v>
      </c>
      <c r="AB96" s="32">
        <f t="shared" si="61"/>
        <v>21</v>
      </c>
      <c r="AC96">
        <v>1</v>
      </c>
      <c r="AD96">
        <f t="shared" si="55"/>
        <v>744</v>
      </c>
      <c r="AE96">
        <f t="shared" si="36"/>
        <v>416</v>
      </c>
      <c r="AF96">
        <f t="shared" si="37"/>
        <v>328</v>
      </c>
      <c r="AH96">
        <f t="shared" si="44"/>
        <v>744</v>
      </c>
      <c r="AI96">
        <f t="shared" si="45"/>
        <v>336</v>
      </c>
      <c r="AJ96">
        <f t="shared" si="46"/>
        <v>273</v>
      </c>
      <c r="AK96">
        <f t="shared" si="57"/>
        <v>294</v>
      </c>
      <c r="AL96">
        <f t="shared" si="47"/>
        <v>168</v>
      </c>
      <c r="AM96">
        <f t="shared" si="48"/>
        <v>240</v>
      </c>
      <c r="AO96" s="130">
        <f t="shared" si="49"/>
        <v>0.45161290322580644</v>
      </c>
      <c r="AP96" s="130">
        <f t="shared" si="50"/>
        <v>0.22580645161290322</v>
      </c>
      <c r="AQ96" s="130">
        <f t="shared" si="51"/>
        <v>0.32258064516129037</v>
      </c>
      <c r="AR96" s="66">
        <f t="shared" si="52"/>
        <v>0.54838709677419362</v>
      </c>
      <c r="BA96" s="31">
        <f t="shared" si="58"/>
        <v>0.39516129032258063</v>
      </c>
      <c r="BB96" s="10">
        <f t="shared" si="59"/>
        <v>39083</v>
      </c>
    </row>
    <row r="97" spans="1:54" x14ac:dyDescent="0.2">
      <c r="A97" s="10">
        <v>39114</v>
      </c>
      <c r="B97" s="17">
        <v>30.95</v>
      </c>
      <c r="C97" s="17">
        <v>25.653571428571425</v>
      </c>
      <c r="D97" s="45">
        <v>30.95</v>
      </c>
      <c r="E97" s="45">
        <v>23.587499999999999</v>
      </c>
      <c r="F97" s="45">
        <f t="shared" si="38"/>
        <v>25.194444444444443</v>
      </c>
      <c r="G97" s="12">
        <f t="shared" si="56"/>
        <v>28.483333333333331</v>
      </c>
      <c r="H97" s="12">
        <f t="shared" si="39"/>
        <v>28.483333333333331</v>
      </c>
      <c r="I97" s="12">
        <f t="shared" si="40"/>
        <v>28.417555555555552</v>
      </c>
      <c r="K97" s="46">
        <v>3.9853054660203209</v>
      </c>
      <c r="M97" s="137">
        <v>1.3865785953100005</v>
      </c>
      <c r="N97" s="137">
        <v>6.2932176081629015E-2</v>
      </c>
      <c r="O97" s="14">
        <f t="shared" ca="1" si="41"/>
        <v>0.66743623892156134</v>
      </c>
      <c r="Q97" s="12">
        <f t="shared" si="34"/>
        <v>42.914607524844513</v>
      </c>
      <c r="R97" s="12">
        <f t="shared" si="42"/>
        <v>35.570693036113326</v>
      </c>
      <c r="S97" s="12">
        <f t="shared" si="43"/>
        <v>39.494380323079845</v>
      </c>
      <c r="T97" s="12">
        <f t="shared" si="53"/>
        <v>34.934077387393621</v>
      </c>
      <c r="V97" s="15">
        <f t="shared" si="54"/>
        <v>4</v>
      </c>
      <c r="W97" s="15">
        <f t="shared" si="35"/>
        <v>24</v>
      </c>
      <c r="X97" s="32">
        <f t="shared" si="60"/>
        <v>28</v>
      </c>
      <c r="Y97" s="44">
        <v>4</v>
      </c>
      <c r="Z97" s="44">
        <v>4</v>
      </c>
      <c r="AA97" s="32">
        <f t="shared" si="61"/>
        <v>8</v>
      </c>
      <c r="AB97" s="32">
        <f t="shared" si="61"/>
        <v>20</v>
      </c>
      <c r="AD97">
        <f t="shared" si="55"/>
        <v>672</v>
      </c>
      <c r="AE97">
        <f t="shared" si="36"/>
        <v>384</v>
      </c>
      <c r="AF97">
        <f t="shared" si="37"/>
        <v>288</v>
      </c>
      <c r="AH97">
        <f t="shared" si="44"/>
        <v>672</v>
      </c>
      <c r="AI97">
        <f t="shared" si="45"/>
        <v>320</v>
      </c>
      <c r="AJ97">
        <f t="shared" si="46"/>
        <v>260</v>
      </c>
      <c r="AK97">
        <f t="shared" si="57"/>
        <v>280</v>
      </c>
      <c r="AL97">
        <f t="shared" si="47"/>
        <v>160</v>
      </c>
      <c r="AM97">
        <f t="shared" si="48"/>
        <v>192</v>
      </c>
      <c r="AO97" s="130">
        <f t="shared" si="49"/>
        <v>0.47619047619047616</v>
      </c>
      <c r="AP97" s="130">
        <f t="shared" si="50"/>
        <v>0.23809523809523808</v>
      </c>
      <c r="AQ97" s="130">
        <f t="shared" si="51"/>
        <v>0.28571428571428581</v>
      </c>
      <c r="AR97" s="66">
        <f t="shared" si="52"/>
        <v>0.52380952380952395</v>
      </c>
      <c r="BA97" s="31">
        <f t="shared" si="58"/>
        <v>0.41666666666666669</v>
      </c>
      <c r="BB97" s="10">
        <f t="shared" si="59"/>
        <v>39114</v>
      </c>
    </row>
    <row r="98" spans="1:54" x14ac:dyDescent="0.2">
      <c r="A98" s="10">
        <v>39142</v>
      </c>
      <c r="B98" s="17">
        <v>29.2</v>
      </c>
      <c r="C98" s="17">
        <v>22.180645161290322</v>
      </c>
      <c r="D98" s="45">
        <v>29.2</v>
      </c>
      <c r="E98" s="45">
        <v>22.274999999999999</v>
      </c>
      <c r="F98" s="45">
        <f t="shared" si="38"/>
        <v>22.2</v>
      </c>
      <c r="G98" s="12">
        <f t="shared" si="56"/>
        <v>26.264516129032256</v>
      </c>
      <c r="H98" s="12">
        <f t="shared" si="39"/>
        <v>26.264516129032256</v>
      </c>
      <c r="I98" s="12">
        <f t="shared" si="40"/>
        <v>26.119999999999997</v>
      </c>
      <c r="K98" s="46">
        <v>3.7989499445319823</v>
      </c>
      <c r="M98" s="137">
        <v>1.3854529125170003</v>
      </c>
      <c r="N98" s="137">
        <v>6.2943995647526021E-2</v>
      </c>
      <c r="O98" s="14">
        <f t="shared" ca="1" si="41"/>
        <v>0.66426920303539627</v>
      </c>
      <c r="Q98" s="12">
        <f t="shared" si="34"/>
        <v>40.455225045496405</v>
      </c>
      <c r="R98" s="12">
        <f t="shared" si="42"/>
        <v>30.730239440215787</v>
      </c>
      <c r="S98" s="12">
        <f t="shared" si="43"/>
        <v>36.388250366817466</v>
      </c>
      <c r="T98" s="12">
        <f t="shared" si="53"/>
        <v>30.757054657877404</v>
      </c>
      <c r="V98" s="15">
        <f t="shared" si="54"/>
        <v>4</v>
      </c>
      <c r="W98" s="15">
        <f t="shared" si="35"/>
        <v>27</v>
      </c>
      <c r="X98" s="32">
        <f t="shared" si="60"/>
        <v>31</v>
      </c>
      <c r="Y98" s="44">
        <v>5</v>
      </c>
      <c r="Z98" s="44">
        <v>4</v>
      </c>
      <c r="AA98" s="32">
        <f t="shared" si="61"/>
        <v>8</v>
      </c>
      <c r="AB98" s="32">
        <f t="shared" si="61"/>
        <v>23</v>
      </c>
      <c r="AD98">
        <f t="shared" si="55"/>
        <v>744</v>
      </c>
      <c r="AE98">
        <f t="shared" si="36"/>
        <v>432</v>
      </c>
      <c r="AF98">
        <f t="shared" si="37"/>
        <v>312</v>
      </c>
      <c r="AH98">
        <f t="shared" si="44"/>
        <v>744</v>
      </c>
      <c r="AI98">
        <f t="shared" si="45"/>
        <v>368</v>
      </c>
      <c r="AJ98">
        <f t="shared" si="46"/>
        <v>299</v>
      </c>
      <c r="AK98">
        <f t="shared" si="57"/>
        <v>322</v>
      </c>
      <c r="AL98">
        <f t="shared" si="47"/>
        <v>184</v>
      </c>
      <c r="AM98">
        <f t="shared" si="48"/>
        <v>192</v>
      </c>
      <c r="AO98" s="130">
        <f t="shared" si="49"/>
        <v>0.4946236559139785</v>
      </c>
      <c r="AP98" s="130">
        <f t="shared" si="50"/>
        <v>0.24731182795698925</v>
      </c>
      <c r="AQ98" s="130">
        <f t="shared" si="51"/>
        <v>0.25806451612903225</v>
      </c>
      <c r="AR98" s="66">
        <f t="shared" si="52"/>
        <v>0.5053763440860215</v>
      </c>
      <c r="BA98" s="31">
        <f t="shared" si="58"/>
        <v>0.43279569892473119</v>
      </c>
      <c r="BB98" s="10">
        <f t="shared" si="59"/>
        <v>39142</v>
      </c>
    </row>
    <row r="99" spans="1:54" x14ac:dyDescent="0.2">
      <c r="A99" s="10">
        <v>39173</v>
      </c>
      <c r="B99" s="17">
        <v>26.95</v>
      </c>
      <c r="C99" s="17">
        <v>17.2042</v>
      </c>
      <c r="D99" s="45">
        <v>26.95</v>
      </c>
      <c r="E99" s="45">
        <v>20.587499999999999</v>
      </c>
      <c r="F99" s="45">
        <f t="shared" si="38"/>
        <v>18.050025000000005</v>
      </c>
      <c r="G99" s="12">
        <f t="shared" si="56"/>
        <v>22.994455555555557</v>
      </c>
      <c r="H99" s="12">
        <f t="shared" si="39"/>
        <v>22.994455555555557</v>
      </c>
      <c r="I99" s="12">
        <f t="shared" si="40"/>
        <v>23.034011000000003</v>
      </c>
      <c r="K99" s="46">
        <v>3.5597030307170381</v>
      </c>
      <c r="M99" s="137">
        <v>1.3842043801890003</v>
      </c>
      <c r="N99" s="137">
        <v>6.295708159553802E-2</v>
      </c>
      <c r="O99" s="14">
        <f t="shared" ca="1" si="41"/>
        <v>0.66077905385695568</v>
      </c>
      <c r="Q99" s="12">
        <f t="shared" si="34"/>
        <v>37.30430804609356</v>
      </c>
      <c r="R99" s="12">
        <f t="shared" si="42"/>
        <v>23.8141289976476</v>
      </c>
      <c r="S99" s="12">
        <f t="shared" si="43"/>
        <v>31.829026100061295</v>
      </c>
      <c r="T99" s="12">
        <f t="shared" si="53"/>
        <v>24.984923667520967</v>
      </c>
      <c r="V99" s="15">
        <f t="shared" si="54"/>
        <v>5</v>
      </c>
      <c r="W99" s="15">
        <f t="shared" si="35"/>
        <v>25</v>
      </c>
      <c r="X99" s="32">
        <f t="shared" si="60"/>
        <v>30</v>
      </c>
      <c r="Y99" s="44">
        <v>4</v>
      </c>
      <c r="Z99" s="44">
        <v>5</v>
      </c>
      <c r="AA99" s="32">
        <f t="shared" si="61"/>
        <v>9</v>
      </c>
      <c r="AB99" s="32">
        <f t="shared" si="61"/>
        <v>21</v>
      </c>
      <c r="AD99">
        <f t="shared" si="55"/>
        <v>720</v>
      </c>
      <c r="AE99">
        <f t="shared" si="36"/>
        <v>400</v>
      </c>
      <c r="AF99">
        <f t="shared" si="37"/>
        <v>320</v>
      </c>
      <c r="AH99">
        <f t="shared" si="44"/>
        <v>720</v>
      </c>
      <c r="AI99">
        <f t="shared" si="45"/>
        <v>336</v>
      </c>
      <c r="AJ99">
        <f t="shared" si="46"/>
        <v>273</v>
      </c>
      <c r="AK99">
        <f t="shared" si="57"/>
        <v>294</v>
      </c>
      <c r="AL99">
        <f t="shared" si="47"/>
        <v>168</v>
      </c>
      <c r="AM99">
        <f t="shared" si="48"/>
        <v>216</v>
      </c>
      <c r="AO99" s="130">
        <f t="shared" si="49"/>
        <v>0.46666666666666667</v>
      </c>
      <c r="AP99" s="130">
        <f t="shared" si="50"/>
        <v>0.23333333333333334</v>
      </c>
      <c r="AQ99" s="130">
        <f t="shared" si="51"/>
        <v>0.30000000000000004</v>
      </c>
      <c r="AR99" s="66">
        <f t="shared" si="52"/>
        <v>0.53333333333333344</v>
      </c>
      <c r="BA99" s="31">
        <f t="shared" si="58"/>
        <v>0.40833333333333333</v>
      </c>
      <c r="BB99" s="10">
        <f t="shared" si="59"/>
        <v>39173</v>
      </c>
    </row>
    <row r="100" spans="1:54" x14ac:dyDescent="0.2">
      <c r="A100" s="10">
        <v>39203</v>
      </c>
      <c r="B100" s="17">
        <v>24.95</v>
      </c>
      <c r="C100" s="17">
        <v>7.6483870967741918</v>
      </c>
      <c r="D100" s="45">
        <v>24.95</v>
      </c>
      <c r="E100" s="45">
        <v>18.524999999999999</v>
      </c>
      <c r="F100" s="45">
        <f t="shared" si="38"/>
        <v>9.3975609756097498</v>
      </c>
      <c r="G100" s="12">
        <f t="shared" si="56"/>
        <v>18.093548387096771</v>
      </c>
      <c r="H100" s="12">
        <f t="shared" si="39"/>
        <v>18.093548387096771</v>
      </c>
      <c r="I100" s="12">
        <f t="shared" si="40"/>
        <v>18.106926829268289</v>
      </c>
      <c r="K100" s="46">
        <v>3.4959440215396365</v>
      </c>
      <c r="M100" s="137">
        <v>1.3829938889450002</v>
      </c>
      <c r="N100" s="137">
        <v>6.2969745416249015E-2</v>
      </c>
      <c r="O100" s="14">
        <f t="shared" ca="1" si="41"/>
        <v>0.65741764269535485</v>
      </c>
      <c r="Q100" s="12">
        <f t="shared" si="34"/>
        <v>34.505697529177752</v>
      </c>
      <c r="R100" s="12">
        <f t="shared" si="42"/>
        <v>10.577672615124499</v>
      </c>
      <c r="S100" s="12">
        <f t="shared" si="43"/>
        <v>25.023266848685498</v>
      </c>
      <c r="T100" s="12">
        <f t="shared" si="53"/>
        <v>12.996769400256298</v>
      </c>
      <c r="V100" s="15">
        <f t="shared" si="54"/>
        <v>5</v>
      </c>
      <c r="W100" s="15">
        <f t="shared" si="35"/>
        <v>26</v>
      </c>
      <c r="X100" s="32">
        <f t="shared" si="60"/>
        <v>31</v>
      </c>
      <c r="Y100" s="44">
        <v>4</v>
      </c>
      <c r="Z100" s="44">
        <v>4</v>
      </c>
      <c r="AA100" s="32">
        <f t="shared" ref="AA100:AB115" si="62">AA88</f>
        <v>9</v>
      </c>
      <c r="AB100" s="32">
        <f t="shared" si="62"/>
        <v>22</v>
      </c>
      <c r="AC100">
        <v>1</v>
      </c>
      <c r="AD100">
        <f t="shared" si="55"/>
        <v>744</v>
      </c>
      <c r="AE100">
        <f t="shared" si="36"/>
        <v>416</v>
      </c>
      <c r="AF100">
        <f t="shared" si="37"/>
        <v>328</v>
      </c>
      <c r="AH100">
        <f t="shared" si="44"/>
        <v>744</v>
      </c>
      <c r="AI100">
        <f t="shared" si="45"/>
        <v>352</v>
      </c>
      <c r="AJ100">
        <f t="shared" si="46"/>
        <v>286</v>
      </c>
      <c r="AK100">
        <f t="shared" si="57"/>
        <v>308</v>
      </c>
      <c r="AL100">
        <f t="shared" si="47"/>
        <v>176</v>
      </c>
      <c r="AM100">
        <f t="shared" si="48"/>
        <v>216</v>
      </c>
      <c r="AO100" s="130">
        <f t="shared" si="49"/>
        <v>0.4731182795698925</v>
      </c>
      <c r="AP100" s="130">
        <f t="shared" si="50"/>
        <v>0.23655913978494625</v>
      </c>
      <c r="AQ100" s="130">
        <f t="shared" si="51"/>
        <v>0.29032258064516125</v>
      </c>
      <c r="AR100" s="66">
        <f t="shared" si="52"/>
        <v>0.5268817204301075</v>
      </c>
      <c r="BA100" s="31">
        <f t="shared" si="58"/>
        <v>0.41397849462365593</v>
      </c>
      <c r="BB100" s="10">
        <f t="shared" si="59"/>
        <v>39203</v>
      </c>
    </row>
    <row r="101" spans="1:54" x14ac:dyDescent="0.2">
      <c r="A101" s="10">
        <v>39234</v>
      </c>
      <c r="B101" s="17">
        <v>26.95</v>
      </c>
      <c r="C101" s="17">
        <v>8.35</v>
      </c>
      <c r="D101" s="45">
        <v>26.95</v>
      </c>
      <c r="E101" s="45">
        <v>20.024999999999999</v>
      </c>
      <c r="F101" s="45">
        <f t="shared" si="38"/>
        <v>10.807894736842107</v>
      </c>
      <c r="G101" s="12">
        <f t="shared" si="56"/>
        <v>20.134444444444444</v>
      </c>
      <c r="H101" s="12">
        <f t="shared" si="39"/>
        <v>20.134444444444444</v>
      </c>
      <c r="I101" s="12">
        <f t="shared" si="40"/>
        <v>19.847473684210527</v>
      </c>
      <c r="K101" s="46">
        <v>3.6004736527163224</v>
      </c>
      <c r="M101" s="137">
        <v>1.3817407476430004</v>
      </c>
      <c r="N101" s="137">
        <v>6.2982831364372008E-2</v>
      </c>
      <c r="O101" s="14">
        <f t="shared" ca="1" si="41"/>
        <v>0.65396080280351776</v>
      </c>
      <c r="Q101" s="12">
        <f t="shared" si="34"/>
        <v>37.237913148978862</v>
      </c>
      <c r="R101" s="12">
        <f t="shared" si="42"/>
        <v>11.537535242819052</v>
      </c>
      <c r="S101" s="12">
        <f t="shared" si="43"/>
        <v>27.820582320043123</v>
      </c>
      <c r="T101" s="12">
        <f t="shared" si="53"/>
        <v>14.93370855413106</v>
      </c>
      <c r="V101" s="15">
        <f t="shared" si="54"/>
        <v>4</v>
      </c>
      <c r="W101" s="15">
        <f t="shared" si="35"/>
        <v>26</v>
      </c>
      <c r="X101" s="32">
        <f t="shared" si="60"/>
        <v>30</v>
      </c>
      <c r="Y101" s="44">
        <v>5</v>
      </c>
      <c r="Z101" s="44">
        <v>4</v>
      </c>
      <c r="AA101" s="32">
        <f t="shared" si="62"/>
        <v>8</v>
      </c>
      <c r="AB101" s="32">
        <f t="shared" si="62"/>
        <v>22</v>
      </c>
      <c r="AD101">
        <f t="shared" si="55"/>
        <v>720</v>
      </c>
      <c r="AE101">
        <f t="shared" si="36"/>
        <v>416</v>
      </c>
      <c r="AF101">
        <f t="shared" si="37"/>
        <v>304</v>
      </c>
      <c r="AH101">
        <f t="shared" si="44"/>
        <v>720</v>
      </c>
      <c r="AI101">
        <f t="shared" si="45"/>
        <v>352</v>
      </c>
      <c r="AJ101">
        <f t="shared" si="46"/>
        <v>286</v>
      </c>
      <c r="AK101">
        <f t="shared" si="57"/>
        <v>308</v>
      </c>
      <c r="AL101">
        <f t="shared" si="47"/>
        <v>176</v>
      </c>
      <c r="AM101">
        <f t="shared" si="48"/>
        <v>192</v>
      </c>
      <c r="AO101" s="130">
        <f t="shared" si="49"/>
        <v>0.48888888888888887</v>
      </c>
      <c r="AP101" s="130">
        <f t="shared" si="50"/>
        <v>0.24444444444444444</v>
      </c>
      <c r="AQ101" s="130">
        <f t="shared" si="51"/>
        <v>0.26666666666666672</v>
      </c>
      <c r="AR101" s="66">
        <f t="shared" si="52"/>
        <v>0.51111111111111118</v>
      </c>
    </row>
    <row r="102" spans="1:54" x14ac:dyDescent="0.2">
      <c r="A102" s="10">
        <v>39264</v>
      </c>
      <c r="B102" s="17">
        <v>59.3825</v>
      </c>
      <c r="C102" s="17">
        <v>19.027419354838717</v>
      </c>
      <c r="D102" s="45">
        <v>59.3825</v>
      </c>
      <c r="E102" s="45">
        <v>43.515000000000001</v>
      </c>
      <c r="F102" s="45">
        <f t="shared" si="38"/>
        <v>23.83720930232559</v>
      </c>
      <c r="G102" s="12">
        <f t="shared" si="56"/>
        <v>42.947580645161295</v>
      </c>
      <c r="H102" s="12">
        <f t="shared" si="39"/>
        <v>42.947580645161295</v>
      </c>
      <c r="I102" s="12">
        <f t="shared" si="40"/>
        <v>43.742572093023263</v>
      </c>
      <c r="K102" s="46">
        <v>3.584345153775911</v>
      </c>
      <c r="M102" s="137">
        <v>1.3806694473890002</v>
      </c>
      <c r="N102" s="137">
        <v>6.2995495185191028E-2</v>
      </c>
      <c r="O102" s="14">
        <f t="shared" ca="1" si="41"/>
        <v>0.65063148681151017</v>
      </c>
      <c r="Q102" s="12">
        <f t="shared" si="34"/>
        <v>81.987603459577301</v>
      </c>
      <c r="R102" s="12">
        <f t="shared" si="42"/>
        <v>26.270576565883939</v>
      </c>
      <c r="S102" s="12">
        <f t="shared" si="43"/>
        <v>59.296412436049366</v>
      </c>
      <c r="T102" s="12">
        <f t="shared" si="53"/>
        <v>32.911306594737809</v>
      </c>
      <c r="V102" s="15">
        <f t="shared" si="54"/>
        <v>6</v>
      </c>
      <c r="W102" s="15">
        <f t="shared" si="35"/>
        <v>25</v>
      </c>
      <c r="X102" s="32">
        <f t="shared" si="60"/>
        <v>31</v>
      </c>
      <c r="Y102" s="44">
        <v>4</v>
      </c>
      <c r="Z102" s="44">
        <v>5</v>
      </c>
      <c r="AA102" s="32">
        <f t="shared" si="62"/>
        <v>10</v>
      </c>
      <c r="AB102" s="32">
        <f t="shared" si="62"/>
        <v>21</v>
      </c>
      <c r="AC102">
        <v>1</v>
      </c>
      <c r="AD102">
        <f t="shared" si="55"/>
        <v>744</v>
      </c>
      <c r="AE102">
        <f t="shared" si="36"/>
        <v>400</v>
      </c>
      <c r="AF102">
        <f t="shared" si="37"/>
        <v>344</v>
      </c>
      <c r="AH102">
        <f t="shared" si="44"/>
        <v>744</v>
      </c>
      <c r="AI102">
        <f t="shared" si="45"/>
        <v>336</v>
      </c>
      <c r="AJ102">
        <f t="shared" si="46"/>
        <v>273</v>
      </c>
      <c r="AK102">
        <f t="shared" si="57"/>
        <v>294</v>
      </c>
      <c r="AL102">
        <f t="shared" si="47"/>
        <v>168</v>
      </c>
      <c r="AM102">
        <f t="shared" si="48"/>
        <v>240</v>
      </c>
      <c r="AO102" s="130">
        <f t="shared" si="49"/>
        <v>0.45161290322580644</v>
      </c>
      <c r="AP102" s="130">
        <f t="shared" si="50"/>
        <v>0.22580645161290322</v>
      </c>
      <c r="AQ102" s="130">
        <f t="shared" si="51"/>
        <v>0.32258064516129037</v>
      </c>
      <c r="AR102" s="66">
        <f t="shared" si="52"/>
        <v>0.54838709677419362</v>
      </c>
    </row>
    <row r="103" spans="1:54" x14ac:dyDescent="0.2">
      <c r="A103" s="10">
        <v>39295</v>
      </c>
      <c r="B103" s="17">
        <v>72.382499999999993</v>
      </c>
      <c r="C103" s="17">
        <v>21.301612903225809</v>
      </c>
      <c r="D103" s="45">
        <v>72.382499999999993</v>
      </c>
      <c r="E103" s="45">
        <v>53.265000000000001</v>
      </c>
      <c r="F103" s="45">
        <f t="shared" si="38"/>
        <v>27.858205128205135</v>
      </c>
      <c r="G103" s="12">
        <f t="shared" si="56"/>
        <v>53.711021505376344</v>
      </c>
      <c r="H103" s="12">
        <f t="shared" si="39"/>
        <v>53.711021505376344</v>
      </c>
      <c r="I103" s="12">
        <f t="shared" si="40"/>
        <v>52.791810256410258</v>
      </c>
      <c r="K103" s="46">
        <v>3.5813250409450221</v>
      </c>
      <c r="M103" s="137">
        <v>1.3797885859620005</v>
      </c>
      <c r="N103" s="137">
        <v>6.3008581133426E-2</v>
      </c>
      <c r="O103" s="14">
        <f t="shared" ca="1" si="41"/>
        <v>0.64720766819809961</v>
      </c>
      <c r="Q103" s="12">
        <f t="shared" si="34"/>
        <v>99.872547323394485</v>
      </c>
      <c r="R103" s="12">
        <f t="shared" si="42"/>
        <v>29.391722346451843</v>
      </c>
      <c r="S103" s="12">
        <f t="shared" si="43"/>
        <v>74.109854413477819</v>
      </c>
      <c r="T103" s="12">
        <f t="shared" si="53"/>
        <v>38.438433461285513</v>
      </c>
      <c r="V103" s="15">
        <f t="shared" si="54"/>
        <v>4</v>
      </c>
      <c r="W103" s="15">
        <f t="shared" si="35"/>
        <v>27</v>
      </c>
      <c r="X103" s="32">
        <f t="shared" si="60"/>
        <v>31</v>
      </c>
      <c r="Y103" s="44">
        <v>4</v>
      </c>
      <c r="Z103" s="44">
        <v>4</v>
      </c>
      <c r="AA103" s="32">
        <f t="shared" si="62"/>
        <v>8</v>
      </c>
      <c r="AB103" s="32">
        <f t="shared" si="62"/>
        <v>23</v>
      </c>
      <c r="AD103">
        <f t="shared" si="55"/>
        <v>744</v>
      </c>
      <c r="AE103">
        <f t="shared" si="36"/>
        <v>432</v>
      </c>
      <c r="AF103">
        <f t="shared" si="37"/>
        <v>312</v>
      </c>
      <c r="AH103">
        <f t="shared" si="44"/>
        <v>744</v>
      </c>
      <c r="AI103">
        <f t="shared" si="45"/>
        <v>368</v>
      </c>
      <c r="AJ103">
        <f t="shared" si="46"/>
        <v>299</v>
      </c>
      <c r="AK103">
        <f t="shared" si="57"/>
        <v>322</v>
      </c>
      <c r="AL103">
        <f t="shared" si="47"/>
        <v>184</v>
      </c>
      <c r="AM103">
        <f t="shared" si="48"/>
        <v>192</v>
      </c>
      <c r="AO103" s="130">
        <f t="shared" si="49"/>
        <v>0.4946236559139785</v>
      </c>
      <c r="AP103" s="130">
        <f t="shared" si="50"/>
        <v>0.24731182795698925</v>
      </c>
      <c r="AQ103" s="130">
        <f t="shared" si="51"/>
        <v>0.25806451612903225</v>
      </c>
      <c r="AR103" s="66">
        <f t="shared" si="52"/>
        <v>0.5053763440860215</v>
      </c>
    </row>
    <row r="104" spans="1:54" x14ac:dyDescent="0.2">
      <c r="A104" s="10">
        <v>39326</v>
      </c>
      <c r="B104" s="17">
        <v>64.7</v>
      </c>
      <c r="C104" s="17">
        <v>19.925000000000001</v>
      </c>
      <c r="D104" s="45">
        <v>64.7</v>
      </c>
      <c r="E104" s="45">
        <v>47.962499999999999</v>
      </c>
      <c r="F104" s="45">
        <f t="shared" si="38"/>
        <v>25.651785714285712</v>
      </c>
      <c r="G104" s="12">
        <f t="shared" si="56"/>
        <v>46.477500000000006</v>
      </c>
      <c r="H104" s="12">
        <f t="shared" si="39"/>
        <v>46.477500000000006</v>
      </c>
      <c r="I104" s="12">
        <f t="shared" si="40"/>
        <v>47.51878571428572</v>
      </c>
      <c r="K104" s="46">
        <v>3.5664688725003151</v>
      </c>
      <c r="M104" s="137">
        <v>1.3789137560270002</v>
      </c>
      <c r="N104" s="137">
        <v>6.302166708171901E-2</v>
      </c>
      <c r="O104" s="14">
        <f t="shared" ca="1" si="41"/>
        <v>0.6438005212134017</v>
      </c>
      <c r="Q104" s="12">
        <f t="shared" si="34"/>
        <v>89.215720014946911</v>
      </c>
      <c r="R104" s="12">
        <f t="shared" si="42"/>
        <v>27.47485658883798</v>
      </c>
      <c r="S104" s="12">
        <f t="shared" si="43"/>
        <v>64.088464095744911</v>
      </c>
      <c r="T104" s="12">
        <f t="shared" si="53"/>
        <v>35.371600188085459</v>
      </c>
      <c r="V104" s="15">
        <f t="shared" si="54"/>
        <v>6</v>
      </c>
      <c r="W104" s="15">
        <f t="shared" si="35"/>
        <v>24</v>
      </c>
      <c r="X104" s="32">
        <f t="shared" si="60"/>
        <v>30</v>
      </c>
      <c r="Y104" s="44">
        <v>5</v>
      </c>
      <c r="Z104" s="44">
        <v>5</v>
      </c>
      <c r="AA104" s="32">
        <f t="shared" si="62"/>
        <v>8</v>
      </c>
      <c r="AB104" s="32">
        <f t="shared" si="62"/>
        <v>22</v>
      </c>
      <c r="AC104">
        <v>1</v>
      </c>
      <c r="AD104">
        <f t="shared" si="55"/>
        <v>720</v>
      </c>
      <c r="AE104">
        <f t="shared" si="36"/>
        <v>384</v>
      </c>
      <c r="AF104">
        <f t="shared" si="37"/>
        <v>336</v>
      </c>
      <c r="AH104">
        <f t="shared" si="44"/>
        <v>720</v>
      </c>
      <c r="AI104">
        <f t="shared" si="45"/>
        <v>352</v>
      </c>
      <c r="AJ104">
        <f t="shared" si="46"/>
        <v>286</v>
      </c>
      <c r="AK104">
        <f t="shared" si="57"/>
        <v>308</v>
      </c>
      <c r="AL104">
        <f t="shared" si="47"/>
        <v>176</v>
      </c>
      <c r="AM104">
        <f t="shared" si="48"/>
        <v>192</v>
      </c>
      <c r="AO104" s="130">
        <f t="shared" si="49"/>
        <v>0.48888888888888887</v>
      </c>
      <c r="AP104" s="130">
        <f t="shared" si="50"/>
        <v>0.24444444444444444</v>
      </c>
      <c r="AQ104" s="130">
        <f t="shared" si="51"/>
        <v>0.26666666666666672</v>
      </c>
      <c r="AR104" s="66">
        <f t="shared" si="52"/>
        <v>0.51111111111111118</v>
      </c>
    </row>
    <row r="105" spans="1:54" x14ac:dyDescent="0.2">
      <c r="A105" s="10">
        <v>39356</v>
      </c>
      <c r="B105" s="17">
        <v>38.450000000000003</v>
      </c>
      <c r="C105" s="17">
        <v>26.648387096774194</v>
      </c>
      <c r="D105" s="45">
        <v>38.450000000000003</v>
      </c>
      <c r="E105" s="45">
        <v>27.712499999999999</v>
      </c>
      <c r="F105" s="45">
        <f t="shared" si="38"/>
        <v>26.86666666666666</v>
      </c>
      <c r="G105" s="12">
        <f t="shared" si="56"/>
        <v>33.592473118279571</v>
      </c>
      <c r="H105" s="12">
        <f t="shared" si="39"/>
        <v>33.592473118279571</v>
      </c>
      <c r="I105" s="12">
        <f t="shared" si="40"/>
        <v>33.353333333333332</v>
      </c>
      <c r="K105" s="46">
        <v>3.5846193589484439</v>
      </c>
      <c r="M105" s="137">
        <v>1.3780728790520003</v>
      </c>
      <c r="N105" s="137">
        <v>6.3034330902701025E-2</v>
      </c>
      <c r="O105" s="14">
        <f t="shared" ca="1" si="41"/>
        <v>0.64051908654094136</v>
      </c>
      <c r="Q105" s="12">
        <f t="shared" si="34"/>
        <v>52.986902199549412</v>
      </c>
      <c r="R105" s="12">
        <f t="shared" si="42"/>
        <v>36.723419528543786</v>
      </c>
      <c r="S105" s="12">
        <f t="shared" si="43"/>
        <v>46.292876144584454</v>
      </c>
      <c r="T105" s="12">
        <f t="shared" si="53"/>
        <v>37.024224683863729</v>
      </c>
      <c r="V105" s="15">
        <f t="shared" si="54"/>
        <v>4</v>
      </c>
      <c r="W105" s="15">
        <f t="shared" si="35"/>
        <v>27</v>
      </c>
      <c r="X105" s="32">
        <f t="shared" si="60"/>
        <v>31</v>
      </c>
      <c r="Y105" s="44">
        <v>4</v>
      </c>
      <c r="Z105" s="44">
        <v>4</v>
      </c>
      <c r="AA105" s="32">
        <f t="shared" si="62"/>
        <v>10</v>
      </c>
      <c r="AB105" s="32">
        <f t="shared" si="62"/>
        <v>21</v>
      </c>
      <c r="AD105">
        <f t="shared" si="55"/>
        <v>744</v>
      </c>
      <c r="AE105">
        <f t="shared" si="36"/>
        <v>432</v>
      </c>
      <c r="AF105">
        <f t="shared" si="37"/>
        <v>312</v>
      </c>
      <c r="AH105">
        <f t="shared" si="44"/>
        <v>744</v>
      </c>
      <c r="AI105">
        <f t="shared" si="45"/>
        <v>336</v>
      </c>
      <c r="AJ105">
        <f t="shared" si="46"/>
        <v>273</v>
      </c>
      <c r="AK105">
        <f t="shared" si="57"/>
        <v>294</v>
      </c>
      <c r="AL105">
        <f t="shared" si="47"/>
        <v>168</v>
      </c>
      <c r="AM105">
        <f t="shared" si="48"/>
        <v>240</v>
      </c>
      <c r="AO105" s="130">
        <f t="shared" si="49"/>
        <v>0.45161290322580644</v>
      </c>
      <c r="AP105" s="130">
        <f t="shared" si="50"/>
        <v>0.22580645161290322</v>
      </c>
      <c r="AQ105" s="130">
        <f t="shared" si="51"/>
        <v>0.32258064516129037</v>
      </c>
      <c r="AR105" s="66">
        <f t="shared" si="52"/>
        <v>0.54838709677419362</v>
      </c>
    </row>
    <row r="106" spans="1:54" x14ac:dyDescent="0.2">
      <c r="A106" s="10">
        <v>39387</v>
      </c>
      <c r="B106" s="17">
        <v>37.200000000000003</v>
      </c>
      <c r="C106" s="17">
        <v>27.162500000000001</v>
      </c>
      <c r="D106" s="45">
        <v>37.200000000000003</v>
      </c>
      <c r="E106" s="45">
        <v>25.462499999999999</v>
      </c>
      <c r="F106" s="45">
        <f t="shared" si="38"/>
        <v>25.464375000000004</v>
      </c>
      <c r="G106" s="12">
        <f t="shared" si="56"/>
        <v>31.98416666666667</v>
      </c>
      <c r="H106" s="12">
        <f t="shared" si="39"/>
        <v>31.98416666666667</v>
      </c>
      <c r="I106" s="12">
        <f t="shared" si="40"/>
        <v>32.036325000000005</v>
      </c>
      <c r="K106" s="46">
        <v>3.7518006177247423</v>
      </c>
      <c r="M106" s="137">
        <v>1.3772098861640001</v>
      </c>
      <c r="N106" s="137">
        <v>6.3047416851104016E-2</v>
      </c>
      <c r="O106" s="14">
        <f t="shared" ca="1" si="41"/>
        <v>0.63714453056747555</v>
      </c>
      <c r="Q106" s="12">
        <f t="shared" si="34"/>
        <v>51.232207765300807</v>
      </c>
      <c r="R106" s="12">
        <f t="shared" si="42"/>
        <v>37.408463532929652</v>
      </c>
      <c r="S106" s="12">
        <f t="shared" si="43"/>
        <v>44.048910534050414</v>
      </c>
      <c r="T106" s="12">
        <f t="shared" si="53"/>
        <v>35.069788994987412</v>
      </c>
      <c r="V106" s="15">
        <f t="shared" si="54"/>
        <v>5</v>
      </c>
      <c r="W106" s="15">
        <f t="shared" si="35"/>
        <v>25</v>
      </c>
      <c r="X106" s="32">
        <f t="shared" si="60"/>
        <v>30</v>
      </c>
      <c r="Y106" s="44">
        <v>4</v>
      </c>
      <c r="Z106" s="44">
        <v>4</v>
      </c>
      <c r="AA106" s="32">
        <f t="shared" si="62"/>
        <v>8</v>
      </c>
      <c r="AB106" s="32">
        <f t="shared" si="62"/>
        <v>22</v>
      </c>
      <c r="AC106">
        <v>1</v>
      </c>
      <c r="AD106">
        <f t="shared" si="55"/>
        <v>720</v>
      </c>
      <c r="AE106">
        <f t="shared" si="36"/>
        <v>400</v>
      </c>
      <c r="AF106">
        <f t="shared" si="37"/>
        <v>320</v>
      </c>
      <c r="AH106">
        <f t="shared" si="44"/>
        <v>720</v>
      </c>
      <c r="AI106">
        <f t="shared" si="45"/>
        <v>352</v>
      </c>
      <c r="AJ106">
        <f t="shared" si="46"/>
        <v>286</v>
      </c>
      <c r="AK106">
        <f t="shared" si="57"/>
        <v>308</v>
      </c>
      <c r="AL106">
        <f t="shared" si="47"/>
        <v>176</v>
      </c>
      <c r="AM106">
        <f t="shared" si="48"/>
        <v>192</v>
      </c>
      <c r="AO106" s="130">
        <f t="shared" si="49"/>
        <v>0.48888888888888887</v>
      </c>
      <c r="AP106" s="130">
        <f t="shared" si="50"/>
        <v>0.24444444444444444</v>
      </c>
      <c r="AQ106" s="130">
        <f t="shared" si="51"/>
        <v>0.26666666666666672</v>
      </c>
      <c r="AR106" s="66">
        <f t="shared" si="52"/>
        <v>0.51111111111111118</v>
      </c>
    </row>
    <row r="107" spans="1:54" x14ac:dyDescent="0.2">
      <c r="A107" s="10">
        <v>39417</v>
      </c>
      <c r="B107" s="17">
        <v>37.200000000000003</v>
      </c>
      <c r="C107" s="17">
        <v>26.438709677419361</v>
      </c>
      <c r="D107" s="45">
        <v>37.200000000000003</v>
      </c>
      <c r="E107" s="45">
        <v>25.087499999999999</v>
      </c>
      <c r="F107" s="45">
        <f t="shared" si="38"/>
        <v>24.894767441860466</v>
      </c>
      <c r="G107" s="12">
        <f t="shared" si="56"/>
        <v>31.510483870967747</v>
      </c>
      <c r="H107" s="12">
        <f t="shared" si="39"/>
        <v>31.510483870967747</v>
      </c>
      <c r="I107" s="12">
        <f t="shared" si="40"/>
        <v>31.785697674418607</v>
      </c>
      <c r="K107" s="46">
        <v>3.8800787205099363</v>
      </c>
      <c r="M107" s="137">
        <v>1.376380444434</v>
      </c>
      <c r="N107" s="137">
        <v>6.3060080672194013E-2</v>
      </c>
      <c r="O107" s="14">
        <f t="shared" ca="1" si="41"/>
        <v>0.63389449858857183</v>
      </c>
      <c r="Q107" s="12">
        <f t="shared" si="34"/>
        <v>51.201352532944803</v>
      </c>
      <c r="R107" s="12">
        <f t="shared" si="42"/>
        <v>36.389722976067958</v>
      </c>
      <c r="S107" s="12">
        <f t="shared" si="43"/>
        <v>43.370413794652976</v>
      </c>
      <c r="T107" s="12">
        <f t="shared" si="53"/>
        <v>34.264671075708982</v>
      </c>
      <c r="V107" s="15">
        <f t="shared" si="54"/>
        <v>6</v>
      </c>
      <c r="W107" s="15">
        <f t="shared" si="35"/>
        <v>25</v>
      </c>
      <c r="X107" s="32">
        <f t="shared" si="60"/>
        <v>31</v>
      </c>
      <c r="Y107" s="44">
        <v>5</v>
      </c>
      <c r="Z107" s="44">
        <v>5</v>
      </c>
      <c r="AA107" s="32">
        <f t="shared" si="62"/>
        <v>9</v>
      </c>
      <c r="AB107" s="32">
        <f t="shared" si="62"/>
        <v>22</v>
      </c>
      <c r="AC107">
        <v>1</v>
      </c>
      <c r="AD107">
        <f t="shared" si="55"/>
        <v>744</v>
      </c>
      <c r="AE107">
        <f t="shared" si="36"/>
        <v>400</v>
      </c>
      <c r="AF107">
        <f t="shared" si="37"/>
        <v>344</v>
      </c>
      <c r="AH107">
        <f t="shared" si="44"/>
        <v>744</v>
      </c>
      <c r="AI107">
        <f t="shared" si="45"/>
        <v>352</v>
      </c>
      <c r="AJ107">
        <f t="shared" si="46"/>
        <v>286</v>
      </c>
      <c r="AK107">
        <f t="shared" si="57"/>
        <v>308</v>
      </c>
      <c r="AL107">
        <f t="shared" si="47"/>
        <v>176</v>
      </c>
      <c r="AM107">
        <f t="shared" si="48"/>
        <v>216</v>
      </c>
      <c r="AO107" s="130">
        <f t="shared" si="49"/>
        <v>0.4731182795698925</v>
      </c>
      <c r="AP107" s="130">
        <f t="shared" si="50"/>
        <v>0.23655913978494625</v>
      </c>
      <c r="AQ107" s="130">
        <f t="shared" si="51"/>
        <v>0.29032258064516125</v>
      </c>
      <c r="AR107" s="66">
        <f t="shared" si="52"/>
        <v>0.5268817204301075</v>
      </c>
    </row>
    <row r="108" spans="1:54" x14ac:dyDescent="0.2">
      <c r="A108" s="10">
        <v>39448</v>
      </c>
      <c r="B108" s="17">
        <v>32.549999999999997</v>
      </c>
      <c r="C108" s="17">
        <v>26.734677419354838</v>
      </c>
      <c r="D108" s="45">
        <v>33.049999999999997</v>
      </c>
      <c r="E108" s="45">
        <v>24.787500000000001</v>
      </c>
      <c r="F108" s="45">
        <f t="shared" si="38"/>
        <v>25.050609756097558</v>
      </c>
      <c r="G108" s="12">
        <f t="shared" si="56"/>
        <v>29.243817204301074</v>
      </c>
      <c r="H108" s="12">
        <f t="shared" si="39"/>
        <v>29.243817204301074</v>
      </c>
      <c r="I108" s="12">
        <f t="shared" si="40"/>
        <v>29.250268292682925</v>
      </c>
      <c r="K108" s="46">
        <v>4.1116933740218862</v>
      </c>
      <c r="M108" s="137">
        <v>1.3706772975470001</v>
      </c>
      <c r="N108" s="137">
        <v>6.3541840090540008E-2</v>
      </c>
      <c r="O108" s="14">
        <f t="shared" ca="1" si="41"/>
        <v>0.6284602268497359</v>
      </c>
      <c r="Q108" s="12">
        <f t="shared" si="34"/>
        <v>44.61554603515485</v>
      </c>
      <c r="R108" s="12">
        <f t="shared" si="42"/>
        <v>36.644615395952094</v>
      </c>
      <c r="S108" s="12">
        <f t="shared" si="43"/>
        <v>40.083836335549861</v>
      </c>
      <c r="T108" s="12">
        <f t="shared" si="53"/>
        <v>34.336302082392315</v>
      </c>
      <c r="V108" s="15">
        <f t="shared" si="54"/>
        <v>5</v>
      </c>
      <c r="W108" s="15">
        <f t="shared" si="35"/>
        <v>26</v>
      </c>
      <c r="X108" s="32">
        <f t="shared" si="60"/>
        <v>31</v>
      </c>
      <c r="Y108" s="43">
        <v>4</v>
      </c>
      <c r="Z108" s="43">
        <v>4</v>
      </c>
      <c r="AA108" s="32">
        <f t="shared" si="62"/>
        <v>10</v>
      </c>
      <c r="AB108" s="32">
        <f t="shared" si="62"/>
        <v>21</v>
      </c>
      <c r="AC108">
        <v>1</v>
      </c>
      <c r="AD108">
        <f t="shared" si="55"/>
        <v>744</v>
      </c>
      <c r="AE108">
        <f t="shared" si="36"/>
        <v>416</v>
      </c>
      <c r="AF108">
        <f t="shared" si="37"/>
        <v>328</v>
      </c>
      <c r="AH108">
        <f t="shared" si="44"/>
        <v>744</v>
      </c>
      <c r="AI108">
        <f t="shared" si="45"/>
        <v>336</v>
      </c>
      <c r="AJ108">
        <f t="shared" si="46"/>
        <v>273</v>
      </c>
      <c r="AK108">
        <f t="shared" si="57"/>
        <v>294</v>
      </c>
      <c r="AL108">
        <f t="shared" si="47"/>
        <v>168</v>
      </c>
      <c r="AM108">
        <f t="shared" si="48"/>
        <v>240</v>
      </c>
      <c r="AO108" s="130">
        <f t="shared" si="49"/>
        <v>0.45161290322580644</v>
      </c>
      <c r="AP108" s="130">
        <f t="shared" si="50"/>
        <v>0.22580645161290322</v>
      </c>
      <c r="AQ108" s="130">
        <f t="shared" si="51"/>
        <v>0.32258064516129037</v>
      </c>
      <c r="AR108" s="66">
        <f t="shared" si="52"/>
        <v>0.54838709677419362</v>
      </c>
    </row>
    <row r="109" spans="1:54" x14ac:dyDescent="0.2">
      <c r="A109" s="10">
        <v>39479</v>
      </c>
      <c r="B109" s="17">
        <v>31.05</v>
      </c>
      <c r="C109" s="17">
        <v>25.703571428571426</v>
      </c>
      <c r="D109" s="45">
        <v>31.55</v>
      </c>
      <c r="E109" s="45">
        <v>23.662500000000001</v>
      </c>
      <c r="F109" s="45">
        <f t="shared" si="38"/>
        <v>25.25</v>
      </c>
      <c r="G109" s="12">
        <f t="shared" si="56"/>
        <v>28.564285714285717</v>
      </c>
      <c r="H109" s="12">
        <f t="shared" si="39"/>
        <v>28.564285714285717</v>
      </c>
      <c r="I109" s="12">
        <f t="shared" si="40"/>
        <v>28.498000000000001</v>
      </c>
      <c r="K109" s="46">
        <v>3.9680194265300082</v>
      </c>
      <c r="M109" s="137">
        <v>1.3697917172760004</v>
      </c>
      <c r="N109" s="137">
        <v>6.3550895813404021E-2</v>
      </c>
      <c r="O109" s="14">
        <f t="shared" ca="1" si="41"/>
        <v>0.62514001107656181</v>
      </c>
      <c r="Q109" s="12">
        <f t="shared" si="34"/>
        <v>42.532032821419811</v>
      </c>
      <c r="R109" s="12">
        <f t="shared" si="42"/>
        <v>35.208539247269194</v>
      </c>
      <c r="S109" s="12">
        <f t="shared" si="43"/>
        <v>39.127121981333758</v>
      </c>
      <c r="T109" s="12">
        <f t="shared" si="53"/>
        <v>34.587240861219009</v>
      </c>
      <c r="V109" s="15">
        <f t="shared" si="54"/>
        <v>4</v>
      </c>
      <c r="W109" s="15">
        <f t="shared" si="35"/>
        <v>24</v>
      </c>
      <c r="X109" s="32">
        <f t="shared" si="60"/>
        <v>28</v>
      </c>
      <c r="Y109" s="44">
        <v>4</v>
      </c>
      <c r="Z109" s="44">
        <v>4</v>
      </c>
      <c r="AA109" s="32">
        <f t="shared" si="62"/>
        <v>8</v>
      </c>
      <c r="AB109" s="32">
        <f t="shared" si="62"/>
        <v>20</v>
      </c>
      <c r="AD109">
        <f t="shared" si="55"/>
        <v>672</v>
      </c>
      <c r="AE109">
        <f t="shared" si="36"/>
        <v>384</v>
      </c>
      <c r="AF109">
        <f t="shared" si="37"/>
        <v>288</v>
      </c>
      <c r="AH109">
        <f t="shared" si="44"/>
        <v>672</v>
      </c>
      <c r="AI109">
        <f t="shared" si="45"/>
        <v>320</v>
      </c>
      <c r="AJ109">
        <f t="shared" si="46"/>
        <v>260</v>
      </c>
      <c r="AK109">
        <f t="shared" si="57"/>
        <v>280</v>
      </c>
      <c r="AL109">
        <f t="shared" si="47"/>
        <v>160</v>
      </c>
      <c r="AM109">
        <f t="shared" si="48"/>
        <v>192</v>
      </c>
      <c r="AO109" s="130">
        <f t="shared" si="49"/>
        <v>0.47619047619047616</v>
      </c>
      <c r="AP109" s="130">
        <f t="shared" si="50"/>
        <v>0.23809523809523808</v>
      </c>
      <c r="AQ109" s="130">
        <f t="shared" si="51"/>
        <v>0.28571428571428581</v>
      </c>
      <c r="AR109" s="66">
        <f t="shared" si="52"/>
        <v>0.52380952380952395</v>
      </c>
    </row>
    <row r="110" spans="1:54" x14ac:dyDescent="0.2">
      <c r="A110" s="10">
        <v>39508</v>
      </c>
      <c r="B110" s="17">
        <v>29.3</v>
      </c>
      <c r="C110" s="17">
        <v>22.230645161290322</v>
      </c>
      <c r="D110" s="45">
        <v>29.8</v>
      </c>
      <c r="E110" s="45">
        <v>22.35</v>
      </c>
      <c r="F110" s="45">
        <f t="shared" si="38"/>
        <v>22.259756097560974</v>
      </c>
      <c r="G110" s="12">
        <f t="shared" si="56"/>
        <v>26.196236559139784</v>
      </c>
      <c r="H110" s="12">
        <f t="shared" si="39"/>
        <v>26.196236559139784</v>
      </c>
      <c r="I110" s="12">
        <f t="shared" si="40"/>
        <v>26.202292682926828</v>
      </c>
      <c r="K110" s="46">
        <v>3.7881173150430656</v>
      </c>
      <c r="M110" s="137">
        <v>1.3689686261590004</v>
      </c>
      <c r="N110" s="137">
        <v>6.3559367296107019E-2</v>
      </c>
      <c r="O110" s="14">
        <f t="shared" ca="1" si="41"/>
        <v>0.62204907040955537</v>
      </c>
      <c r="Q110" s="12">
        <f t="shared" si="34"/>
        <v>40.110780746458715</v>
      </c>
      <c r="R110" s="12">
        <f t="shared" si="42"/>
        <v>30.433055765079843</v>
      </c>
      <c r="S110" s="12">
        <f t="shared" si="43"/>
        <v>35.861825972901769</v>
      </c>
      <c r="T110" s="12">
        <f t="shared" si="53"/>
        <v>30.472907723512478</v>
      </c>
      <c r="V110" s="15">
        <f t="shared" si="54"/>
        <v>5</v>
      </c>
      <c r="W110" s="15">
        <f t="shared" si="35"/>
        <v>26</v>
      </c>
      <c r="X110" s="32">
        <f t="shared" si="60"/>
        <v>31</v>
      </c>
      <c r="Y110" s="44">
        <v>5</v>
      </c>
      <c r="Z110" s="44">
        <v>5</v>
      </c>
      <c r="AA110" s="32">
        <f t="shared" si="62"/>
        <v>8</v>
      </c>
      <c r="AB110" s="32">
        <f t="shared" si="62"/>
        <v>23</v>
      </c>
      <c r="AD110">
        <f t="shared" si="55"/>
        <v>744</v>
      </c>
      <c r="AE110">
        <f t="shared" si="36"/>
        <v>416</v>
      </c>
      <c r="AF110">
        <f t="shared" si="37"/>
        <v>328</v>
      </c>
      <c r="AH110">
        <f t="shared" si="44"/>
        <v>744</v>
      </c>
      <c r="AI110">
        <f t="shared" si="45"/>
        <v>368</v>
      </c>
      <c r="AJ110">
        <f t="shared" si="46"/>
        <v>299</v>
      </c>
      <c r="AK110">
        <f t="shared" si="57"/>
        <v>322</v>
      </c>
      <c r="AL110">
        <f t="shared" si="47"/>
        <v>184</v>
      </c>
      <c r="AM110">
        <f t="shared" si="48"/>
        <v>192</v>
      </c>
      <c r="AO110" s="130">
        <f t="shared" si="49"/>
        <v>0.4946236559139785</v>
      </c>
      <c r="AP110" s="130">
        <f t="shared" si="50"/>
        <v>0.24731182795698925</v>
      </c>
      <c r="AQ110" s="130">
        <f t="shared" si="51"/>
        <v>0.25806451612903225</v>
      </c>
      <c r="AR110" s="66">
        <f t="shared" si="52"/>
        <v>0.5053763440860215</v>
      </c>
    </row>
    <row r="111" spans="1:54" x14ac:dyDescent="0.2">
      <c r="A111" s="10">
        <v>39539</v>
      </c>
      <c r="B111" s="17">
        <v>27.05</v>
      </c>
      <c r="C111" s="17">
        <v>17.254200000000001</v>
      </c>
      <c r="D111" s="45">
        <v>27.55</v>
      </c>
      <c r="E111" s="45">
        <v>20.662500000000001</v>
      </c>
      <c r="F111" s="45">
        <f t="shared" si="38"/>
        <v>17.971736842105255</v>
      </c>
      <c r="G111" s="12">
        <f t="shared" si="56"/>
        <v>23.216955555555554</v>
      </c>
      <c r="H111" s="12">
        <f t="shared" si="39"/>
        <v>23.216955555555554</v>
      </c>
      <c r="I111" s="12">
        <f t="shared" si="40"/>
        <v>23.055564210526313</v>
      </c>
      <c r="K111" s="46">
        <v>3.5559551737687998</v>
      </c>
      <c r="M111" s="137">
        <v>1.3680944843090004</v>
      </c>
      <c r="N111" s="137">
        <v>6.3568423019023004E-2</v>
      </c>
      <c r="O111" s="14">
        <f t="shared" ca="1" si="41"/>
        <v>0.61876099394891615</v>
      </c>
      <c r="Q111" s="12">
        <f t="shared" si="34"/>
        <v>37.006955800558458</v>
      </c>
      <c r="R111" s="12">
        <f t="shared" si="42"/>
        <v>23.605375851164357</v>
      </c>
      <c r="S111" s="12">
        <f t="shared" si="43"/>
        <v>31.762988838002759</v>
      </c>
      <c r="T111" s="12">
        <f t="shared" si="53"/>
        <v>24.587034047137053</v>
      </c>
      <c r="V111" s="15">
        <f t="shared" si="54"/>
        <v>4</v>
      </c>
      <c r="W111" s="15">
        <f t="shared" si="35"/>
        <v>26</v>
      </c>
      <c r="X111" s="32">
        <f t="shared" si="60"/>
        <v>30</v>
      </c>
      <c r="Y111" s="44">
        <v>4</v>
      </c>
      <c r="Z111" s="44">
        <v>4</v>
      </c>
      <c r="AA111" s="32">
        <f t="shared" si="62"/>
        <v>9</v>
      </c>
      <c r="AB111" s="32">
        <f t="shared" si="62"/>
        <v>21</v>
      </c>
      <c r="AD111">
        <f t="shared" si="55"/>
        <v>720</v>
      </c>
      <c r="AE111">
        <f t="shared" si="36"/>
        <v>416</v>
      </c>
      <c r="AF111">
        <f t="shared" si="37"/>
        <v>304</v>
      </c>
      <c r="AH111">
        <f t="shared" si="44"/>
        <v>720</v>
      </c>
      <c r="AI111">
        <f t="shared" si="45"/>
        <v>336</v>
      </c>
      <c r="AJ111">
        <f t="shared" si="46"/>
        <v>273</v>
      </c>
      <c r="AK111">
        <f t="shared" si="57"/>
        <v>294</v>
      </c>
      <c r="AL111">
        <f t="shared" si="47"/>
        <v>168</v>
      </c>
      <c r="AM111">
        <f t="shared" si="48"/>
        <v>216</v>
      </c>
      <c r="AO111" s="130">
        <f t="shared" si="49"/>
        <v>0.46666666666666667</v>
      </c>
      <c r="AP111" s="130">
        <f t="shared" si="50"/>
        <v>0.23333333333333334</v>
      </c>
      <c r="AQ111" s="130">
        <f t="shared" si="51"/>
        <v>0.30000000000000004</v>
      </c>
      <c r="AR111" s="66">
        <f t="shared" si="52"/>
        <v>0.53333333333333344</v>
      </c>
    </row>
    <row r="112" spans="1:54" x14ac:dyDescent="0.2">
      <c r="A112" s="10">
        <v>39569</v>
      </c>
      <c r="B112" s="17">
        <v>25.05</v>
      </c>
      <c r="C112" s="17">
        <v>7.6983870967741916</v>
      </c>
      <c r="D112" s="45">
        <v>24.8</v>
      </c>
      <c r="E112" s="45">
        <v>18.600000000000001</v>
      </c>
      <c r="F112" s="45">
        <f t="shared" si="38"/>
        <v>9.4499999999999957</v>
      </c>
      <c r="G112" s="12">
        <f t="shared" si="56"/>
        <v>18.17258064516129</v>
      </c>
      <c r="H112" s="12">
        <f t="shared" si="39"/>
        <v>18.17258064516129</v>
      </c>
      <c r="I112" s="12">
        <f t="shared" si="40"/>
        <v>18.186</v>
      </c>
      <c r="K112" s="46">
        <v>3.5269684582301193</v>
      </c>
      <c r="M112" s="137">
        <v>1.36725415285</v>
      </c>
      <c r="N112" s="137">
        <v>6.3577186621871007E-2</v>
      </c>
      <c r="O112" s="14">
        <f t="shared" ca="1" si="41"/>
        <v>0.61559468646245807</v>
      </c>
      <c r="Q112" s="12">
        <f t="shared" si="34"/>
        <v>34.249716528892499</v>
      </c>
      <c r="R112" s="12">
        <f t="shared" si="42"/>
        <v>10.525651728311368</v>
      </c>
      <c r="S112" s="12">
        <f t="shared" si="43"/>
        <v>24.846536355098305</v>
      </c>
      <c r="T112" s="12">
        <f t="shared" si="53"/>
        <v>12.920551744432494</v>
      </c>
      <c r="V112" s="15">
        <f t="shared" si="54"/>
        <v>5</v>
      </c>
      <c r="W112" s="15">
        <f t="shared" si="35"/>
        <v>26</v>
      </c>
      <c r="X112" s="32">
        <f t="shared" si="60"/>
        <v>31</v>
      </c>
      <c r="Y112" s="44">
        <v>5</v>
      </c>
      <c r="Z112" s="44">
        <v>4</v>
      </c>
      <c r="AA112" s="32">
        <f t="shared" si="62"/>
        <v>9</v>
      </c>
      <c r="AB112" s="32">
        <f t="shared" si="62"/>
        <v>22</v>
      </c>
      <c r="AC112">
        <v>1</v>
      </c>
      <c r="AD112">
        <f t="shared" si="55"/>
        <v>744</v>
      </c>
      <c r="AE112">
        <f t="shared" si="36"/>
        <v>416</v>
      </c>
      <c r="AF112">
        <f t="shared" si="37"/>
        <v>328</v>
      </c>
      <c r="AH112">
        <f t="shared" si="44"/>
        <v>744</v>
      </c>
      <c r="AI112">
        <f t="shared" si="45"/>
        <v>352</v>
      </c>
      <c r="AJ112">
        <f t="shared" si="46"/>
        <v>286</v>
      </c>
      <c r="AK112">
        <f t="shared" si="57"/>
        <v>308</v>
      </c>
      <c r="AL112">
        <f t="shared" si="47"/>
        <v>176</v>
      </c>
      <c r="AM112">
        <f t="shared" si="48"/>
        <v>216</v>
      </c>
      <c r="AO112" s="130">
        <f t="shared" si="49"/>
        <v>0.4731182795698925</v>
      </c>
      <c r="AP112" s="130">
        <f t="shared" si="50"/>
        <v>0.23655913978494625</v>
      </c>
      <c r="AQ112" s="130">
        <f t="shared" si="51"/>
        <v>0.29032258064516125</v>
      </c>
      <c r="AR112" s="66">
        <f t="shared" si="52"/>
        <v>0.5268817204301075</v>
      </c>
    </row>
    <row r="113" spans="1:44" x14ac:dyDescent="0.2">
      <c r="A113" s="10">
        <v>39600</v>
      </c>
      <c r="B113" s="17">
        <v>27.05</v>
      </c>
      <c r="C113" s="17">
        <v>8.4</v>
      </c>
      <c r="D113" s="45">
        <v>26.8</v>
      </c>
      <c r="E113" s="45">
        <v>20.100000000000001</v>
      </c>
      <c r="F113" s="45">
        <f t="shared" si="38"/>
        <v>11.325000000000001</v>
      </c>
      <c r="G113" s="12">
        <f t="shared" si="56"/>
        <v>20.06111111111111</v>
      </c>
      <c r="H113" s="12">
        <f t="shared" si="39"/>
        <v>20.06111111111111</v>
      </c>
      <c r="I113" s="12">
        <f t="shared" si="40"/>
        <v>20.131</v>
      </c>
      <c r="K113" s="46">
        <v>3.6325268291197825</v>
      </c>
      <c r="M113" s="137">
        <v>1.366391599472</v>
      </c>
      <c r="N113" s="137">
        <v>6.3586242344841018E-2</v>
      </c>
      <c r="O113" s="14">
        <f t="shared" ca="1" si="41"/>
        <v>0.6123389851106984</v>
      </c>
      <c r="Q113" s="12">
        <f t="shared" si="34"/>
        <v>36.960892765717603</v>
      </c>
      <c r="R113" s="12">
        <f t="shared" si="42"/>
        <v>11.4776894355648</v>
      </c>
      <c r="S113" s="12">
        <f t="shared" si="43"/>
        <v>27.41133369829662</v>
      </c>
      <c r="T113" s="12">
        <f t="shared" si="53"/>
        <v>15.474384864020401</v>
      </c>
      <c r="V113" s="15">
        <f t="shared" si="54"/>
        <v>5</v>
      </c>
      <c r="W113" s="15">
        <f t="shared" si="35"/>
        <v>25</v>
      </c>
      <c r="X113" s="32">
        <f t="shared" si="60"/>
        <v>30</v>
      </c>
      <c r="Y113" s="44">
        <v>4</v>
      </c>
      <c r="Z113" s="44">
        <v>5</v>
      </c>
      <c r="AA113" s="32">
        <f t="shared" si="62"/>
        <v>8</v>
      </c>
      <c r="AB113" s="32">
        <f t="shared" si="62"/>
        <v>22</v>
      </c>
      <c r="AD113">
        <f t="shared" si="55"/>
        <v>720</v>
      </c>
      <c r="AE113">
        <f t="shared" si="36"/>
        <v>400</v>
      </c>
      <c r="AF113">
        <f t="shared" si="37"/>
        <v>320</v>
      </c>
      <c r="AH113">
        <f t="shared" si="44"/>
        <v>720</v>
      </c>
      <c r="AI113">
        <f t="shared" si="45"/>
        <v>352</v>
      </c>
      <c r="AJ113">
        <f t="shared" si="46"/>
        <v>286</v>
      </c>
      <c r="AK113">
        <f t="shared" si="57"/>
        <v>308</v>
      </c>
      <c r="AL113">
        <f t="shared" si="47"/>
        <v>176</v>
      </c>
      <c r="AM113">
        <f t="shared" si="48"/>
        <v>192</v>
      </c>
      <c r="AO113" s="130">
        <f t="shared" si="49"/>
        <v>0.48888888888888887</v>
      </c>
      <c r="AP113" s="130">
        <f t="shared" si="50"/>
        <v>0.24444444444444444</v>
      </c>
      <c r="AQ113" s="130">
        <f t="shared" si="51"/>
        <v>0.26666666666666672</v>
      </c>
      <c r="AR113" s="66">
        <f t="shared" si="52"/>
        <v>0.51111111111111118</v>
      </c>
    </row>
    <row r="114" spans="1:44" x14ac:dyDescent="0.2">
      <c r="A114" s="10">
        <v>39630</v>
      </c>
      <c r="B114" s="17">
        <v>59.467500000000001</v>
      </c>
      <c r="C114" s="17">
        <v>19.077419354838717</v>
      </c>
      <c r="D114" s="45">
        <v>58.104999999999997</v>
      </c>
      <c r="E114" s="45">
        <v>43.578749999999999</v>
      </c>
      <c r="F114" s="45">
        <f t="shared" si="38"/>
        <v>22.927560975609762</v>
      </c>
      <c r="G114" s="12">
        <f t="shared" si="56"/>
        <v>43.358494623655915</v>
      </c>
      <c r="H114" s="12">
        <f t="shared" si="39"/>
        <v>43.358494623655915</v>
      </c>
      <c r="I114" s="12">
        <f t="shared" si="40"/>
        <v>43.389926829268305</v>
      </c>
      <c r="K114" s="46">
        <v>3.6165929421821414</v>
      </c>
      <c r="M114" s="137">
        <v>1.3655624630700001</v>
      </c>
      <c r="N114" s="137">
        <v>6.3595005947741021E-2</v>
      </c>
      <c r="O114" s="14">
        <f t="shared" ca="1" si="41"/>
        <v>0.60920386301714602</v>
      </c>
      <c r="Q114" s="12">
        <f t="shared" si="34"/>
        <v>81.206585772615227</v>
      </c>
      <c r="R114" s="12">
        <f t="shared" si="42"/>
        <v>26.05140776321285</v>
      </c>
      <c r="S114" s="12">
        <f t="shared" si="43"/>
        <v>59.208732713286928</v>
      </c>
      <c r="T114" s="12">
        <f t="shared" si="53"/>
        <v>31.309016638041278</v>
      </c>
      <c r="V114" s="15">
        <f t="shared" si="54"/>
        <v>5</v>
      </c>
      <c r="W114" s="15">
        <f t="shared" si="35"/>
        <v>26</v>
      </c>
      <c r="X114" s="32">
        <f t="shared" si="60"/>
        <v>31</v>
      </c>
      <c r="Y114" s="44">
        <v>4</v>
      </c>
      <c r="Z114" s="44">
        <v>4</v>
      </c>
      <c r="AA114" s="32">
        <f t="shared" si="62"/>
        <v>10</v>
      </c>
      <c r="AB114" s="32">
        <f t="shared" si="62"/>
        <v>21</v>
      </c>
      <c r="AC114">
        <v>1</v>
      </c>
      <c r="AD114">
        <f t="shared" si="55"/>
        <v>744</v>
      </c>
      <c r="AE114">
        <f t="shared" si="36"/>
        <v>416</v>
      </c>
      <c r="AF114">
        <f t="shared" si="37"/>
        <v>328</v>
      </c>
      <c r="AH114">
        <f t="shared" si="44"/>
        <v>744</v>
      </c>
      <c r="AI114">
        <f t="shared" si="45"/>
        <v>336</v>
      </c>
      <c r="AJ114">
        <f t="shared" si="46"/>
        <v>273</v>
      </c>
      <c r="AK114">
        <f t="shared" si="57"/>
        <v>294</v>
      </c>
      <c r="AL114">
        <f t="shared" si="47"/>
        <v>168</v>
      </c>
      <c r="AM114">
        <f t="shared" si="48"/>
        <v>240</v>
      </c>
      <c r="AO114" s="130">
        <f t="shared" si="49"/>
        <v>0.45161290322580644</v>
      </c>
      <c r="AP114" s="130">
        <f t="shared" si="50"/>
        <v>0.22580645161290322</v>
      </c>
      <c r="AQ114" s="130">
        <f t="shared" si="51"/>
        <v>0.32258064516129037</v>
      </c>
      <c r="AR114" s="66">
        <f t="shared" si="52"/>
        <v>0.54838709677419362</v>
      </c>
    </row>
    <row r="115" spans="1:44" x14ac:dyDescent="0.2">
      <c r="A115" s="10">
        <v>39661</v>
      </c>
      <c r="B115" s="17">
        <v>72.467500000000001</v>
      </c>
      <c r="C115" s="17">
        <v>21.35161290322581</v>
      </c>
      <c r="D115" s="45">
        <v>71.105000000000004</v>
      </c>
      <c r="E115" s="45">
        <v>53.328749999999999</v>
      </c>
      <c r="F115" s="45">
        <f t="shared" si="38"/>
        <v>29.150914634146332</v>
      </c>
      <c r="G115" s="12">
        <f t="shared" si="56"/>
        <v>53.37094086021505</v>
      </c>
      <c r="H115" s="12">
        <f t="shared" si="39"/>
        <v>53.37094086021505</v>
      </c>
      <c r="I115" s="12">
        <f t="shared" si="40"/>
        <v>53.408202439024386</v>
      </c>
      <c r="K115" s="46">
        <v>3.6136404053530056</v>
      </c>
      <c r="M115" s="137">
        <v>1.3647114578120003</v>
      </c>
      <c r="N115" s="137">
        <v>6.3604061670764017E-2</v>
      </c>
      <c r="O115" s="14">
        <f t="shared" ca="1" si="41"/>
        <v>0.60598023701835435</v>
      </c>
      <c r="Q115" s="12">
        <f t="shared" si="34"/>
        <v>98.897227568991141</v>
      </c>
      <c r="R115" s="12">
        <f t="shared" si="42"/>
        <v>29.13879077179881</v>
      </c>
      <c r="S115" s="12">
        <f t="shared" si="43"/>
        <v>72.835934506142138</v>
      </c>
      <c r="T115" s="12">
        <f t="shared" si="53"/>
        <v>39.782587206919018</v>
      </c>
      <c r="V115" s="15">
        <f t="shared" si="54"/>
        <v>5</v>
      </c>
      <c r="W115" s="15">
        <f t="shared" si="35"/>
        <v>26</v>
      </c>
      <c r="X115" s="32">
        <f t="shared" si="60"/>
        <v>31</v>
      </c>
      <c r="Y115" s="44">
        <v>5</v>
      </c>
      <c r="Z115" s="44">
        <v>5</v>
      </c>
      <c r="AA115" s="32">
        <f t="shared" si="62"/>
        <v>8</v>
      </c>
      <c r="AB115" s="32">
        <f t="shared" si="62"/>
        <v>23</v>
      </c>
      <c r="AD115">
        <f t="shared" si="55"/>
        <v>744</v>
      </c>
      <c r="AE115">
        <f t="shared" si="36"/>
        <v>416</v>
      </c>
      <c r="AF115">
        <f t="shared" si="37"/>
        <v>328</v>
      </c>
      <c r="AH115">
        <f t="shared" si="44"/>
        <v>744</v>
      </c>
      <c r="AI115">
        <f t="shared" si="45"/>
        <v>368</v>
      </c>
      <c r="AJ115">
        <f t="shared" si="46"/>
        <v>299</v>
      </c>
      <c r="AK115">
        <f t="shared" si="57"/>
        <v>322</v>
      </c>
      <c r="AL115">
        <f t="shared" si="47"/>
        <v>184</v>
      </c>
      <c r="AM115">
        <f t="shared" si="48"/>
        <v>192</v>
      </c>
      <c r="AO115" s="130">
        <f t="shared" si="49"/>
        <v>0.4946236559139785</v>
      </c>
      <c r="AP115" s="130">
        <f t="shared" si="50"/>
        <v>0.24731182795698925</v>
      </c>
      <c r="AQ115" s="130">
        <f t="shared" si="51"/>
        <v>0.25806451612903225</v>
      </c>
      <c r="AR115" s="66">
        <f t="shared" si="52"/>
        <v>0.5053763440860215</v>
      </c>
    </row>
    <row r="116" spans="1:44" x14ac:dyDescent="0.2">
      <c r="A116" s="10">
        <v>39692</v>
      </c>
      <c r="B116" s="17">
        <v>64.8</v>
      </c>
      <c r="C116" s="17">
        <v>19.975000000000001</v>
      </c>
      <c r="D116" s="45">
        <v>64.05</v>
      </c>
      <c r="E116" s="45">
        <v>48.037500000000001</v>
      </c>
      <c r="F116" s="45">
        <f t="shared" si="38"/>
        <v>24.588750000000005</v>
      </c>
      <c r="G116" s="12">
        <f t="shared" si="56"/>
        <v>46.928333333333335</v>
      </c>
      <c r="H116" s="12">
        <f t="shared" si="39"/>
        <v>46.928333333333335</v>
      </c>
      <c r="I116" s="12">
        <f t="shared" si="40"/>
        <v>47.107050000000001</v>
      </c>
      <c r="K116" s="46">
        <v>3.5976632853374615</v>
      </c>
      <c r="M116" s="137">
        <v>1.363866305992</v>
      </c>
      <c r="N116" s="137">
        <v>6.3613117393815019E-2</v>
      </c>
      <c r="O116" s="14">
        <f t="shared" ca="1" si="41"/>
        <v>0.60277279755910174</v>
      </c>
      <c r="Q116" s="12">
        <f t="shared" si="34"/>
        <v>88.378536628281594</v>
      </c>
      <c r="R116" s="12">
        <f t="shared" si="42"/>
        <v>27.2432294621902</v>
      </c>
      <c r="S116" s="12">
        <f t="shared" si="43"/>
        <v>64.003972629694573</v>
      </c>
      <c r="T116" s="12">
        <f t="shared" si="53"/>
        <v>33.535767631460793</v>
      </c>
      <c r="V116" s="15">
        <f t="shared" si="54"/>
        <v>5</v>
      </c>
      <c r="W116" s="15">
        <f t="shared" si="35"/>
        <v>25</v>
      </c>
      <c r="X116" s="32">
        <f t="shared" si="60"/>
        <v>30</v>
      </c>
      <c r="Y116" s="44">
        <v>4</v>
      </c>
      <c r="Z116" s="44">
        <v>4</v>
      </c>
      <c r="AA116" s="32">
        <f t="shared" ref="AA116:AB131" si="63">AA104</f>
        <v>8</v>
      </c>
      <c r="AB116" s="32">
        <f t="shared" si="63"/>
        <v>22</v>
      </c>
      <c r="AC116">
        <v>1</v>
      </c>
      <c r="AD116">
        <f t="shared" si="55"/>
        <v>720</v>
      </c>
      <c r="AE116">
        <f t="shared" si="36"/>
        <v>400</v>
      </c>
      <c r="AF116">
        <f t="shared" si="37"/>
        <v>320</v>
      </c>
      <c r="AH116">
        <f t="shared" si="44"/>
        <v>720</v>
      </c>
      <c r="AI116">
        <f t="shared" si="45"/>
        <v>352</v>
      </c>
      <c r="AJ116">
        <f t="shared" si="46"/>
        <v>286</v>
      </c>
      <c r="AK116">
        <f t="shared" si="57"/>
        <v>308</v>
      </c>
      <c r="AL116">
        <f t="shared" si="47"/>
        <v>176</v>
      </c>
      <c r="AM116">
        <f t="shared" si="48"/>
        <v>192</v>
      </c>
      <c r="AO116" s="130">
        <f t="shared" si="49"/>
        <v>0.48888888888888887</v>
      </c>
      <c r="AP116" s="130">
        <f t="shared" si="50"/>
        <v>0.24444444444444444</v>
      </c>
      <c r="AQ116" s="130">
        <f t="shared" si="51"/>
        <v>0.26666666666666672</v>
      </c>
      <c r="AR116" s="66">
        <f t="shared" si="52"/>
        <v>0.51111111111111118</v>
      </c>
    </row>
    <row r="117" spans="1:44" x14ac:dyDescent="0.2">
      <c r="A117" s="10">
        <v>39722</v>
      </c>
      <c r="B117" s="17">
        <v>38.549999999999997</v>
      </c>
      <c r="C117" s="17">
        <v>26.698387096774194</v>
      </c>
      <c r="D117" s="45">
        <v>37.049999999999997</v>
      </c>
      <c r="E117" s="45">
        <v>27.787500000000001</v>
      </c>
      <c r="F117" s="45">
        <f t="shared" si="38"/>
        <v>26.921794871794866</v>
      </c>
      <c r="G117" s="12">
        <f t="shared" si="56"/>
        <v>33.673655913978493</v>
      </c>
      <c r="H117" s="12">
        <f t="shared" si="39"/>
        <v>33.673655913978493</v>
      </c>
      <c r="I117" s="12">
        <f t="shared" si="40"/>
        <v>33.433589743589742</v>
      </c>
      <c r="K117" s="46">
        <v>3.6143733895110546</v>
      </c>
      <c r="M117" s="137">
        <v>1.3630539807800002</v>
      </c>
      <c r="N117" s="137">
        <v>6.3621880996793015E-2</v>
      </c>
      <c r="O117" s="14">
        <f t="shared" ca="1" si="41"/>
        <v>0.59968416365322941</v>
      </c>
      <c r="Q117" s="12">
        <f t="shared" si="34"/>
        <v>52.545730959069004</v>
      </c>
      <c r="R117" s="12">
        <f t="shared" si="42"/>
        <v>36.39134281266346</v>
      </c>
      <c r="S117" s="12">
        <f t="shared" si="43"/>
        <v>45.899010740964378</v>
      </c>
      <c r="T117" s="12">
        <f t="shared" si="53"/>
        <v>36.695859669742589</v>
      </c>
      <c r="V117" s="15">
        <f t="shared" si="54"/>
        <v>4</v>
      </c>
      <c r="W117" s="15">
        <f t="shared" si="35"/>
        <v>27</v>
      </c>
      <c r="X117" s="32">
        <f t="shared" si="60"/>
        <v>31</v>
      </c>
      <c r="Y117" s="44">
        <v>4</v>
      </c>
      <c r="Z117" s="44">
        <v>4</v>
      </c>
      <c r="AA117" s="32">
        <f t="shared" si="63"/>
        <v>10</v>
      </c>
      <c r="AB117" s="32">
        <f t="shared" si="63"/>
        <v>21</v>
      </c>
      <c r="AD117">
        <f t="shared" si="55"/>
        <v>744</v>
      </c>
      <c r="AE117">
        <f t="shared" si="36"/>
        <v>432</v>
      </c>
      <c r="AF117">
        <f t="shared" si="37"/>
        <v>312</v>
      </c>
      <c r="AH117">
        <f t="shared" si="44"/>
        <v>744</v>
      </c>
      <c r="AI117">
        <f t="shared" si="45"/>
        <v>336</v>
      </c>
      <c r="AJ117">
        <f t="shared" si="46"/>
        <v>273</v>
      </c>
      <c r="AK117">
        <f t="shared" si="57"/>
        <v>294</v>
      </c>
      <c r="AL117">
        <f t="shared" si="47"/>
        <v>168</v>
      </c>
      <c r="AM117">
        <f t="shared" si="48"/>
        <v>240</v>
      </c>
      <c r="AO117" s="130">
        <f t="shared" si="49"/>
        <v>0.45161290322580644</v>
      </c>
      <c r="AP117" s="130">
        <f t="shared" si="50"/>
        <v>0.22580645161290322</v>
      </c>
      <c r="AQ117" s="130">
        <f t="shared" si="51"/>
        <v>0.32258064516129037</v>
      </c>
      <c r="AR117" s="66">
        <f t="shared" si="52"/>
        <v>0.54838709677419362</v>
      </c>
    </row>
    <row r="118" spans="1:44" x14ac:dyDescent="0.2">
      <c r="A118" s="10">
        <v>39753</v>
      </c>
      <c r="B118" s="17">
        <v>37.299999999999997</v>
      </c>
      <c r="C118" s="17">
        <v>27.212499999999999</v>
      </c>
      <c r="D118" s="45">
        <v>34.049999999999997</v>
      </c>
      <c r="E118" s="45">
        <v>25.537500000000001</v>
      </c>
      <c r="F118" s="45">
        <f t="shared" si="38"/>
        <v>25.517857142857135</v>
      </c>
      <c r="G118" s="12">
        <f t="shared" si="56"/>
        <v>31.801666666666662</v>
      </c>
      <c r="H118" s="12">
        <f t="shared" si="39"/>
        <v>31.801666666666662</v>
      </c>
      <c r="I118" s="12">
        <f t="shared" si="40"/>
        <v>32.115857142857138</v>
      </c>
      <c r="K118" s="46">
        <v>3.7441915249817201</v>
      </c>
      <c r="M118" s="137">
        <v>1.3622203173050003</v>
      </c>
      <c r="N118" s="137">
        <v>6.3630936719897016E-2</v>
      </c>
      <c r="O118" s="14">
        <f t="shared" ca="1" si="41"/>
        <v>0.59650835232030874</v>
      </c>
      <c r="Q118" s="12">
        <f t="shared" si="34"/>
        <v>50.810817835476506</v>
      </c>
      <c r="R118" s="12">
        <f t="shared" si="42"/>
        <v>37.069420384662315</v>
      </c>
      <c r="S118" s="12">
        <f t="shared" si="43"/>
        <v>43.320876457494514</v>
      </c>
      <c r="T118" s="12">
        <f t="shared" si="53"/>
        <v>34.760943454086515</v>
      </c>
      <c r="V118" s="15">
        <f t="shared" si="54"/>
        <v>6</v>
      </c>
      <c r="W118" s="15">
        <f t="shared" si="35"/>
        <v>24</v>
      </c>
      <c r="X118" s="32">
        <f t="shared" si="60"/>
        <v>30</v>
      </c>
      <c r="Y118" s="44">
        <v>5</v>
      </c>
      <c r="Z118" s="44">
        <v>5</v>
      </c>
      <c r="AA118" s="32">
        <f t="shared" si="63"/>
        <v>8</v>
      </c>
      <c r="AB118" s="32">
        <f t="shared" si="63"/>
        <v>22</v>
      </c>
      <c r="AC118">
        <v>1</v>
      </c>
      <c r="AD118">
        <f t="shared" si="55"/>
        <v>720</v>
      </c>
      <c r="AE118">
        <f t="shared" si="36"/>
        <v>384</v>
      </c>
      <c r="AF118">
        <f t="shared" si="37"/>
        <v>336</v>
      </c>
      <c r="AH118">
        <f t="shared" si="44"/>
        <v>720</v>
      </c>
      <c r="AI118">
        <f t="shared" si="45"/>
        <v>352</v>
      </c>
      <c r="AJ118">
        <f t="shared" si="46"/>
        <v>286</v>
      </c>
      <c r="AK118">
        <f t="shared" si="57"/>
        <v>308</v>
      </c>
      <c r="AL118">
        <f t="shared" si="47"/>
        <v>176</v>
      </c>
      <c r="AM118">
        <f t="shared" si="48"/>
        <v>192</v>
      </c>
      <c r="AO118" s="130">
        <f t="shared" si="49"/>
        <v>0.48888888888888887</v>
      </c>
      <c r="AP118" s="130">
        <f t="shared" si="50"/>
        <v>0.24444444444444444</v>
      </c>
      <c r="AQ118" s="130">
        <f t="shared" si="51"/>
        <v>0.26666666666666672</v>
      </c>
      <c r="AR118" s="66">
        <f t="shared" si="52"/>
        <v>0.51111111111111118</v>
      </c>
    </row>
    <row r="119" spans="1:44" x14ac:dyDescent="0.2">
      <c r="A119" s="10">
        <v>39783</v>
      </c>
      <c r="B119" s="17">
        <v>37.299999999999997</v>
      </c>
      <c r="C119" s="17">
        <v>26.488709677419362</v>
      </c>
      <c r="D119" s="45">
        <v>33.549999999999997</v>
      </c>
      <c r="E119" s="45">
        <v>25.162500000000001</v>
      </c>
      <c r="F119" s="45">
        <f t="shared" si="38"/>
        <v>24.937804878048787</v>
      </c>
      <c r="G119" s="12">
        <f t="shared" si="56"/>
        <v>31.85</v>
      </c>
      <c r="H119" s="12">
        <f t="shared" si="39"/>
        <v>31.85</v>
      </c>
      <c r="I119" s="12">
        <f t="shared" si="40"/>
        <v>31.860634146341468</v>
      </c>
      <c r="K119" s="46">
        <v>3.8674044384434487</v>
      </c>
      <c r="M119" s="137">
        <v>1.3614190909450004</v>
      </c>
      <c r="N119" s="137">
        <v>6.3639700322926998E-2</v>
      </c>
      <c r="O119" s="14">
        <f t="shared" ca="1" si="41"/>
        <v>0.59345018403405714</v>
      </c>
      <c r="Q119" s="12">
        <f t="shared" si="34"/>
        <v>50.780932092248513</v>
      </c>
      <c r="R119" s="12">
        <f t="shared" si="42"/>
        <v>36.062235049338298</v>
      </c>
      <c r="S119" s="12">
        <f t="shared" si="43"/>
        <v>43.361198046598261</v>
      </c>
      <c r="T119" s="12">
        <f t="shared" si="53"/>
        <v>33.950803647236974</v>
      </c>
      <c r="V119" s="15">
        <f t="shared" si="54"/>
        <v>5</v>
      </c>
      <c r="W119" s="15">
        <f t="shared" si="35"/>
        <v>26</v>
      </c>
      <c r="X119" s="32">
        <f t="shared" si="60"/>
        <v>31</v>
      </c>
      <c r="Y119" s="44">
        <v>4</v>
      </c>
      <c r="Z119" s="44">
        <v>4</v>
      </c>
      <c r="AA119" s="32">
        <f t="shared" si="63"/>
        <v>9</v>
      </c>
      <c r="AB119" s="32">
        <f t="shared" si="63"/>
        <v>22</v>
      </c>
      <c r="AC119">
        <v>1</v>
      </c>
      <c r="AD119">
        <f t="shared" si="55"/>
        <v>744</v>
      </c>
      <c r="AE119">
        <f t="shared" si="36"/>
        <v>416</v>
      </c>
      <c r="AF119">
        <f t="shared" si="37"/>
        <v>328</v>
      </c>
      <c r="AH119">
        <f t="shared" si="44"/>
        <v>744</v>
      </c>
      <c r="AI119">
        <f t="shared" si="45"/>
        <v>352</v>
      </c>
      <c r="AJ119">
        <f t="shared" si="46"/>
        <v>286</v>
      </c>
      <c r="AK119">
        <f t="shared" si="57"/>
        <v>308</v>
      </c>
      <c r="AL119">
        <f t="shared" si="47"/>
        <v>176</v>
      </c>
      <c r="AM119">
        <f t="shared" si="48"/>
        <v>216</v>
      </c>
      <c r="AO119" s="130">
        <f t="shared" si="49"/>
        <v>0.4731182795698925</v>
      </c>
      <c r="AP119" s="130">
        <f t="shared" si="50"/>
        <v>0.23655913978494625</v>
      </c>
      <c r="AQ119" s="130">
        <f t="shared" si="51"/>
        <v>0.29032258064516125</v>
      </c>
      <c r="AR119" s="66">
        <f t="shared" si="52"/>
        <v>0.5268817204301075</v>
      </c>
    </row>
    <row r="120" spans="1:44" x14ac:dyDescent="0.2">
      <c r="A120" s="10">
        <v>39814</v>
      </c>
      <c r="B120" s="17">
        <v>32.65</v>
      </c>
      <c r="C120" s="17">
        <v>26.784677419354839</v>
      </c>
      <c r="D120" s="45">
        <v>33.15</v>
      </c>
      <c r="E120" s="45">
        <v>24.862500000000001</v>
      </c>
      <c r="F120" s="45">
        <f t="shared" si="38"/>
        <v>25.103048780487811</v>
      </c>
      <c r="G120" s="12">
        <f t="shared" si="56"/>
        <v>29.322849462365593</v>
      </c>
      <c r="H120" s="12">
        <f t="shared" si="39"/>
        <v>29.322849462365593</v>
      </c>
      <c r="I120" s="12">
        <f t="shared" si="40"/>
        <v>29.329341463414636</v>
      </c>
      <c r="K120" s="46">
        <v>4.1137661542762753</v>
      </c>
      <c r="M120" s="137">
        <v>1.3605968768970003</v>
      </c>
      <c r="N120" s="137">
        <v>6.3648756046084026E-2</v>
      </c>
      <c r="O120" s="14">
        <f t="shared" ca="1" si="41"/>
        <v>0.59030570749255173</v>
      </c>
      <c r="Q120" s="12">
        <f t="shared" si="34"/>
        <v>44.423488030687054</v>
      </c>
      <c r="R120" s="12">
        <f t="shared" si="42"/>
        <v>36.443148445467799</v>
      </c>
      <c r="S120" s="12">
        <f t="shared" si="43"/>
        <v>39.896577400215506</v>
      </c>
      <c r="T120" s="12">
        <f t="shared" si="53"/>
        <v>34.155129771324766</v>
      </c>
      <c r="V120" s="15">
        <f t="shared" si="54"/>
        <v>5</v>
      </c>
      <c r="W120" s="15">
        <f t="shared" si="35"/>
        <v>26</v>
      </c>
      <c r="X120" s="32">
        <f t="shared" si="60"/>
        <v>31</v>
      </c>
      <c r="Y120" s="43">
        <v>5</v>
      </c>
      <c r="Z120" s="43">
        <v>4</v>
      </c>
      <c r="AA120" s="32">
        <f t="shared" si="63"/>
        <v>10</v>
      </c>
      <c r="AB120" s="32">
        <f t="shared" si="63"/>
        <v>21</v>
      </c>
      <c r="AC120">
        <v>1</v>
      </c>
      <c r="AD120">
        <f t="shared" si="55"/>
        <v>744</v>
      </c>
      <c r="AE120">
        <f t="shared" si="36"/>
        <v>416</v>
      </c>
      <c r="AF120">
        <f t="shared" si="37"/>
        <v>328</v>
      </c>
      <c r="AH120">
        <f t="shared" si="44"/>
        <v>744</v>
      </c>
      <c r="AI120">
        <f t="shared" si="45"/>
        <v>336</v>
      </c>
      <c r="AJ120">
        <f t="shared" si="46"/>
        <v>273</v>
      </c>
      <c r="AK120">
        <f t="shared" si="57"/>
        <v>294</v>
      </c>
      <c r="AL120">
        <f t="shared" si="47"/>
        <v>168</v>
      </c>
      <c r="AM120">
        <f t="shared" si="48"/>
        <v>240</v>
      </c>
      <c r="AO120" s="130">
        <f t="shared" si="49"/>
        <v>0.45161290322580644</v>
      </c>
      <c r="AP120" s="130">
        <f t="shared" si="50"/>
        <v>0.22580645161290322</v>
      </c>
      <c r="AQ120" s="130">
        <f t="shared" si="51"/>
        <v>0.32258064516129037</v>
      </c>
      <c r="AR120" s="66">
        <f t="shared" si="52"/>
        <v>0.54838709677419362</v>
      </c>
    </row>
    <row r="121" spans="1:44" x14ac:dyDescent="0.2">
      <c r="A121" s="10">
        <v>39845</v>
      </c>
      <c r="B121" s="17">
        <v>31.15</v>
      </c>
      <c r="C121" s="17">
        <v>25.753571428571426</v>
      </c>
      <c r="D121" s="45">
        <v>31.65</v>
      </c>
      <c r="E121" s="45">
        <v>23.737500000000001</v>
      </c>
      <c r="F121" s="45">
        <f t="shared" si="38"/>
        <v>25.305555555555554</v>
      </c>
      <c r="G121" s="12">
        <f t="shared" si="56"/>
        <v>28.645238095238092</v>
      </c>
      <c r="H121" s="12">
        <f t="shared" si="39"/>
        <v>28.645238095238092</v>
      </c>
      <c r="I121" s="12">
        <f t="shared" si="40"/>
        <v>28.578444444444443</v>
      </c>
      <c r="K121" s="46">
        <v>3.9767355758028189</v>
      </c>
      <c r="M121" s="137">
        <v>1.3597804666740001</v>
      </c>
      <c r="N121" s="137">
        <v>6.3657811769269004E-2</v>
      </c>
      <c r="O121" s="14">
        <f t="shared" ca="1" si="41"/>
        <v>0.58717704358427203</v>
      </c>
      <c r="Q121" s="12">
        <f t="shared" si="34"/>
        <v>42.357161536895099</v>
      </c>
      <c r="R121" s="12">
        <f t="shared" si="42"/>
        <v>35.01920337566505</v>
      </c>
      <c r="S121" s="12">
        <f t="shared" si="43"/>
        <v>38.951235225130695</v>
      </c>
      <c r="T121" s="12">
        <f t="shared" si="53"/>
        <v>34.410000142778166</v>
      </c>
      <c r="V121" s="15">
        <f t="shared" si="54"/>
        <v>4</v>
      </c>
      <c r="W121" s="15">
        <f t="shared" si="35"/>
        <v>24</v>
      </c>
      <c r="X121" s="32">
        <f t="shared" si="60"/>
        <v>28</v>
      </c>
      <c r="Y121" s="44">
        <v>4</v>
      </c>
      <c r="Z121" s="44">
        <v>4</v>
      </c>
      <c r="AA121" s="32">
        <f t="shared" si="63"/>
        <v>8</v>
      </c>
      <c r="AB121" s="32">
        <f t="shared" si="63"/>
        <v>20</v>
      </c>
      <c r="AD121">
        <f t="shared" si="55"/>
        <v>672</v>
      </c>
      <c r="AE121">
        <f t="shared" si="36"/>
        <v>384</v>
      </c>
      <c r="AF121">
        <f t="shared" si="37"/>
        <v>288</v>
      </c>
      <c r="AH121">
        <f t="shared" si="44"/>
        <v>672</v>
      </c>
      <c r="AI121">
        <f t="shared" si="45"/>
        <v>320</v>
      </c>
      <c r="AJ121">
        <f t="shared" si="46"/>
        <v>260</v>
      </c>
      <c r="AK121">
        <f t="shared" si="57"/>
        <v>280</v>
      </c>
      <c r="AL121">
        <f t="shared" si="47"/>
        <v>160</v>
      </c>
      <c r="AM121">
        <f t="shared" si="48"/>
        <v>192</v>
      </c>
      <c r="AO121" s="130">
        <f t="shared" si="49"/>
        <v>0.47619047619047616</v>
      </c>
      <c r="AP121" s="130">
        <f t="shared" si="50"/>
        <v>0.23809523809523808</v>
      </c>
      <c r="AQ121" s="130">
        <f t="shared" si="51"/>
        <v>0.28571428571428581</v>
      </c>
      <c r="AR121" s="66">
        <f t="shared" si="52"/>
        <v>0.52380952380952395</v>
      </c>
    </row>
    <row r="122" spans="1:44" x14ac:dyDescent="0.2">
      <c r="A122" s="10">
        <v>39873</v>
      </c>
      <c r="B122" s="17">
        <v>29.4</v>
      </c>
      <c r="C122" s="17">
        <v>22.280645161290323</v>
      </c>
      <c r="D122" s="45">
        <v>29.9</v>
      </c>
      <c r="E122" s="45">
        <v>22.425000000000001</v>
      </c>
      <c r="F122" s="45">
        <f t="shared" si="38"/>
        <v>22.315853658536586</v>
      </c>
      <c r="G122" s="12">
        <f t="shared" si="56"/>
        <v>26.276881720430108</v>
      </c>
      <c r="H122" s="12">
        <f t="shared" si="39"/>
        <v>26.276881720430108</v>
      </c>
      <c r="I122" s="12">
        <f t="shared" si="40"/>
        <v>26.2829756097561</v>
      </c>
      <c r="K122" s="46">
        <v>3.8026045549508067</v>
      </c>
      <c r="M122" s="137">
        <v>1.3590480442250004</v>
      </c>
      <c r="N122" s="137">
        <v>6.3665991132169988E-2</v>
      </c>
      <c r="O122" s="14">
        <f t="shared" ca="1" si="41"/>
        <v>0.58436468269331332</v>
      </c>
      <c r="Q122" s="12">
        <f t="shared" si="34"/>
        <v>39.95601250021501</v>
      </c>
      <c r="R122" s="12">
        <f t="shared" si="42"/>
        <v>30.280467230522831</v>
      </c>
      <c r="S122" s="12">
        <f t="shared" si="43"/>
        <v>35.711544710482201</v>
      </c>
      <c r="T122" s="12">
        <f t="shared" si="53"/>
        <v>30.328317269845467</v>
      </c>
      <c r="V122" s="15">
        <f t="shared" si="54"/>
        <v>5</v>
      </c>
      <c r="W122" s="15">
        <f t="shared" si="35"/>
        <v>26</v>
      </c>
      <c r="X122" s="32">
        <f t="shared" si="60"/>
        <v>31</v>
      </c>
      <c r="Y122" s="44">
        <v>4</v>
      </c>
      <c r="Z122" s="44">
        <v>5</v>
      </c>
      <c r="AA122" s="32">
        <f t="shared" si="63"/>
        <v>8</v>
      </c>
      <c r="AB122" s="32">
        <f t="shared" si="63"/>
        <v>23</v>
      </c>
      <c r="AD122">
        <f t="shared" si="55"/>
        <v>744</v>
      </c>
      <c r="AE122">
        <f t="shared" si="36"/>
        <v>416</v>
      </c>
      <c r="AF122">
        <f t="shared" si="37"/>
        <v>328</v>
      </c>
      <c r="AH122">
        <f t="shared" si="44"/>
        <v>744</v>
      </c>
      <c r="AI122">
        <f t="shared" si="45"/>
        <v>368</v>
      </c>
      <c r="AJ122">
        <f t="shared" si="46"/>
        <v>299</v>
      </c>
      <c r="AK122">
        <f t="shared" si="57"/>
        <v>322</v>
      </c>
      <c r="AL122">
        <f t="shared" si="47"/>
        <v>184</v>
      </c>
      <c r="AM122">
        <f t="shared" si="48"/>
        <v>192</v>
      </c>
      <c r="AO122" s="130">
        <f t="shared" si="49"/>
        <v>0.4946236559139785</v>
      </c>
      <c r="AP122" s="130">
        <f t="shared" si="50"/>
        <v>0.24731182795698925</v>
      </c>
      <c r="AQ122" s="130">
        <f t="shared" si="51"/>
        <v>0.25806451612903225</v>
      </c>
      <c r="AR122" s="66">
        <f t="shared" si="52"/>
        <v>0.5053763440860215</v>
      </c>
    </row>
    <row r="123" spans="1:44" x14ac:dyDescent="0.2">
      <c r="A123" s="10">
        <v>39904</v>
      </c>
      <c r="B123" s="17">
        <v>27.15</v>
      </c>
      <c r="C123" s="17">
        <v>17.304200000000002</v>
      </c>
      <c r="D123" s="45">
        <v>27.65</v>
      </c>
      <c r="E123" s="45">
        <v>20.737500000000001</v>
      </c>
      <c r="F123" s="45">
        <f t="shared" si="38"/>
        <v>18.027000000000001</v>
      </c>
      <c r="G123" s="12">
        <f t="shared" si="56"/>
        <v>23.298066666666667</v>
      </c>
      <c r="H123" s="12">
        <f t="shared" si="39"/>
        <v>23.298066666666667</v>
      </c>
      <c r="I123" s="12">
        <f t="shared" si="40"/>
        <v>23.13588</v>
      </c>
      <c r="K123" s="46">
        <v>3.5765961860215953</v>
      </c>
      <c r="M123" s="137">
        <v>1.3582426528920002</v>
      </c>
      <c r="N123" s="137">
        <v>6.3675046855406023E-2</v>
      </c>
      <c r="O123" s="14">
        <f t="shared" ca="1" si="41"/>
        <v>0.58126590748259321</v>
      </c>
      <c r="Q123" s="12">
        <f t="shared" si="34"/>
        <v>36.876288026017804</v>
      </c>
      <c r="R123" s="12">
        <f t="shared" si="42"/>
        <v>23.50330251417375</v>
      </c>
      <c r="S123" s="12">
        <f t="shared" si="43"/>
        <v>31.644427876588015</v>
      </c>
      <c r="T123" s="12">
        <f t="shared" si="53"/>
        <v>24.485040303684087</v>
      </c>
      <c r="V123" s="15">
        <f t="shared" si="54"/>
        <v>4</v>
      </c>
      <c r="W123" s="15">
        <f t="shared" si="35"/>
        <v>26</v>
      </c>
      <c r="X123" s="32">
        <f t="shared" si="60"/>
        <v>30</v>
      </c>
      <c r="Y123" s="44">
        <v>4</v>
      </c>
      <c r="Z123" s="44">
        <v>4</v>
      </c>
      <c r="AA123" s="32">
        <f t="shared" si="63"/>
        <v>9</v>
      </c>
      <c r="AB123" s="32">
        <f t="shared" si="63"/>
        <v>21</v>
      </c>
      <c r="AD123">
        <f t="shared" si="55"/>
        <v>720</v>
      </c>
      <c r="AE123">
        <f t="shared" si="36"/>
        <v>416</v>
      </c>
      <c r="AF123">
        <f t="shared" si="37"/>
        <v>304</v>
      </c>
      <c r="AH123">
        <f t="shared" si="44"/>
        <v>720</v>
      </c>
      <c r="AI123">
        <f t="shared" si="45"/>
        <v>336</v>
      </c>
      <c r="AJ123">
        <f t="shared" si="46"/>
        <v>273</v>
      </c>
      <c r="AK123">
        <f t="shared" si="57"/>
        <v>294</v>
      </c>
      <c r="AL123">
        <f t="shared" si="47"/>
        <v>168</v>
      </c>
      <c r="AM123">
        <f t="shared" si="48"/>
        <v>216</v>
      </c>
      <c r="AO123" s="130">
        <f t="shared" si="49"/>
        <v>0.46666666666666667</v>
      </c>
      <c r="AP123" s="130">
        <f t="shared" si="50"/>
        <v>0.23333333333333334</v>
      </c>
      <c r="AQ123" s="130">
        <f t="shared" si="51"/>
        <v>0.30000000000000004</v>
      </c>
      <c r="AR123" s="66">
        <f t="shared" si="52"/>
        <v>0.53333333333333344</v>
      </c>
    </row>
    <row r="124" spans="1:44" x14ac:dyDescent="0.2">
      <c r="A124" s="10">
        <v>39934</v>
      </c>
      <c r="B124" s="17">
        <v>25.15</v>
      </c>
      <c r="C124" s="17">
        <v>7.7483870967741915</v>
      </c>
      <c r="D124" s="45">
        <v>24.9</v>
      </c>
      <c r="E124" s="45">
        <v>18.675000000000001</v>
      </c>
      <c r="F124" s="45">
        <f t="shared" si="38"/>
        <v>9.929069767441856</v>
      </c>
      <c r="G124" s="12">
        <f t="shared" si="56"/>
        <v>18.112365591397847</v>
      </c>
      <c r="H124" s="12">
        <f t="shared" si="39"/>
        <v>18.112365591397847</v>
      </c>
      <c r="I124" s="12">
        <f t="shared" si="40"/>
        <v>18.452790697674416</v>
      </c>
      <c r="K124" s="46">
        <v>3.5492267870675875</v>
      </c>
      <c r="M124" s="137">
        <v>1.3574687410540005</v>
      </c>
      <c r="N124" s="137">
        <v>6.3683810458564014E-2</v>
      </c>
      <c r="O124" s="14">
        <f t="shared" ca="1" si="41"/>
        <v>0.57828194341435279</v>
      </c>
      <c r="Q124" s="12">
        <f t="shared" si="34"/>
        <v>34.140338837508111</v>
      </c>
      <c r="R124" s="12">
        <f t="shared" si="42"/>
        <v>10.518193277457124</v>
      </c>
      <c r="S124" s="12">
        <f t="shared" si="43"/>
        <v>24.586970116864631</v>
      </c>
      <c r="T124" s="12">
        <f t="shared" si="53"/>
        <v>13.478401837046635</v>
      </c>
      <c r="V124" s="15">
        <f t="shared" si="54"/>
        <v>6</v>
      </c>
      <c r="W124" s="15">
        <f t="shared" si="35"/>
        <v>25</v>
      </c>
      <c r="X124" s="32">
        <f t="shared" si="60"/>
        <v>31</v>
      </c>
      <c r="Y124" s="44">
        <v>5</v>
      </c>
      <c r="Z124" s="44">
        <v>5</v>
      </c>
      <c r="AA124" s="32">
        <f t="shared" si="63"/>
        <v>9</v>
      </c>
      <c r="AB124" s="32">
        <f t="shared" si="63"/>
        <v>22</v>
      </c>
      <c r="AC124">
        <v>1</v>
      </c>
      <c r="AD124">
        <f t="shared" si="55"/>
        <v>744</v>
      </c>
      <c r="AE124">
        <f t="shared" si="36"/>
        <v>400</v>
      </c>
      <c r="AF124">
        <f t="shared" si="37"/>
        <v>344</v>
      </c>
      <c r="AH124">
        <f t="shared" si="44"/>
        <v>744</v>
      </c>
      <c r="AI124">
        <f t="shared" si="45"/>
        <v>352</v>
      </c>
      <c r="AJ124">
        <f t="shared" si="46"/>
        <v>286</v>
      </c>
      <c r="AK124">
        <f t="shared" si="57"/>
        <v>308</v>
      </c>
      <c r="AL124">
        <f t="shared" si="47"/>
        <v>176</v>
      </c>
      <c r="AM124">
        <f t="shared" si="48"/>
        <v>216</v>
      </c>
      <c r="AO124" s="130">
        <f t="shared" si="49"/>
        <v>0.4731182795698925</v>
      </c>
      <c r="AP124" s="130">
        <f t="shared" si="50"/>
        <v>0.23655913978494625</v>
      </c>
      <c r="AQ124" s="130">
        <f t="shared" si="51"/>
        <v>0.29032258064516125</v>
      </c>
      <c r="AR124" s="66">
        <f t="shared" si="52"/>
        <v>0.5268817204301075</v>
      </c>
    </row>
    <row r="125" spans="1:44" x14ac:dyDescent="0.2">
      <c r="A125" s="10">
        <v>39965</v>
      </c>
      <c r="B125" s="17">
        <v>27.15</v>
      </c>
      <c r="C125" s="17">
        <v>8.4499999999999993</v>
      </c>
      <c r="D125" s="45">
        <v>26.9</v>
      </c>
      <c r="E125" s="45">
        <v>20.175000000000001</v>
      </c>
      <c r="F125" s="45">
        <f t="shared" si="38"/>
        <v>10.918421052631581</v>
      </c>
      <c r="G125" s="12">
        <f t="shared" si="56"/>
        <v>20.296666666666667</v>
      </c>
      <c r="H125" s="12">
        <f t="shared" si="39"/>
        <v>20.296666666666667</v>
      </c>
      <c r="I125" s="12">
        <f t="shared" si="40"/>
        <v>20.008105263157894</v>
      </c>
      <c r="K125" s="46">
        <v>3.6551284256082655</v>
      </c>
      <c r="M125" s="137">
        <v>1.3566747052260002</v>
      </c>
      <c r="N125" s="137">
        <v>6.3692866181854019E-2</v>
      </c>
      <c r="O125" s="14">
        <f t="shared" ca="1" si="41"/>
        <v>0.57521378769048326</v>
      </c>
      <c r="Q125" s="12">
        <f t="shared" si="34"/>
        <v>36.833718246885901</v>
      </c>
      <c r="R125" s="12">
        <f t="shared" si="42"/>
        <v>11.463901259159702</v>
      </c>
      <c r="S125" s="12">
        <f t="shared" si="43"/>
        <v>27.535974267070383</v>
      </c>
      <c r="T125" s="12">
        <f t="shared" si="53"/>
        <v>14.812745663112306</v>
      </c>
      <c r="V125" s="15">
        <f t="shared" si="54"/>
        <v>4</v>
      </c>
      <c r="W125" s="15">
        <f t="shared" si="35"/>
        <v>26</v>
      </c>
      <c r="X125" s="32">
        <f t="shared" si="60"/>
        <v>30</v>
      </c>
      <c r="Y125" s="44">
        <v>4</v>
      </c>
      <c r="Z125" s="44">
        <v>4</v>
      </c>
      <c r="AA125" s="32">
        <f t="shared" si="63"/>
        <v>8</v>
      </c>
      <c r="AB125" s="32">
        <f t="shared" si="63"/>
        <v>22</v>
      </c>
      <c r="AD125">
        <f t="shared" si="55"/>
        <v>720</v>
      </c>
      <c r="AE125">
        <f t="shared" si="36"/>
        <v>416</v>
      </c>
      <c r="AF125">
        <f t="shared" si="37"/>
        <v>304</v>
      </c>
      <c r="AH125">
        <f t="shared" si="44"/>
        <v>720</v>
      </c>
      <c r="AI125">
        <f t="shared" si="45"/>
        <v>352</v>
      </c>
      <c r="AJ125">
        <f t="shared" si="46"/>
        <v>286</v>
      </c>
      <c r="AK125">
        <f t="shared" si="57"/>
        <v>308</v>
      </c>
      <c r="AL125">
        <f t="shared" si="47"/>
        <v>176</v>
      </c>
      <c r="AM125">
        <f t="shared" si="48"/>
        <v>192</v>
      </c>
      <c r="AO125" s="130">
        <f t="shared" si="49"/>
        <v>0.48888888888888887</v>
      </c>
      <c r="AP125" s="130">
        <f t="shared" si="50"/>
        <v>0.24444444444444444</v>
      </c>
      <c r="AQ125" s="130">
        <f t="shared" si="51"/>
        <v>0.26666666666666672</v>
      </c>
      <c r="AR125" s="66">
        <f t="shared" si="52"/>
        <v>0.51111111111111118</v>
      </c>
    </row>
    <row r="126" spans="1:44" x14ac:dyDescent="0.2">
      <c r="A126" s="10">
        <v>39995</v>
      </c>
      <c r="B126" s="17">
        <v>59.552500000000002</v>
      </c>
      <c r="C126" s="17">
        <v>19.127419354838718</v>
      </c>
      <c r="D126" s="45">
        <v>58.19</v>
      </c>
      <c r="E126" s="45">
        <v>43.642499999999998</v>
      </c>
      <c r="F126" s="45">
        <f t="shared" si="38"/>
        <v>22.977804878048786</v>
      </c>
      <c r="G126" s="12">
        <f t="shared" si="56"/>
        <v>43.428172043010754</v>
      </c>
      <c r="H126" s="12">
        <f t="shared" si="39"/>
        <v>43.428172043010754</v>
      </c>
      <c r="I126" s="12">
        <f t="shared" si="40"/>
        <v>43.459634146341472</v>
      </c>
      <c r="K126" s="46">
        <v>3.639392176527116</v>
      </c>
      <c r="M126" s="137">
        <v>1.3559117646300001</v>
      </c>
      <c r="N126" s="137">
        <v>6.3701629785064023E-2</v>
      </c>
      <c r="O126" s="14">
        <f t="shared" ca="1" si="41"/>
        <v>0.57225931735262758</v>
      </c>
      <c r="Q126" s="12">
        <f t="shared" si="34"/>
        <v>80.747935363128079</v>
      </c>
      <c r="R126" s="12">
        <f t="shared" si="42"/>
        <v>25.935092930237385</v>
      </c>
      <c r="S126" s="12">
        <f t="shared" si="43"/>
        <v>58.884769389493947</v>
      </c>
      <c r="T126" s="12">
        <f t="shared" si="53"/>
        <v>31.155875959518955</v>
      </c>
      <c r="V126" s="15">
        <f t="shared" si="54"/>
        <v>5</v>
      </c>
      <c r="W126" s="15">
        <f t="shared" si="35"/>
        <v>26</v>
      </c>
      <c r="X126" s="32">
        <f t="shared" si="60"/>
        <v>31</v>
      </c>
      <c r="Y126" s="44">
        <v>4</v>
      </c>
      <c r="Z126" s="44">
        <v>4</v>
      </c>
      <c r="AA126" s="32">
        <f t="shared" si="63"/>
        <v>10</v>
      </c>
      <c r="AB126" s="32">
        <f t="shared" si="63"/>
        <v>21</v>
      </c>
      <c r="AC126">
        <v>1</v>
      </c>
      <c r="AD126">
        <f t="shared" si="55"/>
        <v>744</v>
      </c>
      <c r="AE126">
        <f t="shared" si="36"/>
        <v>416</v>
      </c>
      <c r="AF126">
        <f t="shared" si="37"/>
        <v>328</v>
      </c>
      <c r="AH126">
        <f t="shared" si="44"/>
        <v>744</v>
      </c>
      <c r="AI126">
        <f t="shared" si="45"/>
        <v>336</v>
      </c>
      <c r="AJ126">
        <f t="shared" si="46"/>
        <v>273</v>
      </c>
      <c r="AK126">
        <f t="shared" si="57"/>
        <v>294</v>
      </c>
      <c r="AL126">
        <f t="shared" si="47"/>
        <v>168</v>
      </c>
      <c r="AM126">
        <f t="shared" si="48"/>
        <v>240</v>
      </c>
      <c r="AO126" s="130">
        <f t="shared" si="49"/>
        <v>0.45161290322580644</v>
      </c>
      <c r="AP126" s="130">
        <f t="shared" si="50"/>
        <v>0.22580645161290322</v>
      </c>
      <c r="AQ126" s="130">
        <f t="shared" si="51"/>
        <v>0.32258064516129037</v>
      </c>
      <c r="AR126" s="66">
        <f t="shared" si="52"/>
        <v>0.54838709677419362</v>
      </c>
    </row>
    <row r="127" spans="1:44" x14ac:dyDescent="0.2">
      <c r="A127" s="10">
        <v>40026</v>
      </c>
      <c r="B127" s="17">
        <v>72.552499999999995</v>
      </c>
      <c r="C127" s="17">
        <v>21.401612903225811</v>
      </c>
      <c r="D127" s="45">
        <v>71.19</v>
      </c>
      <c r="E127" s="45">
        <v>53.392499999999998</v>
      </c>
      <c r="F127" s="45">
        <f t="shared" si="38"/>
        <v>29.204268292682929</v>
      </c>
      <c r="G127" s="12">
        <f t="shared" si="56"/>
        <v>53.441989247311824</v>
      </c>
      <c r="H127" s="12">
        <f t="shared" si="39"/>
        <v>53.441989247311824</v>
      </c>
      <c r="I127" s="12">
        <f t="shared" si="40"/>
        <v>53.479278048780493</v>
      </c>
      <c r="K127" s="46">
        <v>3.6365161066413538</v>
      </c>
      <c r="M127" s="137">
        <v>1.3551290473380002</v>
      </c>
      <c r="N127" s="137">
        <v>6.3710685508407028E-2</v>
      </c>
      <c r="O127" s="14">
        <f t="shared" ca="1" si="41"/>
        <v>0.5692214964713912</v>
      </c>
      <c r="Q127" s="12">
        <f t="shared" si="34"/>
        <v>98.318000206990249</v>
      </c>
      <c r="R127" s="12">
        <f t="shared" si="42"/>
        <v>29.001947305045046</v>
      </c>
      <c r="S127" s="12">
        <f t="shared" si="43"/>
        <v>72.420791976557325</v>
      </c>
      <c r="T127" s="12">
        <f t="shared" si="53"/>
        <v>39.575552269666787</v>
      </c>
      <c r="V127" s="15">
        <f t="shared" si="54"/>
        <v>5</v>
      </c>
      <c r="W127" s="15">
        <f t="shared" si="35"/>
        <v>26</v>
      </c>
      <c r="X127" s="32">
        <f t="shared" si="60"/>
        <v>31</v>
      </c>
      <c r="Y127" s="44">
        <v>5</v>
      </c>
      <c r="Z127" s="44">
        <v>5</v>
      </c>
      <c r="AA127" s="32">
        <f t="shared" si="63"/>
        <v>8</v>
      </c>
      <c r="AB127" s="32">
        <f t="shared" si="63"/>
        <v>23</v>
      </c>
      <c r="AD127">
        <f t="shared" si="55"/>
        <v>744</v>
      </c>
      <c r="AE127">
        <f t="shared" si="36"/>
        <v>416</v>
      </c>
      <c r="AF127">
        <f t="shared" si="37"/>
        <v>328</v>
      </c>
      <c r="AH127">
        <f t="shared" si="44"/>
        <v>744</v>
      </c>
      <c r="AI127">
        <f t="shared" si="45"/>
        <v>368</v>
      </c>
      <c r="AJ127">
        <f t="shared" si="46"/>
        <v>299</v>
      </c>
      <c r="AK127">
        <f t="shared" si="57"/>
        <v>322</v>
      </c>
      <c r="AL127">
        <f t="shared" si="47"/>
        <v>184</v>
      </c>
      <c r="AM127">
        <f t="shared" si="48"/>
        <v>192</v>
      </c>
      <c r="AO127" s="130">
        <f t="shared" si="49"/>
        <v>0.4946236559139785</v>
      </c>
      <c r="AP127" s="130">
        <f t="shared" si="50"/>
        <v>0.24731182795698925</v>
      </c>
      <c r="AQ127" s="130">
        <f t="shared" si="51"/>
        <v>0.25806451612903225</v>
      </c>
      <c r="AR127" s="66">
        <f t="shared" si="52"/>
        <v>0.5053763440860215</v>
      </c>
    </row>
    <row r="128" spans="1:44" x14ac:dyDescent="0.2">
      <c r="A128" s="10">
        <v>40057</v>
      </c>
      <c r="B128" s="17">
        <v>64.900000000000006</v>
      </c>
      <c r="C128" s="17">
        <v>20.024999999999999</v>
      </c>
      <c r="D128" s="45">
        <v>64.150000000000006</v>
      </c>
      <c r="E128" s="45">
        <v>48.112499999999997</v>
      </c>
      <c r="F128" s="45">
        <f t="shared" si="38"/>
        <v>24.641250000000003</v>
      </c>
      <c r="G128" s="12">
        <f t="shared" si="56"/>
        <v>47.007222222222225</v>
      </c>
      <c r="H128" s="12">
        <f t="shared" si="39"/>
        <v>47.007222222222225</v>
      </c>
      <c r="I128" s="12">
        <f t="shared" si="40"/>
        <v>47.186150000000012</v>
      </c>
      <c r="K128" s="46">
        <v>3.6194463434109738</v>
      </c>
      <c r="M128" s="137">
        <v>1.3543520681000001</v>
      </c>
      <c r="N128" s="137">
        <v>6.371974123177801E-2</v>
      </c>
      <c r="O128" s="14">
        <f t="shared" ca="1" si="41"/>
        <v>0.56619898336139218</v>
      </c>
      <c r="Q128" s="12">
        <f t="shared" si="34"/>
        <v>87.897449219690017</v>
      </c>
      <c r="R128" s="12">
        <f t="shared" si="42"/>
        <v>27.120900163702501</v>
      </c>
      <c r="S128" s="12">
        <f t="shared" si="43"/>
        <v>63.664328632302954</v>
      </c>
      <c r="T128" s="12">
        <f t="shared" si="53"/>
        <v>33.372927898069129</v>
      </c>
      <c r="V128" s="15">
        <f t="shared" si="54"/>
        <v>5</v>
      </c>
      <c r="W128" s="15">
        <f t="shared" si="35"/>
        <v>25</v>
      </c>
      <c r="X128" s="32">
        <f t="shared" si="60"/>
        <v>30</v>
      </c>
      <c r="Y128" s="44">
        <v>4</v>
      </c>
      <c r="Z128" s="44">
        <v>4</v>
      </c>
      <c r="AA128" s="32">
        <f t="shared" si="63"/>
        <v>8</v>
      </c>
      <c r="AB128" s="32">
        <f t="shared" si="63"/>
        <v>22</v>
      </c>
      <c r="AC128">
        <v>1</v>
      </c>
      <c r="AD128">
        <f t="shared" si="55"/>
        <v>720</v>
      </c>
      <c r="AE128">
        <f t="shared" si="36"/>
        <v>400</v>
      </c>
      <c r="AF128">
        <f t="shared" si="37"/>
        <v>320</v>
      </c>
      <c r="AH128">
        <f t="shared" si="44"/>
        <v>720</v>
      </c>
      <c r="AI128">
        <f t="shared" si="45"/>
        <v>352</v>
      </c>
      <c r="AJ128">
        <f t="shared" si="46"/>
        <v>286</v>
      </c>
      <c r="AK128">
        <f t="shared" si="57"/>
        <v>308</v>
      </c>
      <c r="AL128">
        <f t="shared" si="47"/>
        <v>176</v>
      </c>
      <c r="AM128">
        <f t="shared" si="48"/>
        <v>192</v>
      </c>
      <c r="AO128" s="130">
        <f t="shared" si="49"/>
        <v>0.48888888888888887</v>
      </c>
      <c r="AP128" s="130">
        <f t="shared" si="50"/>
        <v>0.24444444444444444</v>
      </c>
      <c r="AQ128" s="130">
        <f t="shared" si="51"/>
        <v>0.26666666666666672</v>
      </c>
      <c r="AR128" s="66">
        <f t="shared" si="52"/>
        <v>0.51111111111111118</v>
      </c>
    </row>
    <row r="129" spans="1:44" x14ac:dyDescent="0.2">
      <c r="A129" s="10">
        <v>40087</v>
      </c>
      <c r="B129" s="17">
        <v>38.65</v>
      </c>
      <c r="C129" s="17">
        <v>26.748387096774195</v>
      </c>
      <c r="D129" s="45">
        <v>37.15</v>
      </c>
      <c r="E129" s="45">
        <v>27.862500000000001</v>
      </c>
      <c r="F129" s="45">
        <f t="shared" si="38"/>
        <v>26.976923076923075</v>
      </c>
      <c r="G129" s="12">
        <f t="shared" si="56"/>
        <v>33.754838709677415</v>
      </c>
      <c r="H129" s="12">
        <f t="shared" si="39"/>
        <v>33.754838709677415</v>
      </c>
      <c r="I129" s="12">
        <f t="shared" si="40"/>
        <v>33.513846153846153</v>
      </c>
      <c r="K129" s="46">
        <v>3.6347578012032233</v>
      </c>
      <c r="M129" s="137">
        <v>1.353605607305</v>
      </c>
      <c r="N129" s="137">
        <v>6.3728504835066022E-2</v>
      </c>
      <c r="O129" s="14">
        <f t="shared" ca="1" si="41"/>
        <v>0.56328847736703402</v>
      </c>
      <c r="Q129" s="12">
        <f t="shared" si="34"/>
        <v>52.316856722338251</v>
      </c>
      <c r="R129" s="12">
        <f t="shared" si="42"/>
        <v>36.20676676055826</v>
      </c>
      <c r="S129" s="12">
        <f t="shared" si="43"/>
        <v>45.69073895109522</v>
      </c>
      <c r="T129" s="12">
        <f t="shared" si="53"/>
        <v>36.516114344758726</v>
      </c>
      <c r="V129" s="15">
        <f t="shared" si="54"/>
        <v>4</v>
      </c>
      <c r="W129" s="15">
        <f t="shared" si="35"/>
        <v>27</v>
      </c>
      <c r="X129" s="32">
        <f t="shared" si="60"/>
        <v>31</v>
      </c>
      <c r="Y129" s="44">
        <v>5</v>
      </c>
      <c r="Z129" s="44">
        <v>4</v>
      </c>
      <c r="AA129" s="32">
        <f t="shared" si="63"/>
        <v>10</v>
      </c>
      <c r="AB129" s="32">
        <f t="shared" si="63"/>
        <v>21</v>
      </c>
      <c r="AD129">
        <f t="shared" si="55"/>
        <v>744</v>
      </c>
      <c r="AE129">
        <f t="shared" si="36"/>
        <v>432</v>
      </c>
      <c r="AF129">
        <f t="shared" si="37"/>
        <v>312</v>
      </c>
      <c r="AH129">
        <f t="shared" si="44"/>
        <v>744</v>
      </c>
      <c r="AI129">
        <f t="shared" si="45"/>
        <v>336</v>
      </c>
      <c r="AJ129">
        <f t="shared" si="46"/>
        <v>273</v>
      </c>
      <c r="AK129">
        <f t="shared" si="57"/>
        <v>294</v>
      </c>
      <c r="AL129">
        <f t="shared" si="47"/>
        <v>168</v>
      </c>
      <c r="AM129">
        <f t="shared" si="48"/>
        <v>240</v>
      </c>
      <c r="AO129" s="130">
        <f t="shared" si="49"/>
        <v>0.45161290322580644</v>
      </c>
      <c r="AP129" s="130">
        <f t="shared" si="50"/>
        <v>0.22580645161290322</v>
      </c>
      <c r="AQ129" s="130">
        <f t="shared" si="51"/>
        <v>0.32258064516129037</v>
      </c>
      <c r="AR129" s="66">
        <f t="shared" si="52"/>
        <v>0.54838709677419362</v>
      </c>
    </row>
    <row r="130" spans="1:44" x14ac:dyDescent="0.2">
      <c r="A130" s="10">
        <v>40118</v>
      </c>
      <c r="B130" s="17">
        <v>37.4</v>
      </c>
      <c r="C130" s="17">
        <v>27.262499999999999</v>
      </c>
      <c r="D130" s="45">
        <v>34.15</v>
      </c>
      <c r="E130" s="45">
        <v>25.612500000000001</v>
      </c>
      <c r="F130" s="45">
        <f t="shared" si="38"/>
        <v>25.571428571428569</v>
      </c>
      <c r="G130" s="12">
        <f t="shared" si="56"/>
        <v>31.88</v>
      </c>
      <c r="H130" s="12">
        <f t="shared" si="39"/>
        <v>31.88</v>
      </c>
      <c r="I130" s="12">
        <f t="shared" si="40"/>
        <v>32.195428571428572</v>
      </c>
      <c r="K130" s="46">
        <v>3.6925056140927208</v>
      </c>
      <c r="M130" s="137">
        <v>1.352839891893</v>
      </c>
      <c r="N130" s="137">
        <v>6.3737560558491002E-2</v>
      </c>
      <c r="O130" s="14">
        <f t="shared" ca="1" si="41"/>
        <v>0.5602958744410671</v>
      </c>
      <c r="Q130" s="12">
        <f t="shared" si="34"/>
        <v>50.5962119567982</v>
      </c>
      <c r="R130" s="12">
        <f t="shared" si="42"/>
        <v>36.881797552732912</v>
      </c>
      <c r="S130" s="12">
        <f t="shared" si="43"/>
        <v>43.128535753548839</v>
      </c>
      <c r="T130" s="12">
        <f t="shared" si="53"/>
        <v>34.594048664120997</v>
      </c>
      <c r="V130" s="15">
        <f t="shared" si="54"/>
        <v>6</v>
      </c>
      <c r="W130" s="15">
        <f t="shared" si="35"/>
        <v>24</v>
      </c>
      <c r="X130" s="32">
        <f t="shared" si="60"/>
        <v>30</v>
      </c>
      <c r="Y130" s="44">
        <v>4</v>
      </c>
      <c r="Z130" s="44">
        <v>5</v>
      </c>
      <c r="AA130" s="32">
        <f t="shared" si="63"/>
        <v>8</v>
      </c>
      <c r="AB130" s="32">
        <f t="shared" si="63"/>
        <v>22</v>
      </c>
      <c r="AC130">
        <v>1</v>
      </c>
      <c r="AD130">
        <f t="shared" si="55"/>
        <v>720</v>
      </c>
      <c r="AE130">
        <f t="shared" si="36"/>
        <v>384</v>
      </c>
      <c r="AF130">
        <f t="shared" si="37"/>
        <v>336</v>
      </c>
      <c r="AH130">
        <f t="shared" si="44"/>
        <v>720</v>
      </c>
      <c r="AI130">
        <f t="shared" si="45"/>
        <v>352</v>
      </c>
      <c r="AJ130">
        <f t="shared" si="46"/>
        <v>286</v>
      </c>
      <c r="AK130">
        <f t="shared" si="57"/>
        <v>308</v>
      </c>
      <c r="AL130">
        <f t="shared" si="47"/>
        <v>176</v>
      </c>
      <c r="AM130">
        <f t="shared" si="48"/>
        <v>192</v>
      </c>
      <c r="AO130" s="130">
        <f t="shared" si="49"/>
        <v>0.48888888888888887</v>
      </c>
      <c r="AP130" s="130">
        <f t="shared" si="50"/>
        <v>0.24444444444444444</v>
      </c>
      <c r="AQ130" s="130">
        <f t="shared" si="51"/>
        <v>0.26666666666666672</v>
      </c>
      <c r="AR130" s="66">
        <f t="shared" si="52"/>
        <v>0.51111111111111118</v>
      </c>
    </row>
    <row r="131" spans="1:44" x14ac:dyDescent="0.2">
      <c r="A131" s="10">
        <v>40148</v>
      </c>
      <c r="B131" s="17">
        <v>37.4</v>
      </c>
      <c r="C131" s="17">
        <v>26.538709677419362</v>
      </c>
      <c r="D131" s="45">
        <v>33.65</v>
      </c>
      <c r="E131" s="45">
        <v>25.237500000000001</v>
      </c>
      <c r="F131" s="45">
        <f t="shared" si="38"/>
        <v>24.99024390243903</v>
      </c>
      <c r="G131" s="12">
        <f t="shared" si="56"/>
        <v>31.929032258064517</v>
      </c>
      <c r="H131" s="12">
        <f t="shared" si="39"/>
        <v>31.929032258064517</v>
      </c>
      <c r="I131" s="12">
        <f t="shared" si="40"/>
        <v>31.939707317073175</v>
      </c>
      <c r="K131" s="46">
        <v>3.8108139120813638</v>
      </c>
      <c r="M131" s="137">
        <v>1.3521043142930003</v>
      </c>
      <c r="N131" s="137">
        <v>6.3746324161830029E-2</v>
      </c>
      <c r="O131" s="14">
        <f t="shared" ca="1" si="41"/>
        <v>0.55741417872507437</v>
      </c>
      <c r="Q131" s="12">
        <f t="shared" si="34"/>
        <v>50.568701354558208</v>
      </c>
      <c r="R131" s="12">
        <f t="shared" si="42"/>
        <v>35.883103850608116</v>
      </c>
      <c r="S131" s="12">
        <f t="shared" si="43"/>
        <v>43.171382267329406</v>
      </c>
      <c r="T131" s="12">
        <f t="shared" si="53"/>
        <v>33.789416595722152</v>
      </c>
      <c r="V131" s="15">
        <f t="shared" si="54"/>
        <v>5</v>
      </c>
      <c r="W131" s="15">
        <f t="shared" si="35"/>
        <v>26</v>
      </c>
      <c r="X131" s="32">
        <f t="shared" si="60"/>
        <v>31</v>
      </c>
      <c r="Y131" s="44">
        <v>4</v>
      </c>
      <c r="Z131" s="44">
        <v>4</v>
      </c>
      <c r="AA131" s="32">
        <f t="shared" si="63"/>
        <v>9</v>
      </c>
      <c r="AB131" s="32">
        <f t="shared" si="63"/>
        <v>22</v>
      </c>
      <c r="AC131">
        <v>1</v>
      </c>
      <c r="AD131">
        <f t="shared" si="55"/>
        <v>744</v>
      </c>
      <c r="AE131">
        <f t="shared" si="36"/>
        <v>416</v>
      </c>
      <c r="AF131">
        <f t="shared" si="37"/>
        <v>328</v>
      </c>
      <c r="AH131">
        <f t="shared" si="44"/>
        <v>744</v>
      </c>
      <c r="AI131">
        <f t="shared" si="45"/>
        <v>352</v>
      </c>
      <c r="AJ131">
        <f t="shared" si="46"/>
        <v>286</v>
      </c>
      <c r="AK131">
        <f t="shared" si="57"/>
        <v>308</v>
      </c>
      <c r="AL131">
        <f t="shared" si="47"/>
        <v>176</v>
      </c>
      <c r="AM131">
        <f t="shared" si="48"/>
        <v>216</v>
      </c>
      <c r="AO131" s="130">
        <f t="shared" si="49"/>
        <v>0.4731182795698925</v>
      </c>
      <c r="AP131" s="130">
        <f t="shared" si="50"/>
        <v>0.23655913978494625</v>
      </c>
      <c r="AQ131" s="130">
        <f t="shared" si="51"/>
        <v>0.29032258064516125</v>
      </c>
      <c r="AR131" s="66">
        <f t="shared" si="52"/>
        <v>0.5268817204301075</v>
      </c>
    </row>
    <row r="132" spans="1:44" x14ac:dyDescent="0.2">
      <c r="A132" s="10">
        <v>40179</v>
      </c>
      <c r="B132" s="17">
        <v>32.75</v>
      </c>
      <c r="C132" s="17">
        <v>26.83467741935484</v>
      </c>
      <c r="D132" s="45">
        <v>33.25</v>
      </c>
      <c r="E132" s="45">
        <v>24.9375</v>
      </c>
      <c r="F132" s="45">
        <f t="shared" si="38"/>
        <v>25.145348837209301</v>
      </c>
      <c r="G132" s="12">
        <f t="shared" si="56"/>
        <v>29.233870967741936</v>
      </c>
      <c r="H132" s="12">
        <f t="shared" si="39"/>
        <v>29.233870967741936</v>
      </c>
      <c r="I132" s="12">
        <f t="shared" si="40"/>
        <v>29.403953488372096</v>
      </c>
      <c r="K132" s="46">
        <v>4.0653048294405592</v>
      </c>
      <c r="M132" s="137">
        <v>1.351349827123</v>
      </c>
      <c r="N132" s="137">
        <v>6.3755379885308022E-2</v>
      </c>
      <c r="O132" s="14">
        <f t="shared" ca="1" si="41"/>
        <v>0.55445120746490562</v>
      </c>
      <c r="Q132" s="12">
        <f t="shared" si="34"/>
        <v>44.256706838278248</v>
      </c>
      <c r="R132" s="12">
        <f t="shared" si="42"/>
        <v>36.263036691546638</v>
      </c>
      <c r="S132" s="12">
        <f t="shared" si="43"/>
        <v>39.505186478394151</v>
      </c>
      <c r="T132" s="12">
        <f t="shared" si="53"/>
        <v>33.980162804110321</v>
      </c>
      <c r="V132" s="15">
        <f t="shared" si="54"/>
        <v>6</v>
      </c>
      <c r="W132" s="15">
        <f t="shared" si="35"/>
        <v>25</v>
      </c>
      <c r="X132" s="32">
        <f t="shared" si="60"/>
        <v>31</v>
      </c>
      <c r="Y132" s="43">
        <v>5</v>
      </c>
      <c r="Z132" s="43">
        <v>5</v>
      </c>
      <c r="AA132" s="32">
        <f t="shared" ref="AA132:AB147" si="64">AA120</f>
        <v>10</v>
      </c>
      <c r="AB132" s="32">
        <f t="shared" si="64"/>
        <v>21</v>
      </c>
      <c r="AC132">
        <v>1</v>
      </c>
      <c r="AD132">
        <f t="shared" si="55"/>
        <v>744</v>
      </c>
      <c r="AE132">
        <f t="shared" si="36"/>
        <v>400</v>
      </c>
      <c r="AF132">
        <f t="shared" si="37"/>
        <v>344</v>
      </c>
      <c r="AH132">
        <f t="shared" si="44"/>
        <v>744</v>
      </c>
      <c r="AI132">
        <f t="shared" si="45"/>
        <v>336</v>
      </c>
      <c r="AJ132">
        <f t="shared" si="46"/>
        <v>273</v>
      </c>
      <c r="AK132">
        <f t="shared" si="57"/>
        <v>294</v>
      </c>
      <c r="AL132">
        <f t="shared" si="47"/>
        <v>168</v>
      </c>
      <c r="AM132">
        <f t="shared" si="48"/>
        <v>240</v>
      </c>
      <c r="AO132" s="130">
        <f t="shared" si="49"/>
        <v>0.45161290322580644</v>
      </c>
      <c r="AP132" s="130">
        <f t="shared" si="50"/>
        <v>0.22580645161290322</v>
      </c>
      <c r="AQ132" s="130">
        <f t="shared" si="51"/>
        <v>0.32258064516129037</v>
      </c>
      <c r="AR132" s="66">
        <f t="shared" si="52"/>
        <v>0.54838709677419362</v>
      </c>
    </row>
    <row r="133" spans="1:44" x14ac:dyDescent="0.2">
      <c r="A133" s="10">
        <v>40210</v>
      </c>
      <c r="B133" s="17">
        <v>31.25</v>
      </c>
      <c r="C133" s="17">
        <v>25.803571428571427</v>
      </c>
      <c r="D133" s="45">
        <v>31.75</v>
      </c>
      <c r="E133" s="45">
        <v>23.8125</v>
      </c>
      <c r="F133" s="45">
        <f t="shared" si="38"/>
        <v>25.361111111111111</v>
      </c>
      <c r="G133" s="12">
        <f t="shared" si="56"/>
        <v>28.726190476190474</v>
      </c>
      <c r="H133" s="12">
        <f t="shared" si="39"/>
        <v>28.726190476190474</v>
      </c>
      <c r="I133" s="12">
        <f t="shared" si="40"/>
        <v>28.658888888888889</v>
      </c>
      <c r="K133" s="46">
        <v>3.9348016921120954</v>
      </c>
      <c r="M133" s="137">
        <v>1.3506010326500002</v>
      </c>
      <c r="N133" s="137">
        <v>6.3764435608814007E-2</v>
      </c>
      <c r="O133" s="14">
        <f t="shared" ca="1" si="41"/>
        <v>0.55150318895604289</v>
      </c>
      <c r="Q133" s="12">
        <f t="shared" si="34"/>
        <v>42.206282270312506</v>
      </c>
      <c r="R133" s="12">
        <f t="shared" si="42"/>
        <v>34.850330217486608</v>
      </c>
      <c r="S133" s="12">
        <f t="shared" si="43"/>
        <v>38.797622521243454</v>
      </c>
      <c r="T133" s="12">
        <f t="shared" si="53"/>
        <v>34.252742855818063</v>
      </c>
      <c r="V133" s="15">
        <f t="shared" si="54"/>
        <v>4</v>
      </c>
      <c r="W133" s="15">
        <f t="shared" si="35"/>
        <v>24</v>
      </c>
      <c r="X133" s="32">
        <f t="shared" si="60"/>
        <v>28</v>
      </c>
      <c r="Y133" s="44">
        <v>4</v>
      </c>
      <c r="Z133" s="44">
        <v>4</v>
      </c>
      <c r="AA133" s="32">
        <f t="shared" si="64"/>
        <v>8</v>
      </c>
      <c r="AB133" s="32">
        <f t="shared" si="64"/>
        <v>20</v>
      </c>
      <c r="AD133">
        <f t="shared" si="55"/>
        <v>672</v>
      </c>
      <c r="AE133">
        <f t="shared" si="36"/>
        <v>384</v>
      </c>
      <c r="AF133">
        <f t="shared" si="37"/>
        <v>288</v>
      </c>
      <c r="AH133">
        <f t="shared" si="44"/>
        <v>672</v>
      </c>
      <c r="AI133">
        <f t="shared" si="45"/>
        <v>320</v>
      </c>
      <c r="AJ133">
        <f t="shared" si="46"/>
        <v>260</v>
      </c>
      <c r="AK133">
        <f t="shared" si="57"/>
        <v>280</v>
      </c>
      <c r="AL133">
        <f t="shared" si="47"/>
        <v>160</v>
      </c>
      <c r="AM133">
        <f t="shared" si="48"/>
        <v>192</v>
      </c>
      <c r="AO133" s="130">
        <f t="shared" si="49"/>
        <v>0.47619047619047616</v>
      </c>
      <c r="AP133" s="130">
        <f t="shared" si="50"/>
        <v>0.23809523809523808</v>
      </c>
      <c r="AQ133" s="130">
        <f t="shared" si="51"/>
        <v>0.28571428571428581</v>
      </c>
      <c r="AR133" s="66">
        <f t="shared" si="52"/>
        <v>0.52380952380952395</v>
      </c>
    </row>
    <row r="134" spans="1:44" x14ac:dyDescent="0.2">
      <c r="A134" s="10">
        <v>40238</v>
      </c>
      <c r="B134" s="17">
        <v>29.5</v>
      </c>
      <c r="C134" s="17">
        <v>22.330645161290324</v>
      </c>
      <c r="D134" s="45">
        <v>30</v>
      </c>
      <c r="E134" s="45">
        <v>22.5</v>
      </c>
      <c r="F134" s="45">
        <f t="shared" si="38"/>
        <v>22.365384615384613</v>
      </c>
      <c r="G134" s="12">
        <f t="shared" si="56"/>
        <v>26.508064516129032</v>
      </c>
      <c r="H134" s="12">
        <f t="shared" si="39"/>
        <v>26.508064516129032</v>
      </c>
      <c r="I134" s="12">
        <f t="shared" si="40"/>
        <v>26.360769230769233</v>
      </c>
      <c r="K134" s="46">
        <v>3.7662303313890821</v>
      </c>
      <c r="M134" s="137">
        <v>1.349929587683</v>
      </c>
      <c r="N134" s="137">
        <v>6.3772614972003011E-2</v>
      </c>
      <c r="O134" s="14">
        <f t="shared" ca="1" si="41"/>
        <v>0.54885325571047838</v>
      </c>
      <c r="Q134" s="12">
        <f t="shared" si="34"/>
        <v>39.822922836648502</v>
      </c>
      <c r="R134" s="12">
        <f t="shared" si="42"/>
        <v>30.144798615276024</v>
      </c>
      <c r="S134" s="12">
        <f t="shared" si="43"/>
        <v>35.784020602532429</v>
      </c>
      <c r="T134" s="12">
        <f t="shared" si="53"/>
        <v>30.191694432217862</v>
      </c>
      <c r="V134" s="15">
        <f t="shared" si="54"/>
        <v>4</v>
      </c>
      <c r="W134" s="15">
        <f t="shared" si="35"/>
        <v>27</v>
      </c>
      <c r="X134" s="32">
        <f t="shared" si="60"/>
        <v>31</v>
      </c>
      <c r="Y134" s="44">
        <v>4</v>
      </c>
      <c r="Z134" s="44">
        <v>4</v>
      </c>
      <c r="AA134" s="32">
        <f t="shared" si="64"/>
        <v>8</v>
      </c>
      <c r="AB134" s="32">
        <f t="shared" si="64"/>
        <v>23</v>
      </c>
      <c r="AD134">
        <f t="shared" si="55"/>
        <v>744</v>
      </c>
      <c r="AE134">
        <f t="shared" si="36"/>
        <v>432</v>
      </c>
      <c r="AF134">
        <f t="shared" si="37"/>
        <v>312</v>
      </c>
      <c r="AH134">
        <f t="shared" si="44"/>
        <v>744</v>
      </c>
      <c r="AI134">
        <f t="shared" si="45"/>
        <v>368</v>
      </c>
      <c r="AJ134">
        <f t="shared" si="46"/>
        <v>299</v>
      </c>
      <c r="AK134">
        <f t="shared" si="57"/>
        <v>322</v>
      </c>
      <c r="AL134">
        <f t="shared" si="47"/>
        <v>184</v>
      </c>
      <c r="AM134">
        <f t="shared" si="48"/>
        <v>192</v>
      </c>
      <c r="AO134" s="130">
        <f t="shared" si="49"/>
        <v>0.4946236559139785</v>
      </c>
      <c r="AP134" s="130">
        <f t="shared" si="50"/>
        <v>0.24731182795698925</v>
      </c>
      <c r="AQ134" s="130">
        <f t="shared" si="51"/>
        <v>0.25806451612903225</v>
      </c>
      <c r="AR134" s="66">
        <f t="shared" si="52"/>
        <v>0.5053763440860215</v>
      </c>
    </row>
    <row r="135" spans="1:44" x14ac:dyDescent="0.2">
      <c r="A135" s="10">
        <v>40269</v>
      </c>
      <c r="B135" s="17">
        <v>27.25</v>
      </c>
      <c r="C135" s="17">
        <v>17.354200000000002</v>
      </c>
      <c r="D135" s="45">
        <v>27.75</v>
      </c>
      <c r="E135" s="45">
        <v>20.8125</v>
      </c>
      <c r="F135" s="45">
        <f t="shared" si="38"/>
        <v>18.08226315789474</v>
      </c>
      <c r="G135" s="12">
        <f t="shared" si="56"/>
        <v>23.37917777777778</v>
      </c>
      <c r="H135" s="12">
        <f t="shared" si="39"/>
        <v>23.37917777777778</v>
      </c>
      <c r="I135" s="12">
        <f t="shared" si="40"/>
        <v>23.216195789473687</v>
      </c>
      <c r="K135" s="46">
        <v>3.5976307175743014</v>
      </c>
      <c r="M135" s="137">
        <v>1.349191602953</v>
      </c>
      <c r="N135" s="137">
        <v>6.3781670695560011E-2</v>
      </c>
      <c r="O135" s="14">
        <f t="shared" ca="1" si="41"/>
        <v>0.54593349978423489</v>
      </c>
      <c r="Q135" s="12">
        <f t="shared" si="34"/>
        <v>36.765471180469248</v>
      </c>
      <c r="R135" s="12">
        <f t="shared" si="42"/>
        <v>23.414140915966957</v>
      </c>
      <c r="S135" s="12">
        <f t="shared" si="43"/>
        <v>31.542990341723161</v>
      </c>
      <c r="T135" s="12">
        <f t="shared" si="53"/>
        <v>24.39643761501798</v>
      </c>
      <c r="V135" s="15">
        <f t="shared" si="54"/>
        <v>4</v>
      </c>
      <c r="W135" s="15">
        <f t="shared" si="35"/>
        <v>26</v>
      </c>
      <c r="X135" s="32">
        <f t="shared" si="60"/>
        <v>30</v>
      </c>
      <c r="Y135" s="44">
        <v>4</v>
      </c>
      <c r="Z135" s="44">
        <v>4</v>
      </c>
      <c r="AA135" s="32">
        <f t="shared" si="64"/>
        <v>9</v>
      </c>
      <c r="AB135" s="32">
        <f t="shared" si="64"/>
        <v>21</v>
      </c>
      <c r="AD135">
        <f t="shared" si="55"/>
        <v>720</v>
      </c>
      <c r="AE135">
        <f t="shared" si="36"/>
        <v>416</v>
      </c>
      <c r="AF135">
        <f t="shared" si="37"/>
        <v>304</v>
      </c>
      <c r="AH135">
        <f t="shared" si="44"/>
        <v>720</v>
      </c>
      <c r="AI135">
        <f t="shared" si="45"/>
        <v>336</v>
      </c>
      <c r="AJ135">
        <f t="shared" si="46"/>
        <v>273</v>
      </c>
      <c r="AK135">
        <f t="shared" si="57"/>
        <v>294</v>
      </c>
      <c r="AL135">
        <f t="shared" si="47"/>
        <v>168</v>
      </c>
      <c r="AM135">
        <f t="shared" si="48"/>
        <v>216</v>
      </c>
      <c r="AO135" s="130">
        <f t="shared" si="49"/>
        <v>0.46666666666666667</v>
      </c>
      <c r="AP135" s="130">
        <f t="shared" si="50"/>
        <v>0.23333333333333334</v>
      </c>
      <c r="AQ135" s="130">
        <f t="shared" si="51"/>
        <v>0.30000000000000004</v>
      </c>
      <c r="AR135" s="66">
        <f t="shared" si="52"/>
        <v>0.53333333333333344</v>
      </c>
    </row>
    <row r="136" spans="1:44" x14ac:dyDescent="0.2">
      <c r="A136" s="10">
        <v>40299</v>
      </c>
      <c r="B136" s="17">
        <v>25.25</v>
      </c>
      <c r="C136" s="17">
        <v>7.7983870967741913</v>
      </c>
      <c r="D136" s="45">
        <v>25</v>
      </c>
      <c r="E136" s="45">
        <v>18.75</v>
      </c>
      <c r="F136" s="45">
        <f t="shared" si="38"/>
        <v>9.9825581395348841</v>
      </c>
      <c r="G136" s="12">
        <f t="shared" si="56"/>
        <v>18.190860215053764</v>
      </c>
      <c r="H136" s="12">
        <f t="shared" si="39"/>
        <v>18.190860215053764</v>
      </c>
      <c r="I136" s="12">
        <f t="shared" si="40"/>
        <v>18.532325581395348</v>
      </c>
      <c r="K136" s="46">
        <v>3.5718453554502974</v>
      </c>
      <c r="M136" s="137">
        <v>1.3484828198510002</v>
      </c>
      <c r="N136" s="137">
        <v>6.3790434299027018E-2</v>
      </c>
      <c r="O136" s="14">
        <f t="shared" ca="1" si="41"/>
        <v>0.54312197183750521</v>
      </c>
      <c r="Q136" s="12">
        <f t="shared" si="34"/>
        <v>34.049191201237754</v>
      </c>
      <c r="R136" s="12">
        <f t="shared" si="42"/>
        <v>10.515991022547716</v>
      </c>
      <c r="S136" s="12">
        <f t="shared" si="43"/>
        <v>24.53006247831107</v>
      </c>
      <c r="T136" s="12">
        <f t="shared" si="53"/>
        <v>13.461308149326554</v>
      </c>
      <c r="V136" s="15">
        <f t="shared" si="54"/>
        <v>6</v>
      </c>
      <c r="W136" s="15">
        <f t="shared" si="35"/>
        <v>25</v>
      </c>
      <c r="X136" s="32">
        <f t="shared" si="60"/>
        <v>31</v>
      </c>
      <c r="Y136" s="44">
        <v>5</v>
      </c>
      <c r="Z136" s="44">
        <v>5</v>
      </c>
      <c r="AA136" s="32">
        <f t="shared" si="64"/>
        <v>9</v>
      </c>
      <c r="AB136" s="32">
        <f t="shared" si="64"/>
        <v>22</v>
      </c>
      <c r="AC136">
        <v>1</v>
      </c>
      <c r="AD136">
        <f t="shared" si="55"/>
        <v>744</v>
      </c>
      <c r="AE136">
        <f t="shared" si="36"/>
        <v>400</v>
      </c>
      <c r="AF136">
        <f t="shared" si="37"/>
        <v>344</v>
      </c>
      <c r="AH136">
        <f t="shared" si="44"/>
        <v>744</v>
      </c>
      <c r="AI136">
        <f t="shared" si="45"/>
        <v>352</v>
      </c>
      <c r="AJ136">
        <f t="shared" si="46"/>
        <v>286</v>
      </c>
      <c r="AK136">
        <f t="shared" si="57"/>
        <v>308</v>
      </c>
      <c r="AL136">
        <f t="shared" si="47"/>
        <v>176</v>
      </c>
      <c r="AM136">
        <f t="shared" si="48"/>
        <v>216</v>
      </c>
      <c r="AO136" s="130">
        <f t="shared" si="49"/>
        <v>0.4731182795698925</v>
      </c>
      <c r="AP136" s="130">
        <f t="shared" si="50"/>
        <v>0.23655913978494625</v>
      </c>
      <c r="AQ136" s="130">
        <f t="shared" si="51"/>
        <v>0.29032258064516125</v>
      </c>
      <c r="AR136" s="66">
        <f t="shared" si="52"/>
        <v>0.5268817204301075</v>
      </c>
    </row>
    <row r="137" spans="1:44" x14ac:dyDescent="0.2">
      <c r="A137" s="10">
        <v>40330</v>
      </c>
      <c r="B137" s="17">
        <v>27.25</v>
      </c>
      <c r="C137" s="17">
        <v>8.5</v>
      </c>
      <c r="D137" s="45">
        <v>27</v>
      </c>
      <c r="E137" s="45">
        <v>20.25</v>
      </c>
      <c r="F137" s="45">
        <f t="shared" si="38"/>
        <v>10.97368421052631</v>
      </c>
      <c r="G137" s="12">
        <f t="shared" si="56"/>
        <v>20.377777777777776</v>
      </c>
      <c r="H137" s="12">
        <f t="shared" si="39"/>
        <v>20.377777777777776</v>
      </c>
      <c r="I137" s="12">
        <f t="shared" si="40"/>
        <v>20.088421052631578</v>
      </c>
      <c r="K137" s="46">
        <v>3.6781380255374549</v>
      </c>
      <c r="M137" s="137">
        <v>1.3477559776340002</v>
      </c>
      <c r="N137" s="137">
        <v>6.3799490022638003E-2</v>
      </c>
      <c r="O137" s="14">
        <f t="shared" ca="1" si="41"/>
        <v>0.54023116845167107</v>
      </c>
      <c r="Q137" s="12">
        <f t="shared" si="34"/>
        <v>36.726350390526505</v>
      </c>
      <c r="R137" s="12">
        <f t="shared" si="42"/>
        <v>11.455925809889003</v>
      </c>
      <c r="S137" s="12">
        <f t="shared" si="43"/>
        <v>27.464271810897291</v>
      </c>
      <c r="T137" s="12">
        <f t="shared" si="53"/>
        <v>14.789848491404678</v>
      </c>
      <c r="V137" s="15">
        <f t="shared" si="54"/>
        <v>4</v>
      </c>
      <c r="W137" s="15">
        <f t="shared" si="35"/>
        <v>26</v>
      </c>
      <c r="X137" s="32">
        <f t="shared" si="60"/>
        <v>30</v>
      </c>
      <c r="Y137" s="44">
        <v>4</v>
      </c>
      <c r="Z137" s="44">
        <v>4</v>
      </c>
      <c r="AA137" s="32">
        <f t="shared" si="64"/>
        <v>8</v>
      </c>
      <c r="AB137" s="32">
        <f t="shared" si="64"/>
        <v>22</v>
      </c>
      <c r="AD137">
        <f t="shared" si="55"/>
        <v>720</v>
      </c>
      <c r="AE137">
        <f t="shared" si="36"/>
        <v>416</v>
      </c>
      <c r="AF137">
        <f t="shared" si="37"/>
        <v>304</v>
      </c>
      <c r="AH137">
        <f t="shared" si="44"/>
        <v>720</v>
      </c>
      <c r="AI137">
        <f t="shared" si="45"/>
        <v>352</v>
      </c>
      <c r="AJ137">
        <f t="shared" si="46"/>
        <v>286</v>
      </c>
      <c r="AK137">
        <f t="shared" si="57"/>
        <v>308</v>
      </c>
      <c r="AL137">
        <f t="shared" si="47"/>
        <v>176</v>
      </c>
      <c r="AM137">
        <f t="shared" si="48"/>
        <v>192</v>
      </c>
      <c r="AO137" s="130">
        <f t="shared" si="49"/>
        <v>0.48888888888888887</v>
      </c>
      <c r="AP137" s="130">
        <f t="shared" si="50"/>
        <v>0.24444444444444444</v>
      </c>
      <c r="AQ137" s="130">
        <f t="shared" si="51"/>
        <v>0.26666666666666672</v>
      </c>
      <c r="AR137" s="66">
        <f t="shared" si="52"/>
        <v>0.51111111111111118</v>
      </c>
    </row>
    <row r="138" spans="1:44" x14ac:dyDescent="0.2">
      <c r="A138" s="10">
        <v>40360</v>
      </c>
      <c r="B138" s="17">
        <v>59.637500000000003</v>
      </c>
      <c r="C138" s="17">
        <v>19.177419354838719</v>
      </c>
      <c r="D138" s="45">
        <v>58.274999999999999</v>
      </c>
      <c r="E138" s="45">
        <v>43.706249999999997</v>
      </c>
      <c r="F138" s="45">
        <f t="shared" si="38"/>
        <v>23.028048780487808</v>
      </c>
      <c r="G138" s="12">
        <f t="shared" si="56"/>
        <v>43.497849462365593</v>
      </c>
      <c r="H138" s="12">
        <f t="shared" si="39"/>
        <v>43.497849462365593</v>
      </c>
      <c r="I138" s="12">
        <f t="shared" si="40"/>
        <v>43.529341463414639</v>
      </c>
      <c r="K138" s="46">
        <v>3.6626673173286282</v>
      </c>
      <c r="M138" s="137">
        <v>1.347034905566</v>
      </c>
      <c r="N138" s="137">
        <v>6.3815267529874029E-2</v>
      </c>
      <c r="O138" s="14">
        <f t="shared" ca="1" si="41"/>
        <v>0.5374119584237822</v>
      </c>
      <c r="Q138" s="12">
        <f t="shared" ref="Q138:Q191" si="65">M138*B138</f>
        <v>80.333794180692337</v>
      </c>
      <c r="R138" s="12">
        <f t="shared" si="42"/>
        <v>25.832653269644755</v>
      </c>
      <c r="S138" s="12">
        <f t="shared" si="43"/>
        <v>58.593121542861724</v>
      </c>
      <c r="T138" s="12">
        <f t="shared" si="53"/>
        <v>31.019585514393636</v>
      </c>
      <c r="V138" s="15">
        <f t="shared" si="54"/>
        <v>5</v>
      </c>
      <c r="W138" s="15">
        <f t="shared" ref="W138:W201" si="66">X138-V138</f>
        <v>26</v>
      </c>
      <c r="X138" s="32">
        <f t="shared" si="60"/>
        <v>31</v>
      </c>
      <c r="Y138" s="44">
        <v>5</v>
      </c>
      <c r="Z138" s="44">
        <v>4</v>
      </c>
      <c r="AA138" s="32">
        <f t="shared" si="64"/>
        <v>10</v>
      </c>
      <c r="AB138" s="32">
        <f t="shared" si="64"/>
        <v>21</v>
      </c>
      <c r="AC138">
        <v>1</v>
      </c>
      <c r="AD138">
        <f t="shared" si="55"/>
        <v>744</v>
      </c>
      <c r="AE138">
        <f t="shared" ref="AE138:AE201" si="67">W138*16</f>
        <v>416</v>
      </c>
      <c r="AF138">
        <f t="shared" ref="AF138:AF201" si="68">V138*24+W138*8</f>
        <v>328</v>
      </c>
      <c r="AH138">
        <f t="shared" si="44"/>
        <v>744</v>
      </c>
      <c r="AI138">
        <f t="shared" si="45"/>
        <v>336</v>
      </c>
      <c r="AJ138">
        <f t="shared" si="46"/>
        <v>273</v>
      </c>
      <c r="AK138">
        <f t="shared" si="57"/>
        <v>294</v>
      </c>
      <c r="AL138">
        <f t="shared" si="47"/>
        <v>168</v>
      </c>
      <c r="AM138">
        <f t="shared" si="48"/>
        <v>240</v>
      </c>
      <c r="AO138" s="130">
        <f t="shared" si="49"/>
        <v>0.45161290322580644</v>
      </c>
      <c r="AP138" s="130">
        <f t="shared" si="50"/>
        <v>0.22580645161290322</v>
      </c>
      <c r="AQ138" s="130">
        <f t="shared" si="51"/>
        <v>0.32258064516129037</v>
      </c>
      <c r="AR138" s="66">
        <f t="shared" si="52"/>
        <v>0.54838709677419362</v>
      </c>
    </row>
    <row r="139" spans="1:44" x14ac:dyDescent="0.2">
      <c r="A139" s="10">
        <v>40391</v>
      </c>
      <c r="B139" s="17">
        <v>72.637500000000003</v>
      </c>
      <c r="C139" s="17">
        <v>21.451612903225811</v>
      </c>
      <c r="D139" s="45">
        <v>71.275000000000006</v>
      </c>
      <c r="E139" s="45">
        <v>50.572499999999998</v>
      </c>
      <c r="F139" s="45">
        <f t="shared" si="38"/>
        <v>28.554268292682927</v>
      </c>
      <c r="G139" s="12">
        <f t="shared" si="56"/>
        <v>53.202956989247312</v>
      </c>
      <c r="H139" s="12">
        <f t="shared" si="39"/>
        <v>53.202956989247312</v>
      </c>
      <c r="I139" s="12">
        <f t="shared" si="40"/>
        <v>53.240878048780495</v>
      </c>
      <c r="K139" s="46">
        <v>3.6599443890780474</v>
      </c>
      <c r="M139" s="137">
        <v>1.346276612644</v>
      </c>
      <c r="N139" s="137">
        <v>6.3837113313356009E-2</v>
      </c>
      <c r="O139" s="14">
        <f t="shared" ca="1" si="41"/>
        <v>0.53448467235115404</v>
      </c>
      <c r="Q139" s="12">
        <f t="shared" si="65"/>
        <v>97.79016745092855</v>
      </c>
      <c r="R139" s="12">
        <f t="shared" si="42"/>
        <v>28.87980475510517</v>
      </c>
      <c r="S139" s="12">
        <f t="shared" si="43"/>
        <v>71.625896718128303</v>
      </c>
      <c r="T139" s="12">
        <f t="shared" si="53"/>
        <v>38.441943593601145</v>
      </c>
      <c r="V139" s="15">
        <f t="shared" si="54"/>
        <v>5</v>
      </c>
      <c r="W139" s="15">
        <f t="shared" si="66"/>
        <v>26</v>
      </c>
      <c r="X139" s="32">
        <f t="shared" si="60"/>
        <v>31</v>
      </c>
      <c r="Y139" s="44">
        <v>4</v>
      </c>
      <c r="Z139" s="44">
        <v>5</v>
      </c>
      <c r="AA139" s="32">
        <f t="shared" si="64"/>
        <v>8</v>
      </c>
      <c r="AB139" s="32">
        <f t="shared" si="64"/>
        <v>23</v>
      </c>
      <c r="AD139">
        <f t="shared" si="55"/>
        <v>744</v>
      </c>
      <c r="AE139">
        <f t="shared" si="67"/>
        <v>416</v>
      </c>
      <c r="AF139">
        <f t="shared" si="68"/>
        <v>328</v>
      </c>
      <c r="AH139">
        <f t="shared" si="44"/>
        <v>744</v>
      </c>
      <c r="AI139">
        <f t="shared" si="45"/>
        <v>368</v>
      </c>
      <c r="AJ139">
        <f t="shared" si="46"/>
        <v>299</v>
      </c>
      <c r="AK139">
        <f t="shared" si="57"/>
        <v>322</v>
      </c>
      <c r="AL139">
        <f t="shared" si="47"/>
        <v>184</v>
      </c>
      <c r="AM139">
        <f t="shared" si="48"/>
        <v>192</v>
      </c>
      <c r="AO139" s="130">
        <f t="shared" si="49"/>
        <v>0.4946236559139785</v>
      </c>
      <c r="AP139" s="130">
        <f t="shared" si="50"/>
        <v>0.24731182795698925</v>
      </c>
      <c r="AQ139" s="130">
        <f t="shared" si="51"/>
        <v>0.25806451612903225</v>
      </c>
      <c r="AR139" s="66">
        <f t="shared" si="52"/>
        <v>0.5053763440860215</v>
      </c>
    </row>
    <row r="140" spans="1:44" x14ac:dyDescent="0.2">
      <c r="A140" s="10">
        <v>40422</v>
      </c>
      <c r="B140" s="17">
        <v>65</v>
      </c>
      <c r="C140" s="17">
        <v>20.074999999999999</v>
      </c>
      <c r="D140" s="45">
        <v>64.25</v>
      </c>
      <c r="E140" s="45">
        <v>47.338124999999998</v>
      </c>
      <c r="F140" s="45">
        <f t="shared" si="38"/>
        <v>24.523875</v>
      </c>
      <c r="G140" s="12">
        <f t="shared" si="56"/>
        <v>47.01061111111111</v>
      </c>
      <c r="H140" s="12">
        <f t="shared" si="39"/>
        <v>47.01061111111111</v>
      </c>
      <c r="I140" s="12">
        <f t="shared" si="40"/>
        <v>47.190505000000002</v>
      </c>
      <c r="K140" s="46">
        <v>3.6418770809197358</v>
      </c>
      <c r="M140" s="137">
        <v>1.3455232853650001</v>
      </c>
      <c r="N140" s="137">
        <v>6.3858959097000012E-2</v>
      </c>
      <c r="O140" s="14">
        <f t="shared" ca="1" si="41"/>
        <v>0.53157147930330162</v>
      </c>
      <c r="Q140" s="12">
        <f t="shared" si="65"/>
        <v>87.459013548725011</v>
      </c>
      <c r="R140" s="12">
        <f t="shared" si="42"/>
        <v>27.011379953702377</v>
      </c>
      <c r="S140" s="12">
        <f t="shared" si="43"/>
        <v>63.253871909238597</v>
      </c>
      <c r="T140" s="12">
        <f t="shared" si="53"/>
        <v>32.997444859880595</v>
      </c>
      <c r="V140" s="15">
        <f t="shared" si="54"/>
        <v>5</v>
      </c>
      <c r="W140" s="15">
        <f t="shared" si="66"/>
        <v>25</v>
      </c>
      <c r="X140" s="32">
        <f t="shared" si="60"/>
        <v>30</v>
      </c>
      <c r="Y140" s="44">
        <v>4</v>
      </c>
      <c r="Z140" s="44">
        <v>4</v>
      </c>
      <c r="AA140" s="32">
        <f t="shared" si="64"/>
        <v>8</v>
      </c>
      <c r="AB140" s="32">
        <f t="shared" si="64"/>
        <v>22</v>
      </c>
      <c r="AC140">
        <v>1</v>
      </c>
      <c r="AD140">
        <f t="shared" si="55"/>
        <v>720</v>
      </c>
      <c r="AE140">
        <f t="shared" si="67"/>
        <v>400</v>
      </c>
      <c r="AF140">
        <f t="shared" si="68"/>
        <v>320</v>
      </c>
      <c r="AH140">
        <f t="shared" si="44"/>
        <v>720</v>
      </c>
      <c r="AI140">
        <f t="shared" si="45"/>
        <v>352</v>
      </c>
      <c r="AJ140">
        <f t="shared" si="46"/>
        <v>286</v>
      </c>
      <c r="AK140">
        <f t="shared" si="57"/>
        <v>308</v>
      </c>
      <c r="AL140">
        <f t="shared" si="47"/>
        <v>176</v>
      </c>
      <c r="AM140">
        <f t="shared" si="48"/>
        <v>192</v>
      </c>
      <c r="AO140" s="130">
        <f t="shared" si="49"/>
        <v>0.48888888888888887</v>
      </c>
      <c r="AP140" s="130">
        <f t="shared" si="50"/>
        <v>0.24444444444444444</v>
      </c>
      <c r="AQ140" s="130">
        <f t="shared" si="51"/>
        <v>0.26666666666666672</v>
      </c>
      <c r="AR140" s="66">
        <f t="shared" si="52"/>
        <v>0.51111111111111118</v>
      </c>
    </row>
    <row r="141" spans="1:44" x14ac:dyDescent="0.2">
      <c r="A141" s="10">
        <v>40452</v>
      </c>
      <c r="B141" s="17">
        <v>38.75</v>
      </c>
      <c r="C141" s="17">
        <v>26.798387096774196</v>
      </c>
      <c r="D141" s="45">
        <v>37.25</v>
      </c>
      <c r="E141" s="45">
        <v>30.838125000000002</v>
      </c>
      <c r="F141" s="45">
        <f t="shared" si="38"/>
        <v>27.783689024390242</v>
      </c>
      <c r="G141" s="12">
        <f t="shared" si="56"/>
        <v>33.915389784946235</v>
      </c>
      <c r="H141" s="12">
        <f t="shared" si="39"/>
        <v>33.915389784946235</v>
      </c>
      <c r="I141" s="12">
        <f t="shared" si="40"/>
        <v>33.924823170731706</v>
      </c>
      <c r="K141" s="46">
        <v>3.6558983423721578</v>
      </c>
      <c r="M141" s="137">
        <v>1.3447989794460002</v>
      </c>
      <c r="N141" s="137">
        <v>6.388010017809001E-2</v>
      </c>
      <c r="O141" s="14">
        <f t="shared" ca="1" si="41"/>
        <v>0.52876562542998307</v>
      </c>
      <c r="Q141" s="12">
        <f t="shared" si="65"/>
        <v>52.110960453532506</v>
      </c>
      <c r="R141" s="12">
        <f t="shared" si="42"/>
        <v>36.038443618540796</v>
      </c>
      <c r="S141" s="12">
        <f t="shared" si="43"/>
        <v>45.609381570308997</v>
      </c>
      <c r="T141" s="12">
        <f t="shared" si="53"/>
        <v>37.363476645245036</v>
      </c>
      <c r="V141" s="15">
        <f t="shared" si="54"/>
        <v>5</v>
      </c>
      <c r="W141" s="15">
        <f t="shared" si="66"/>
        <v>26</v>
      </c>
      <c r="X141" s="32">
        <f t="shared" si="60"/>
        <v>31</v>
      </c>
      <c r="Y141" s="44">
        <v>5</v>
      </c>
      <c r="Z141" s="44">
        <v>5</v>
      </c>
      <c r="AA141" s="32">
        <f t="shared" si="64"/>
        <v>10</v>
      </c>
      <c r="AB141" s="32">
        <f t="shared" si="64"/>
        <v>21</v>
      </c>
      <c r="AD141">
        <f t="shared" si="55"/>
        <v>744</v>
      </c>
      <c r="AE141">
        <f t="shared" si="67"/>
        <v>416</v>
      </c>
      <c r="AF141">
        <f t="shared" si="68"/>
        <v>328</v>
      </c>
      <c r="AH141">
        <f t="shared" si="44"/>
        <v>744</v>
      </c>
      <c r="AI141">
        <f t="shared" si="45"/>
        <v>336</v>
      </c>
      <c r="AJ141">
        <f t="shared" si="46"/>
        <v>273</v>
      </c>
      <c r="AK141">
        <f t="shared" si="57"/>
        <v>294</v>
      </c>
      <c r="AL141">
        <f t="shared" si="47"/>
        <v>168</v>
      </c>
      <c r="AM141">
        <f t="shared" si="48"/>
        <v>240</v>
      </c>
      <c r="AO141" s="130">
        <f t="shared" si="49"/>
        <v>0.45161290322580644</v>
      </c>
      <c r="AP141" s="130">
        <f t="shared" si="50"/>
        <v>0.22580645161290322</v>
      </c>
      <c r="AQ141" s="130">
        <f t="shared" si="51"/>
        <v>0.32258064516129037</v>
      </c>
      <c r="AR141" s="66">
        <f t="shared" si="52"/>
        <v>0.54838709677419362</v>
      </c>
    </row>
    <row r="142" spans="1:44" x14ac:dyDescent="0.2">
      <c r="A142" s="10">
        <v>40483</v>
      </c>
      <c r="B142" s="17">
        <v>37.5</v>
      </c>
      <c r="C142" s="17">
        <v>27.3125</v>
      </c>
      <c r="D142" s="45">
        <v>34.25</v>
      </c>
      <c r="E142" s="45">
        <v>29.900625000000002</v>
      </c>
      <c r="F142" s="45">
        <f t="shared" si="38"/>
        <v>26.464499999999987</v>
      </c>
      <c r="G142" s="12">
        <f t="shared" si="56"/>
        <v>32.595333333333329</v>
      </c>
      <c r="H142" s="12">
        <f t="shared" si="39"/>
        <v>32.595333333333329</v>
      </c>
      <c r="I142" s="12">
        <f t="shared" si="40"/>
        <v>32.644379999999998</v>
      </c>
      <c r="K142" s="46">
        <v>3.7579871837508096</v>
      </c>
      <c r="M142" s="137">
        <v>1.3440554001530001</v>
      </c>
      <c r="N142" s="137">
        <v>6.3901945962043016E-2</v>
      </c>
      <c r="O142" s="14">
        <f t="shared" ca="1" si="41"/>
        <v>0.52587999895569892</v>
      </c>
      <c r="Q142" s="12">
        <f t="shared" si="65"/>
        <v>50.402077505737502</v>
      </c>
      <c r="R142" s="12">
        <f t="shared" si="42"/>
        <v>36.709513116678814</v>
      </c>
      <c r="S142" s="12">
        <f t="shared" si="43"/>
        <v>43.809933786453747</v>
      </c>
      <c r="T142" s="12">
        <f t="shared" si="53"/>
        <v>35.569754137349051</v>
      </c>
      <c r="V142" s="15">
        <f t="shared" si="54"/>
        <v>5</v>
      </c>
      <c r="W142" s="15">
        <f t="shared" si="66"/>
        <v>25</v>
      </c>
      <c r="X142" s="32">
        <f t="shared" si="60"/>
        <v>30</v>
      </c>
      <c r="Y142" s="44">
        <v>4</v>
      </c>
      <c r="Z142" s="44">
        <v>4</v>
      </c>
      <c r="AA142" s="32">
        <f t="shared" si="64"/>
        <v>8</v>
      </c>
      <c r="AB142" s="32">
        <f t="shared" si="64"/>
        <v>22</v>
      </c>
      <c r="AC142">
        <v>1</v>
      </c>
      <c r="AD142">
        <f t="shared" si="55"/>
        <v>720</v>
      </c>
      <c r="AE142">
        <f t="shared" si="67"/>
        <v>400</v>
      </c>
      <c r="AF142">
        <f t="shared" si="68"/>
        <v>320</v>
      </c>
      <c r="AH142">
        <f t="shared" si="44"/>
        <v>720</v>
      </c>
      <c r="AI142">
        <f t="shared" si="45"/>
        <v>352</v>
      </c>
      <c r="AJ142">
        <f t="shared" si="46"/>
        <v>286</v>
      </c>
      <c r="AK142">
        <f t="shared" si="57"/>
        <v>308</v>
      </c>
      <c r="AL142">
        <f t="shared" si="47"/>
        <v>176</v>
      </c>
      <c r="AM142">
        <f t="shared" si="48"/>
        <v>192</v>
      </c>
      <c r="AO142" s="130">
        <f t="shared" si="49"/>
        <v>0.48888888888888887</v>
      </c>
      <c r="AP142" s="130">
        <f t="shared" si="50"/>
        <v>0.24444444444444444</v>
      </c>
      <c r="AQ142" s="130">
        <f t="shared" si="51"/>
        <v>0.26666666666666672</v>
      </c>
      <c r="AR142" s="66">
        <f t="shared" si="52"/>
        <v>0.51111111111111118</v>
      </c>
    </row>
    <row r="143" spans="1:44" x14ac:dyDescent="0.2">
      <c r="A143" s="10">
        <v>40513</v>
      </c>
      <c r="B143" s="17">
        <v>37.5</v>
      </c>
      <c r="C143" s="17">
        <v>26.588709677419363</v>
      </c>
      <c r="D143" s="45">
        <v>33.75</v>
      </c>
      <c r="E143" s="45">
        <v>30.088125000000002</v>
      </c>
      <c r="F143" s="45">
        <f t="shared" ref="F143:F206" si="69">((G143*AD143)-(B143*AE143))*(1/AF143)</f>
        <v>25.97451219512196</v>
      </c>
      <c r="G143" s="12">
        <f t="shared" si="56"/>
        <v>32.418870967741938</v>
      </c>
      <c r="H143" s="12">
        <f t="shared" ref="H143:H206" si="70">(F143*AF143+B143*AE143)/AD143</f>
        <v>32.418870967741938</v>
      </c>
      <c r="I143" s="12">
        <f t="shared" ref="I143:I206" si="71">B143*$C$5+F143*$C$6</f>
        <v>32.428785365853663</v>
      </c>
      <c r="K143" s="46">
        <v>3.8715168434919476</v>
      </c>
      <c r="M143" s="137">
        <v>1.3433405130509999</v>
      </c>
      <c r="N143" s="137">
        <v>6.3923087043438007E-2</v>
      </c>
      <c r="O143" s="14">
        <f t="shared" ref="O143:O191" ca="1" si="72">1/((1+N143)^((A143-$B$2)/365))</f>
        <v>0.5231007169736156</v>
      </c>
      <c r="Q143" s="12">
        <f t="shared" si="65"/>
        <v>50.375269239412496</v>
      </c>
      <c r="R143" s="12">
        <f t="shared" ref="R143:R191" si="73">C143*M143</f>
        <v>35.717690899428611</v>
      </c>
      <c r="S143" s="12">
        <f t="shared" ref="S143:S191" si="74">M143*G143</f>
        <v>43.54958275834062</v>
      </c>
      <c r="T143" s="12">
        <f t="shared" si="53"/>
        <v>34.89261453844459</v>
      </c>
      <c r="V143" s="15">
        <f t="shared" si="54"/>
        <v>5</v>
      </c>
      <c r="W143" s="15">
        <f t="shared" si="66"/>
        <v>26</v>
      </c>
      <c r="X143" s="32">
        <f t="shared" si="60"/>
        <v>31</v>
      </c>
      <c r="Y143" s="44">
        <v>4</v>
      </c>
      <c r="Z143" s="44">
        <v>4</v>
      </c>
      <c r="AA143" s="32">
        <f t="shared" si="64"/>
        <v>9</v>
      </c>
      <c r="AB143" s="32">
        <f t="shared" si="64"/>
        <v>22</v>
      </c>
      <c r="AC143">
        <v>1</v>
      </c>
      <c r="AD143">
        <f t="shared" si="55"/>
        <v>744</v>
      </c>
      <c r="AE143">
        <f t="shared" si="67"/>
        <v>416</v>
      </c>
      <c r="AF143">
        <f t="shared" si="68"/>
        <v>328</v>
      </c>
      <c r="AH143">
        <f t="shared" ref="AH143:AH203" si="75">X143*24</f>
        <v>744</v>
      </c>
      <c r="AI143">
        <f t="shared" ref="AI143:AI203" si="76">AB143*16</f>
        <v>352</v>
      </c>
      <c r="AJ143">
        <f t="shared" ref="AJ143:AJ203" si="77">AB143*13</f>
        <v>286</v>
      </c>
      <c r="AK143">
        <f t="shared" si="57"/>
        <v>308</v>
      </c>
      <c r="AL143">
        <f t="shared" ref="AL143:AL203" si="78">AB143*8</f>
        <v>176</v>
      </c>
      <c r="AM143">
        <f t="shared" ref="AM143:AM203" si="79">AA143*24</f>
        <v>216</v>
      </c>
      <c r="AO143" s="130">
        <f t="shared" ref="AO143:AO203" si="80">AI143/AH143</f>
        <v>0.4731182795698925</v>
      </c>
      <c r="AP143" s="130">
        <f t="shared" ref="AP143:AP203" si="81">AL143/AH143</f>
        <v>0.23655913978494625</v>
      </c>
      <c r="AQ143" s="130">
        <f t="shared" ref="AQ143:AQ203" si="82">1-(AO143+AP143)</f>
        <v>0.29032258064516125</v>
      </c>
      <c r="AR143" s="66">
        <f t="shared" ref="AR143:AR203" si="83">AQ143+AP143</f>
        <v>0.5268817204301075</v>
      </c>
    </row>
    <row r="144" spans="1:44" x14ac:dyDescent="0.2">
      <c r="A144" s="10">
        <v>40544</v>
      </c>
      <c r="B144" s="17">
        <v>33.35</v>
      </c>
      <c r="C144" s="17">
        <v>27.884677419354841</v>
      </c>
      <c r="D144" s="45">
        <v>35.9</v>
      </c>
      <c r="E144" s="45">
        <v>26.925000000000001</v>
      </c>
      <c r="F144" s="45">
        <f t="shared" si="69"/>
        <v>26.364534883720935</v>
      </c>
      <c r="G144" s="12">
        <f t="shared" si="56"/>
        <v>30.120161290322581</v>
      </c>
      <c r="H144" s="12">
        <f t="shared" si="70"/>
        <v>30.120161290322581</v>
      </c>
      <c r="I144" s="12">
        <f t="shared" si="71"/>
        <v>30.276395348837212</v>
      </c>
      <c r="K144" s="46">
        <v>4.1277058820791037</v>
      </c>
      <c r="M144" s="137">
        <v>1.3426066514320001</v>
      </c>
      <c r="N144" s="137">
        <v>6.3944932827701029E-2</v>
      </c>
      <c r="O144" s="14">
        <f t="shared" ca="1" si="72"/>
        <v>0.52024243947560367</v>
      </c>
      <c r="Q144" s="12">
        <f t="shared" si="65"/>
        <v>44.775931825257203</v>
      </c>
      <c r="R144" s="12">
        <f t="shared" si="73"/>
        <v>37.438153376261511</v>
      </c>
      <c r="S144" s="12">
        <f t="shared" si="74"/>
        <v>40.439528890591752</v>
      </c>
      <c r="T144" s="12">
        <f t="shared" ref="T144:T191" si="84">F144*M144</f>
        <v>35.397199896794724</v>
      </c>
      <c r="V144" s="15">
        <f t="shared" ref="V144:V203" si="85">Z144+AC144</f>
        <v>6</v>
      </c>
      <c r="W144" s="15">
        <f t="shared" si="66"/>
        <v>25</v>
      </c>
      <c r="X144" s="32">
        <f t="shared" si="60"/>
        <v>31</v>
      </c>
      <c r="Y144" s="43">
        <v>5</v>
      </c>
      <c r="Z144" s="43">
        <v>5</v>
      </c>
      <c r="AA144" s="32">
        <f t="shared" si="64"/>
        <v>10</v>
      </c>
      <c r="AB144" s="32">
        <f t="shared" si="64"/>
        <v>21</v>
      </c>
      <c r="AC144">
        <v>1</v>
      </c>
      <c r="AD144">
        <f t="shared" ref="AD144:AD203" si="86">X144*24</f>
        <v>744</v>
      </c>
      <c r="AE144">
        <f t="shared" si="67"/>
        <v>400</v>
      </c>
      <c r="AF144">
        <f t="shared" si="68"/>
        <v>344</v>
      </c>
      <c r="AH144">
        <f t="shared" si="75"/>
        <v>744</v>
      </c>
      <c r="AI144">
        <f t="shared" si="76"/>
        <v>336</v>
      </c>
      <c r="AJ144">
        <f t="shared" si="77"/>
        <v>273</v>
      </c>
      <c r="AK144">
        <f t="shared" si="57"/>
        <v>294</v>
      </c>
      <c r="AL144">
        <f t="shared" si="78"/>
        <v>168</v>
      </c>
      <c r="AM144">
        <f t="shared" si="79"/>
        <v>240</v>
      </c>
      <c r="AO144" s="130">
        <f t="shared" si="80"/>
        <v>0.45161290322580644</v>
      </c>
      <c r="AP144" s="130">
        <f t="shared" si="81"/>
        <v>0.22580645161290322</v>
      </c>
      <c r="AQ144" s="130">
        <f t="shared" si="82"/>
        <v>0.32258064516129037</v>
      </c>
      <c r="AR144" s="66">
        <f t="shared" si="83"/>
        <v>0.54838709677419362</v>
      </c>
    </row>
    <row r="145" spans="1:44" x14ac:dyDescent="0.2">
      <c r="A145" s="10">
        <v>40575</v>
      </c>
      <c r="B145" s="17">
        <v>31.85</v>
      </c>
      <c r="C145" s="17">
        <v>26.853571428571428</v>
      </c>
      <c r="D145" s="45">
        <v>34.9</v>
      </c>
      <c r="E145" s="45">
        <v>26.175000000000001</v>
      </c>
      <c r="F145" s="45">
        <f t="shared" si="69"/>
        <v>26.702777777777783</v>
      </c>
      <c r="G145" s="12">
        <f t="shared" si="56"/>
        <v>29.644047619047623</v>
      </c>
      <c r="H145" s="12">
        <f t="shared" si="70"/>
        <v>29.644047619047623</v>
      </c>
      <c r="I145" s="12">
        <f t="shared" si="71"/>
        <v>29.585222222222225</v>
      </c>
      <c r="K145" s="46">
        <v>4.0035727329059121</v>
      </c>
      <c r="M145" s="137">
        <v>1.3418777168210003</v>
      </c>
      <c r="N145" s="137">
        <v>6.3966778612123007E-2</v>
      </c>
      <c r="O145" s="14">
        <f t="shared" ca="1" si="72"/>
        <v>0.51739797764008244</v>
      </c>
      <c r="Q145" s="12">
        <f t="shared" si="65"/>
        <v>42.738805280748863</v>
      </c>
      <c r="R145" s="12">
        <f t="shared" si="73"/>
        <v>36.034209117061074</v>
      </c>
      <c r="S145" s="12">
        <f t="shared" si="74"/>
        <v>39.778686936380637</v>
      </c>
      <c r="T145" s="12">
        <f t="shared" si="84"/>
        <v>35.831862477222998</v>
      </c>
      <c r="V145" s="15">
        <f t="shared" si="85"/>
        <v>4</v>
      </c>
      <c r="W145" s="15">
        <f t="shared" si="66"/>
        <v>24</v>
      </c>
      <c r="X145" s="32">
        <f t="shared" si="60"/>
        <v>28</v>
      </c>
      <c r="Y145" s="44">
        <v>4</v>
      </c>
      <c r="Z145" s="44">
        <v>4</v>
      </c>
      <c r="AA145" s="32">
        <f t="shared" si="64"/>
        <v>8</v>
      </c>
      <c r="AB145" s="32">
        <f t="shared" si="64"/>
        <v>20</v>
      </c>
      <c r="AD145">
        <f t="shared" si="86"/>
        <v>672</v>
      </c>
      <c r="AE145">
        <f t="shared" si="67"/>
        <v>384</v>
      </c>
      <c r="AF145">
        <f t="shared" si="68"/>
        <v>288</v>
      </c>
      <c r="AH145">
        <f t="shared" si="75"/>
        <v>672</v>
      </c>
      <c r="AI145">
        <f t="shared" si="76"/>
        <v>320</v>
      </c>
      <c r="AJ145">
        <f t="shared" si="77"/>
        <v>260</v>
      </c>
      <c r="AK145">
        <f t="shared" si="57"/>
        <v>280</v>
      </c>
      <c r="AL145">
        <f t="shared" si="78"/>
        <v>160</v>
      </c>
      <c r="AM145">
        <f t="shared" si="79"/>
        <v>192</v>
      </c>
      <c r="AO145" s="130">
        <f t="shared" si="80"/>
        <v>0.47619047619047616</v>
      </c>
      <c r="AP145" s="130">
        <f t="shared" si="81"/>
        <v>0.23809523809523808</v>
      </c>
      <c r="AQ145" s="130">
        <f t="shared" si="82"/>
        <v>0.28571428571428581</v>
      </c>
      <c r="AR145" s="66">
        <f t="shared" si="83"/>
        <v>0.52380952380952395</v>
      </c>
    </row>
    <row r="146" spans="1:44" x14ac:dyDescent="0.2">
      <c r="A146" s="10">
        <v>40603</v>
      </c>
      <c r="B146" s="17">
        <v>30.1</v>
      </c>
      <c r="C146" s="17">
        <v>23.380645161290325</v>
      </c>
      <c r="D146" s="45">
        <v>32.8675</v>
      </c>
      <c r="E146" s="45">
        <v>24.650625000000002</v>
      </c>
      <c r="F146" s="45">
        <f t="shared" si="69"/>
        <v>23.641153846153848</v>
      </c>
      <c r="G146" s="12">
        <f t="shared" ref="G146:G209" si="87">((Z146*16*E146)+(B146*W146*16)+(X146*8*C146))/(X146*24)</f>
        <v>27.391451612903229</v>
      </c>
      <c r="H146" s="12">
        <f t="shared" si="70"/>
        <v>27.391451612903229</v>
      </c>
      <c r="I146" s="12">
        <f t="shared" si="71"/>
        <v>27.258107692307693</v>
      </c>
      <c r="K146" s="46">
        <v>3.8404004502340721</v>
      </c>
      <c r="M146" s="137">
        <v>1.3412235527570002</v>
      </c>
      <c r="N146" s="137">
        <v>6.3986510288512016E-2</v>
      </c>
      <c r="O146" s="14">
        <f t="shared" ca="1" si="72"/>
        <v>0.51484061480990151</v>
      </c>
      <c r="Q146" s="12">
        <f t="shared" si="65"/>
        <v>40.370828937985706</v>
      </c>
      <c r="R146" s="12">
        <f t="shared" si="73"/>
        <v>31.358671968976576</v>
      </c>
      <c r="S146" s="12">
        <f t="shared" si="74"/>
        <v>36.738060047429535</v>
      </c>
      <c r="T146" s="12">
        <f t="shared" si="84"/>
        <v>31.708072352813286</v>
      </c>
      <c r="V146" s="15">
        <f t="shared" si="85"/>
        <v>4</v>
      </c>
      <c r="W146" s="15">
        <f t="shared" si="66"/>
        <v>27</v>
      </c>
      <c r="X146" s="32">
        <f t="shared" si="60"/>
        <v>31</v>
      </c>
      <c r="Y146" s="44">
        <v>4</v>
      </c>
      <c r="Z146" s="44">
        <v>4</v>
      </c>
      <c r="AA146" s="32">
        <f t="shared" si="64"/>
        <v>8</v>
      </c>
      <c r="AB146" s="32">
        <f t="shared" si="64"/>
        <v>23</v>
      </c>
      <c r="AD146">
        <f t="shared" si="86"/>
        <v>744</v>
      </c>
      <c r="AE146">
        <f t="shared" si="67"/>
        <v>432</v>
      </c>
      <c r="AF146">
        <f t="shared" si="68"/>
        <v>312</v>
      </c>
      <c r="AH146">
        <f t="shared" si="75"/>
        <v>744</v>
      </c>
      <c r="AI146">
        <f t="shared" si="76"/>
        <v>368</v>
      </c>
      <c r="AJ146">
        <f t="shared" si="77"/>
        <v>299</v>
      </c>
      <c r="AK146">
        <f t="shared" ref="AK146:AK203" si="88">AB146*14</f>
        <v>322</v>
      </c>
      <c r="AL146">
        <f t="shared" si="78"/>
        <v>184</v>
      </c>
      <c r="AM146">
        <f t="shared" si="79"/>
        <v>192</v>
      </c>
      <c r="AO146" s="130">
        <f t="shared" si="80"/>
        <v>0.4946236559139785</v>
      </c>
      <c r="AP146" s="130">
        <f t="shared" si="81"/>
        <v>0.24731182795698925</v>
      </c>
      <c r="AQ146" s="130">
        <f t="shared" si="82"/>
        <v>0.25806451612903225</v>
      </c>
      <c r="AR146" s="66">
        <f t="shared" si="83"/>
        <v>0.5053763440860215</v>
      </c>
    </row>
    <row r="147" spans="1:44" x14ac:dyDescent="0.2">
      <c r="A147" s="10">
        <v>40634</v>
      </c>
      <c r="B147" s="17">
        <v>27.85</v>
      </c>
      <c r="C147" s="17">
        <v>18.404166666666669</v>
      </c>
      <c r="D147" s="45">
        <v>30.414999999999999</v>
      </c>
      <c r="E147" s="45">
        <v>22.811250000000001</v>
      </c>
      <c r="F147" s="45">
        <f t="shared" si="69"/>
        <v>19.331973684210524</v>
      </c>
      <c r="G147" s="12">
        <f t="shared" si="87"/>
        <v>24.253499999999999</v>
      </c>
      <c r="H147" s="12">
        <f t="shared" si="70"/>
        <v>24.253499999999999</v>
      </c>
      <c r="I147" s="12">
        <f t="shared" si="71"/>
        <v>24.102068421052632</v>
      </c>
      <c r="K147" s="46">
        <v>3.677190971434988</v>
      </c>
      <c r="M147" s="137">
        <v>1.340503974215</v>
      </c>
      <c r="N147" s="137">
        <v>6.4008356073235004E-2</v>
      </c>
      <c r="O147" s="14">
        <f t="shared" ca="1" si="72"/>
        <v>0.51202229349078099</v>
      </c>
      <c r="Q147" s="12">
        <f t="shared" si="65"/>
        <v>37.33303568188775</v>
      </c>
      <c r="R147" s="12">
        <f t="shared" si="73"/>
        <v>24.670858558781898</v>
      </c>
      <c r="S147" s="12">
        <f t="shared" si="74"/>
        <v>32.511913138623498</v>
      </c>
      <c r="T147" s="12">
        <f t="shared" si="84"/>
        <v>25.914587553104003</v>
      </c>
      <c r="V147" s="15">
        <f t="shared" si="85"/>
        <v>4</v>
      </c>
      <c r="W147" s="15">
        <f t="shared" si="66"/>
        <v>26</v>
      </c>
      <c r="X147" s="32">
        <f t="shared" si="60"/>
        <v>30</v>
      </c>
      <c r="Y147" s="44">
        <v>5</v>
      </c>
      <c r="Z147" s="44">
        <v>4</v>
      </c>
      <c r="AA147" s="32">
        <f t="shared" si="64"/>
        <v>9</v>
      </c>
      <c r="AB147" s="32">
        <f t="shared" si="64"/>
        <v>21</v>
      </c>
      <c r="AD147">
        <f t="shared" si="86"/>
        <v>720</v>
      </c>
      <c r="AE147">
        <f t="shared" si="67"/>
        <v>416</v>
      </c>
      <c r="AF147">
        <f t="shared" si="68"/>
        <v>304</v>
      </c>
      <c r="AH147">
        <f t="shared" si="75"/>
        <v>720</v>
      </c>
      <c r="AI147">
        <f t="shared" si="76"/>
        <v>336</v>
      </c>
      <c r="AJ147">
        <f t="shared" si="77"/>
        <v>273</v>
      </c>
      <c r="AK147">
        <f t="shared" si="88"/>
        <v>294</v>
      </c>
      <c r="AL147">
        <f t="shared" si="78"/>
        <v>168</v>
      </c>
      <c r="AM147">
        <f t="shared" si="79"/>
        <v>216</v>
      </c>
      <c r="AO147" s="130">
        <f t="shared" si="80"/>
        <v>0.46666666666666667</v>
      </c>
      <c r="AP147" s="130">
        <f t="shared" si="81"/>
        <v>0.23333333333333334</v>
      </c>
      <c r="AQ147" s="130">
        <f t="shared" si="82"/>
        <v>0.30000000000000004</v>
      </c>
      <c r="AR147" s="66">
        <f t="shared" si="83"/>
        <v>0.53333333333333344</v>
      </c>
    </row>
    <row r="148" spans="1:44" x14ac:dyDescent="0.2">
      <c r="A148" s="10">
        <v>40664</v>
      </c>
      <c r="B148" s="17">
        <v>25.1</v>
      </c>
      <c r="C148" s="17">
        <v>9.8403225806451644</v>
      </c>
      <c r="D148" s="45">
        <v>28.515000000000001</v>
      </c>
      <c r="E148" s="45">
        <v>21.38625</v>
      </c>
      <c r="F148" s="45">
        <f t="shared" si="69"/>
        <v>12.067732558139532</v>
      </c>
      <c r="G148" s="12">
        <f t="shared" si="87"/>
        <v>19.074327956989247</v>
      </c>
      <c r="H148" s="12">
        <f t="shared" si="70"/>
        <v>19.074327956989247</v>
      </c>
      <c r="I148" s="12">
        <f t="shared" si="71"/>
        <v>19.365802325581395</v>
      </c>
      <c r="K148" s="46">
        <v>3.6529953354362248</v>
      </c>
      <c r="M148" s="137">
        <v>1.3379102408329999</v>
      </c>
      <c r="N148" s="137">
        <v>6.3826942957819016E-2</v>
      </c>
      <c r="O148" s="14">
        <f t="shared" ca="1" si="72"/>
        <v>0.51036309399000201</v>
      </c>
      <c r="Q148" s="12">
        <f t="shared" si="65"/>
        <v>33.581547044908298</v>
      </c>
      <c r="R148" s="12">
        <f t="shared" si="73"/>
        <v>13.165468353745378</v>
      </c>
      <c r="S148" s="12">
        <f t="shared" si="74"/>
        <v>25.519738710663106</v>
      </c>
      <c r="T148" s="12">
        <f t="shared" si="84"/>
        <v>16.145542973168695</v>
      </c>
      <c r="V148" s="15">
        <f t="shared" si="85"/>
        <v>6</v>
      </c>
      <c r="W148" s="15">
        <f t="shared" si="66"/>
        <v>25</v>
      </c>
      <c r="X148" s="32">
        <f t="shared" ref="X148:X203" si="89">X136</f>
        <v>31</v>
      </c>
      <c r="Y148" s="44">
        <v>4</v>
      </c>
      <c r="Z148" s="44">
        <v>5</v>
      </c>
      <c r="AA148" s="32">
        <f t="shared" ref="AA148:AB163" si="90">AA136</f>
        <v>9</v>
      </c>
      <c r="AB148" s="32">
        <f t="shared" si="90"/>
        <v>22</v>
      </c>
      <c r="AC148">
        <v>1</v>
      </c>
      <c r="AD148">
        <f t="shared" si="86"/>
        <v>744</v>
      </c>
      <c r="AE148">
        <f t="shared" si="67"/>
        <v>400</v>
      </c>
      <c r="AF148">
        <f t="shared" si="68"/>
        <v>344</v>
      </c>
      <c r="AH148">
        <f t="shared" si="75"/>
        <v>744</v>
      </c>
      <c r="AI148">
        <f t="shared" si="76"/>
        <v>352</v>
      </c>
      <c r="AJ148">
        <f t="shared" si="77"/>
        <v>286</v>
      </c>
      <c r="AK148">
        <f t="shared" si="88"/>
        <v>308</v>
      </c>
      <c r="AL148">
        <f t="shared" si="78"/>
        <v>176</v>
      </c>
      <c r="AM148">
        <f t="shared" si="79"/>
        <v>216</v>
      </c>
      <c r="AO148" s="130">
        <f t="shared" si="80"/>
        <v>0.4731182795698925</v>
      </c>
      <c r="AP148" s="130">
        <f t="shared" si="81"/>
        <v>0.23655913978494625</v>
      </c>
      <c r="AQ148" s="130">
        <f t="shared" si="82"/>
        <v>0.29032258064516125</v>
      </c>
      <c r="AR148" s="66">
        <f t="shared" si="83"/>
        <v>0.5268817204301075</v>
      </c>
    </row>
    <row r="149" spans="1:44" x14ac:dyDescent="0.2">
      <c r="A149" s="10">
        <v>40695</v>
      </c>
      <c r="B149" s="17">
        <v>27.1</v>
      </c>
      <c r="C149" s="17">
        <v>10.5</v>
      </c>
      <c r="D149" s="45">
        <v>29.414999999999999</v>
      </c>
      <c r="E149" s="45">
        <v>22.061250000000001</v>
      </c>
      <c r="F149" s="45">
        <f t="shared" si="69"/>
        <v>12.933947368421052</v>
      </c>
      <c r="G149" s="12">
        <f t="shared" si="87"/>
        <v>21.11877777777778</v>
      </c>
      <c r="H149" s="12">
        <f t="shared" si="70"/>
        <v>21.11877777777778</v>
      </c>
      <c r="I149" s="12">
        <f t="shared" si="71"/>
        <v>20.866936842105265</v>
      </c>
      <c r="K149" s="46">
        <v>3.75971712474316</v>
      </c>
      <c r="M149" s="137">
        <v>1.3372329077290002</v>
      </c>
      <c r="N149" s="137">
        <v>6.3851469419000009E-2</v>
      </c>
      <c r="O149" s="14">
        <f t="shared" ca="1" si="72"/>
        <v>0.50755997763016758</v>
      </c>
      <c r="Q149" s="12">
        <f t="shared" si="65"/>
        <v>36.239011799455909</v>
      </c>
      <c r="R149" s="12">
        <f t="shared" si="73"/>
        <v>14.040945531154502</v>
      </c>
      <c r="S149" s="12">
        <f t="shared" si="74"/>
        <v>28.240724615460373</v>
      </c>
      <c r="T149" s="12">
        <f t="shared" si="84"/>
        <v>17.295700047887532</v>
      </c>
      <c r="V149" s="15">
        <f t="shared" si="85"/>
        <v>4</v>
      </c>
      <c r="W149" s="15">
        <f t="shared" si="66"/>
        <v>26</v>
      </c>
      <c r="X149" s="32">
        <f t="shared" si="89"/>
        <v>30</v>
      </c>
      <c r="Y149" s="44">
        <v>4</v>
      </c>
      <c r="Z149" s="44">
        <v>4</v>
      </c>
      <c r="AA149" s="32">
        <f t="shared" si="90"/>
        <v>8</v>
      </c>
      <c r="AB149" s="32">
        <f t="shared" si="90"/>
        <v>22</v>
      </c>
      <c r="AD149">
        <f t="shared" si="86"/>
        <v>720</v>
      </c>
      <c r="AE149">
        <f t="shared" si="67"/>
        <v>416</v>
      </c>
      <c r="AF149">
        <f t="shared" si="68"/>
        <v>304</v>
      </c>
      <c r="AH149">
        <f t="shared" si="75"/>
        <v>720</v>
      </c>
      <c r="AI149">
        <f t="shared" si="76"/>
        <v>352</v>
      </c>
      <c r="AJ149">
        <f t="shared" si="77"/>
        <v>286</v>
      </c>
      <c r="AK149">
        <f t="shared" si="88"/>
        <v>308</v>
      </c>
      <c r="AL149">
        <f t="shared" si="78"/>
        <v>176</v>
      </c>
      <c r="AM149">
        <f t="shared" si="79"/>
        <v>192</v>
      </c>
      <c r="AO149" s="130">
        <f t="shared" si="80"/>
        <v>0.48888888888888887</v>
      </c>
      <c r="AP149" s="130">
        <f t="shared" si="81"/>
        <v>0.24444444444444444</v>
      </c>
      <c r="AQ149" s="130">
        <f t="shared" si="82"/>
        <v>0.26666666666666672</v>
      </c>
      <c r="AR149" s="66">
        <f t="shared" si="83"/>
        <v>0.51111111111111118</v>
      </c>
    </row>
    <row r="150" spans="1:44" x14ac:dyDescent="0.2">
      <c r="A150" s="10">
        <v>40725</v>
      </c>
      <c r="B150" s="17">
        <v>58.36</v>
      </c>
      <c r="C150" s="17">
        <v>21.558064516129043</v>
      </c>
      <c r="D150" s="45">
        <v>48.54</v>
      </c>
      <c r="E150" s="45">
        <v>36.78</v>
      </c>
      <c r="F150" s="45">
        <f t="shared" si="69"/>
        <v>24.095348837209311</v>
      </c>
      <c r="G150" s="12">
        <f t="shared" si="87"/>
        <v>42.517204301075274</v>
      </c>
      <c r="H150" s="12">
        <f t="shared" si="70"/>
        <v>42.517204301075274</v>
      </c>
      <c r="I150" s="12">
        <f t="shared" si="71"/>
        <v>43.2835534883721</v>
      </c>
      <c r="K150" s="46">
        <v>3.7444068296115716</v>
      </c>
      <c r="M150" s="137">
        <v>1.3365383130480002</v>
      </c>
      <c r="N150" s="137">
        <v>6.3876813429084009E-2</v>
      </c>
      <c r="O150" s="14">
        <f t="shared" ca="1" si="72"/>
        <v>0.50485163767771213</v>
      </c>
      <c r="Q150" s="12">
        <f t="shared" si="65"/>
        <v>78.000375949481295</v>
      </c>
      <c r="R150" s="12">
        <f t="shared" si="73"/>
        <v>28.813179180967065</v>
      </c>
      <c r="S150" s="12">
        <f t="shared" si="74"/>
        <v>56.825872512076323</v>
      </c>
      <c r="T150" s="12">
        <f t="shared" si="84"/>
        <v>32.204356887186826</v>
      </c>
      <c r="V150" s="15">
        <f t="shared" si="85"/>
        <v>6</v>
      </c>
      <c r="W150" s="15">
        <f t="shared" si="66"/>
        <v>25</v>
      </c>
      <c r="X150" s="32">
        <f t="shared" si="89"/>
        <v>31</v>
      </c>
      <c r="Y150" s="44">
        <v>5</v>
      </c>
      <c r="Z150" s="44">
        <v>5</v>
      </c>
      <c r="AA150" s="32">
        <f t="shared" si="90"/>
        <v>10</v>
      </c>
      <c r="AB150" s="32">
        <f t="shared" si="90"/>
        <v>21</v>
      </c>
      <c r="AC150">
        <v>1</v>
      </c>
      <c r="AD150">
        <f t="shared" si="86"/>
        <v>744</v>
      </c>
      <c r="AE150">
        <f t="shared" si="67"/>
        <v>400</v>
      </c>
      <c r="AF150">
        <f t="shared" si="68"/>
        <v>344</v>
      </c>
      <c r="AH150">
        <f t="shared" si="75"/>
        <v>744</v>
      </c>
      <c r="AI150">
        <f t="shared" si="76"/>
        <v>336</v>
      </c>
      <c r="AJ150">
        <f t="shared" si="77"/>
        <v>273</v>
      </c>
      <c r="AK150">
        <f t="shared" si="88"/>
        <v>294</v>
      </c>
      <c r="AL150">
        <f t="shared" si="78"/>
        <v>168</v>
      </c>
      <c r="AM150">
        <f t="shared" si="79"/>
        <v>240</v>
      </c>
      <c r="AO150" s="130">
        <f t="shared" si="80"/>
        <v>0.45161290322580644</v>
      </c>
      <c r="AP150" s="130">
        <f t="shared" si="81"/>
        <v>0.22580645161290322</v>
      </c>
      <c r="AQ150" s="130">
        <f t="shared" si="82"/>
        <v>0.32258064516129037</v>
      </c>
      <c r="AR150" s="66">
        <f t="shared" si="83"/>
        <v>0.54838709677419362</v>
      </c>
    </row>
    <row r="151" spans="1:44" x14ac:dyDescent="0.2">
      <c r="A151" s="10">
        <v>40756</v>
      </c>
      <c r="B151" s="17">
        <v>71.36</v>
      </c>
      <c r="C151" s="17">
        <v>23.638709677419357</v>
      </c>
      <c r="D151" s="45">
        <v>67.290000000000006</v>
      </c>
      <c r="E151" s="45">
        <v>50.655000000000001</v>
      </c>
      <c r="F151" s="45">
        <f t="shared" si="69"/>
        <v>29.180512820512831</v>
      </c>
      <c r="G151" s="12">
        <f t="shared" si="87"/>
        <v>53.671827956989254</v>
      </c>
      <c r="H151" s="12">
        <f t="shared" si="70"/>
        <v>53.671827956989254</v>
      </c>
      <c r="I151" s="12">
        <f t="shared" si="71"/>
        <v>52.801025641025646</v>
      </c>
      <c r="K151" s="46">
        <v>3.741735962550147</v>
      </c>
      <c r="M151" s="137">
        <v>1.3358491136570001</v>
      </c>
      <c r="N151" s="137">
        <v>6.3902157439387999E-2</v>
      </c>
      <c r="O151" s="14">
        <f t="shared" ca="1" si="72"/>
        <v>0.50207057349052664</v>
      </c>
      <c r="Q151" s="12">
        <f t="shared" si="65"/>
        <v>95.326192750563521</v>
      </c>
      <c r="R151" s="12">
        <f t="shared" si="73"/>
        <v>31.577749370575798</v>
      </c>
      <c r="S151" s="12">
        <f t="shared" si="74"/>
        <v>71.69746380469509</v>
      </c>
      <c r="T151" s="12">
        <f t="shared" si="84"/>
        <v>38.98076218733879</v>
      </c>
      <c r="V151" s="15">
        <f t="shared" si="85"/>
        <v>4</v>
      </c>
      <c r="W151" s="15">
        <f t="shared" si="66"/>
        <v>27</v>
      </c>
      <c r="X151" s="32">
        <f t="shared" si="89"/>
        <v>31</v>
      </c>
      <c r="Y151" s="44">
        <v>4</v>
      </c>
      <c r="Z151" s="44">
        <v>4</v>
      </c>
      <c r="AA151" s="32">
        <f t="shared" si="90"/>
        <v>8</v>
      </c>
      <c r="AB151" s="32">
        <f t="shared" si="90"/>
        <v>23</v>
      </c>
      <c r="AD151">
        <f t="shared" si="86"/>
        <v>744</v>
      </c>
      <c r="AE151">
        <f t="shared" si="67"/>
        <v>432</v>
      </c>
      <c r="AF151">
        <f t="shared" si="68"/>
        <v>312</v>
      </c>
      <c r="AH151">
        <f t="shared" si="75"/>
        <v>744</v>
      </c>
      <c r="AI151">
        <f t="shared" si="76"/>
        <v>368</v>
      </c>
      <c r="AJ151">
        <f t="shared" si="77"/>
        <v>299</v>
      </c>
      <c r="AK151">
        <f t="shared" si="88"/>
        <v>322</v>
      </c>
      <c r="AL151">
        <f t="shared" si="78"/>
        <v>184</v>
      </c>
      <c r="AM151">
        <f t="shared" si="79"/>
        <v>192</v>
      </c>
      <c r="AO151" s="130">
        <f t="shared" si="80"/>
        <v>0.4946236559139785</v>
      </c>
      <c r="AP151" s="130">
        <f t="shared" si="81"/>
        <v>0.24731182795698925</v>
      </c>
      <c r="AQ151" s="130">
        <f t="shared" si="82"/>
        <v>0.25806451612903225</v>
      </c>
      <c r="AR151" s="66">
        <f t="shared" si="83"/>
        <v>0.5053763440860215</v>
      </c>
    </row>
    <row r="152" spans="1:44" x14ac:dyDescent="0.2">
      <c r="A152" s="10">
        <v>40787</v>
      </c>
      <c r="B152" s="17">
        <v>64.349999999999994</v>
      </c>
      <c r="C152" s="17">
        <v>22.324999999999999</v>
      </c>
      <c r="D152" s="45">
        <v>62.914999999999999</v>
      </c>
      <c r="E152" s="45">
        <v>47.373750000000001</v>
      </c>
      <c r="F152" s="45">
        <f t="shared" si="69"/>
        <v>26.218500000000006</v>
      </c>
      <c r="G152" s="12">
        <f t="shared" si="87"/>
        <v>47.402666666666661</v>
      </c>
      <c r="H152" s="12">
        <f t="shared" si="70"/>
        <v>47.402666666666661</v>
      </c>
      <c r="I152" s="12">
        <f t="shared" si="71"/>
        <v>47.572140000000005</v>
      </c>
      <c r="K152" s="46">
        <v>3.722582515642884</v>
      </c>
      <c r="M152" s="137">
        <v>1.3351872759310002</v>
      </c>
      <c r="N152" s="137">
        <v>6.3926683901175022E-2</v>
      </c>
      <c r="O152" s="14">
        <f t="shared" ca="1" si="72"/>
        <v>0.49930711239063069</v>
      </c>
      <c r="Q152" s="12">
        <f t="shared" si="65"/>
        <v>85.919301206159858</v>
      </c>
      <c r="R152" s="12">
        <f t="shared" si="73"/>
        <v>29.80805593515958</v>
      </c>
      <c r="S152" s="12">
        <f t="shared" si="74"/>
        <v>63.291437378531882</v>
      </c>
      <c r="T152" s="12">
        <f t="shared" si="84"/>
        <v>35.006607593996939</v>
      </c>
      <c r="V152" s="15">
        <f t="shared" si="85"/>
        <v>5</v>
      </c>
      <c r="W152" s="15">
        <f t="shared" si="66"/>
        <v>25</v>
      </c>
      <c r="X152" s="32">
        <f t="shared" si="89"/>
        <v>30</v>
      </c>
      <c r="Y152" s="44">
        <v>4</v>
      </c>
      <c r="Z152" s="44">
        <v>4</v>
      </c>
      <c r="AA152" s="32">
        <f t="shared" si="90"/>
        <v>8</v>
      </c>
      <c r="AB152" s="32">
        <f t="shared" si="90"/>
        <v>22</v>
      </c>
      <c r="AC152">
        <v>1</v>
      </c>
      <c r="AD152">
        <f t="shared" si="86"/>
        <v>720</v>
      </c>
      <c r="AE152">
        <f t="shared" si="67"/>
        <v>400</v>
      </c>
      <c r="AF152">
        <f t="shared" si="68"/>
        <v>320</v>
      </c>
      <c r="AH152">
        <f t="shared" si="75"/>
        <v>720</v>
      </c>
      <c r="AI152">
        <f t="shared" si="76"/>
        <v>352</v>
      </c>
      <c r="AJ152">
        <f t="shared" si="77"/>
        <v>286</v>
      </c>
      <c r="AK152">
        <f t="shared" si="88"/>
        <v>308</v>
      </c>
      <c r="AL152">
        <f t="shared" si="78"/>
        <v>176</v>
      </c>
      <c r="AM152">
        <f t="shared" si="79"/>
        <v>192</v>
      </c>
      <c r="AO152" s="130">
        <f t="shared" si="80"/>
        <v>0.48888888888888887</v>
      </c>
      <c r="AP152" s="130">
        <f t="shared" si="81"/>
        <v>0.24444444444444444</v>
      </c>
      <c r="AQ152" s="130">
        <f t="shared" si="82"/>
        <v>0.26666666666666672</v>
      </c>
      <c r="AR152" s="66">
        <f t="shared" si="83"/>
        <v>0.51111111111111118</v>
      </c>
    </row>
    <row r="153" spans="1:44" x14ac:dyDescent="0.2">
      <c r="A153" s="10">
        <v>40817</v>
      </c>
      <c r="B153" s="17">
        <v>37.35</v>
      </c>
      <c r="C153" s="17">
        <v>29.03387096774194</v>
      </c>
      <c r="D153" s="45">
        <v>41.164999999999999</v>
      </c>
      <c r="E153" s="45">
        <v>30.873750000000001</v>
      </c>
      <c r="F153" s="45">
        <f t="shared" si="69"/>
        <v>29.482621951219517</v>
      </c>
      <c r="G153" s="12">
        <f t="shared" si="87"/>
        <v>33.881586021505377</v>
      </c>
      <c r="H153" s="12">
        <f t="shared" si="70"/>
        <v>33.881586021505377</v>
      </c>
      <c r="I153" s="12">
        <f t="shared" si="71"/>
        <v>33.888353658536587</v>
      </c>
      <c r="K153" s="46">
        <v>3.7352459818182244</v>
      </c>
      <c r="M153" s="137">
        <v>1.3345086695560002</v>
      </c>
      <c r="N153" s="137">
        <v>6.3952027911898024E-2</v>
      </c>
      <c r="O153" s="14">
        <f t="shared" ca="1" si="72"/>
        <v>0.49663695118254447</v>
      </c>
      <c r="Q153" s="12">
        <f t="shared" si="65"/>
        <v>49.843898807916609</v>
      </c>
      <c r="R153" s="12">
        <f t="shared" si="73"/>
        <v>38.74595251722188</v>
      </c>
      <c r="S153" s="12">
        <f t="shared" si="74"/>
        <v>45.215270284006316</v>
      </c>
      <c r="T153" s="12">
        <f t="shared" si="84"/>
        <v>39.344814595144484</v>
      </c>
      <c r="V153" s="15">
        <f t="shared" si="85"/>
        <v>5</v>
      </c>
      <c r="W153" s="15">
        <f t="shared" si="66"/>
        <v>26</v>
      </c>
      <c r="X153" s="32">
        <f t="shared" si="89"/>
        <v>31</v>
      </c>
      <c r="Y153" s="44">
        <v>5</v>
      </c>
      <c r="Z153" s="44">
        <v>5</v>
      </c>
      <c r="AA153" s="32">
        <f t="shared" si="90"/>
        <v>10</v>
      </c>
      <c r="AB153" s="32">
        <f t="shared" si="90"/>
        <v>21</v>
      </c>
      <c r="AD153">
        <f t="shared" si="86"/>
        <v>744</v>
      </c>
      <c r="AE153">
        <f t="shared" si="67"/>
        <v>416</v>
      </c>
      <c r="AF153">
        <f t="shared" si="68"/>
        <v>328</v>
      </c>
      <c r="AH153">
        <f t="shared" si="75"/>
        <v>744</v>
      </c>
      <c r="AI153">
        <f t="shared" si="76"/>
        <v>336</v>
      </c>
      <c r="AJ153">
        <f t="shared" si="77"/>
        <v>273</v>
      </c>
      <c r="AK153">
        <f t="shared" si="88"/>
        <v>294</v>
      </c>
      <c r="AL153">
        <f t="shared" si="78"/>
        <v>168</v>
      </c>
      <c r="AM153">
        <f t="shared" si="79"/>
        <v>240</v>
      </c>
      <c r="AO153" s="130">
        <f t="shared" si="80"/>
        <v>0.45161290322580644</v>
      </c>
      <c r="AP153" s="130">
        <f t="shared" si="81"/>
        <v>0.22580645161290322</v>
      </c>
      <c r="AQ153" s="130">
        <f t="shared" si="82"/>
        <v>0.32258064516129037</v>
      </c>
      <c r="AR153" s="66">
        <f t="shared" si="83"/>
        <v>0.54838709677419362</v>
      </c>
    </row>
    <row r="154" spans="1:44" x14ac:dyDescent="0.2">
      <c r="A154" s="10">
        <v>40848</v>
      </c>
      <c r="B154" s="17">
        <v>34.35</v>
      </c>
      <c r="C154" s="17">
        <v>30.112500000000001</v>
      </c>
      <c r="D154" s="45">
        <v>39.914999999999999</v>
      </c>
      <c r="E154" s="45">
        <v>29.936250000000001</v>
      </c>
      <c r="F154" s="45">
        <f t="shared" si="69"/>
        <v>28.571624999999997</v>
      </c>
      <c r="G154" s="12">
        <f t="shared" si="87"/>
        <v>31.781833333333331</v>
      </c>
      <c r="H154" s="12">
        <f t="shared" si="70"/>
        <v>31.781833333333331</v>
      </c>
      <c r="I154" s="12">
        <f t="shared" si="71"/>
        <v>31.807515000000002</v>
      </c>
      <c r="K154" s="46">
        <v>3.8301697487742401</v>
      </c>
      <c r="M154" s="137">
        <v>1.3338570681820003</v>
      </c>
      <c r="N154" s="137">
        <v>6.3976554374091027E-2</v>
      </c>
      <c r="O154" s="14">
        <f t="shared" ca="1" si="72"/>
        <v>0.49389953439508466</v>
      </c>
      <c r="Q154" s="12">
        <f t="shared" si="65"/>
        <v>45.817990292051711</v>
      </c>
      <c r="R154" s="12">
        <f t="shared" si="73"/>
        <v>40.165770965630486</v>
      </c>
      <c r="S154" s="12">
        <f t="shared" si="74"/>
        <v>42.392423031448971</v>
      </c>
      <c r="T154" s="12">
        <f t="shared" si="84"/>
        <v>38.110463955695543</v>
      </c>
      <c r="V154" s="15">
        <f t="shared" si="85"/>
        <v>5</v>
      </c>
      <c r="W154" s="15">
        <f t="shared" si="66"/>
        <v>25</v>
      </c>
      <c r="X154" s="32">
        <f t="shared" si="89"/>
        <v>30</v>
      </c>
      <c r="Y154" s="44">
        <v>4</v>
      </c>
      <c r="Z154" s="44">
        <v>4</v>
      </c>
      <c r="AA154" s="32">
        <f t="shared" si="90"/>
        <v>8</v>
      </c>
      <c r="AB154" s="32">
        <f t="shared" si="90"/>
        <v>22</v>
      </c>
      <c r="AC154">
        <v>1</v>
      </c>
      <c r="AD154">
        <f t="shared" si="86"/>
        <v>720</v>
      </c>
      <c r="AE154">
        <f t="shared" si="67"/>
        <v>400</v>
      </c>
      <c r="AF154">
        <f t="shared" si="68"/>
        <v>320</v>
      </c>
      <c r="AH154">
        <f t="shared" si="75"/>
        <v>720</v>
      </c>
      <c r="AI154">
        <f t="shared" si="76"/>
        <v>352</v>
      </c>
      <c r="AJ154">
        <f t="shared" si="77"/>
        <v>286</v>
      </c>
      <c r="AK154">
        <f t="shared" si="88"/>
        <v>308</v>
      </c>
      <c r="AL154">
        <f t="shared" si="78"/>
        <v>176</v>
      </c>
      <c r="AM154">
        <f t="shared" si="79"/>
        <v>192</v>
      </c>
      <c r="AO154" s="130">
        <f t="shared" si="80"/>
        <v>0.48888888888888887</v>
      </c>
      <c r="AP154" s="130">
        <f t="shared" si="81"/>
        <v>0.24444444444444444</v>
      </c>
      <c r="AQ154" s="130">
        <f t="shared" si="82"/>
        <v>0.26666666666666672</v>
      </c>
      <c r="AR154" s="66">
        <f t="shared" si="83"/>
        <v>0.51111111111111118</v>
      </c>
    </row>
    <row r="155" spans="1:44" x14ac:dyDescent="0.2">
      <c r="A155" s="10">
        <v>40878</v>
      </c>
      <c r="B155" s="17">
        <v>33.85</v>
      </c>
      <c r="C155" s="17">
        <v>29.695161290322588</v>
      </c>
      <c r="D155" s="45">
        <v>40.164999999999999</v>
      </c>
      <c r="E155" s="45">
        <v>30.123750000000001</v>
      </c>
      <c r="F155" s="45">
        <f t="shared" si="69"/>
        <v>28.33024390243903</v>
      </c>
      <c r="G155" s="12">
        <f t="shared" si="87"/>
        <v>31.416559139784948</v>
      </c>
      <c r="H155" s="12">
        <f t="shared" si="70"/>
        <v>31.416559139784948</v>
      </c>
      <c r="I155" s="12">
        <f t="shared" si="71"/>
        <v>31.421307317073175</v>
      </c>
      <c r="K155" s="46">
        <v>3.938984252768619</v>
      </c>
      <c r="M155" s="137">
        <v>1.3331890240440001</v>
      </c>
      <c r="N155" s="137">
        <v>6.4001898385233014E-2</v>
      </c>
      <c r="O155" s="14">
        <f t="shared" ca="1" si="72"/>
        <v>0.49125444944991659</v>
      </c>
      <c r="Q155" s="12">
        <f t="shared" si="65"/>
        <v>45.128448463889406</v>
      </c>
      <c r="R155" s="12">
        <f t="shared" si="73"/>
        <v>39.589263099474344</v>
      </c>
      <c r="S155" s="12">
        <f t="shared" si="74"/>
        <v>41.884211818390504</v>
      </c>
      <c r="T155" s="12">
        <f t="shared" si="84"/>
        <v>37.769570219221173</v>
      </c>
      <c r="V155" s="15">
        <f t="shared" si="85"/>
        <v>5</v>
      </c>
      <c r="W155" s="15">
        <f t="shared" si="66"/>
        <v>26</v>
      </c>
      <c r="X155" s="32">
        <f t="shared" si="89"/>
        <v>31</v>
      </c>
      <c r="Y155" s="44">
        <v>5</v>
      </c>
      <c r="Z155" s="44">
        <v>4</v>
      </c>
      <c r="AA155" s="32">
        <f t="shared" si="90"/>
        <v>9</v>
      </c>
      <c r="AB155" s="32">
        <f t="shared" si="90"/>
        <v>22</v>
      </c>
      <c r="AC155">
        <v>1</v>
      </c>
      <c r="AD155">
        <f t="shared" si="86"/>
        <v>744</v>
      </c>
      <c r="AE155">
        <f t="shared" si="67"/>
        <v>416</v>
      </c>
      <c r="AF155">
        <f t="shared" si="68"/>
        <v>328</v>
      </c>
      <c r="AH155">
        <f t="shared" si="75"/>
        <v>744</v>
      </c>
      <c r="AI155">
        <f t="shared" si="76"/>
        <v>352</v>
      </c>
      <c r="AJ155">
        <f t="shared" si="77"/>
        <v>286</v>
      </c>
      <c r="AK155">
        <f t="shared" si="88"/>
        <v>308</v>
      </c>
      <c r="AL155">
        <f t="shared" si="78"/>
        <v>176</v>
      </c>
      <c r="AM155">
        <f t="shared" si="79"/>
        <v>216</v>
      </c>
      <c r="AO155" s="130">
        <f t="shared" si="80"/>
        <v>0.4731182795698925</v>
      </c>
      <c r="AP155" s="130">
        <f t="shared" si="81"/>
        <v>0.23655913978494625</v>
      </c>
      <c r="AQ155" s="130">
        <f t="shared" si="82"/>
        <v>0.29032258064516125</v>
      </c>
      <c r="AR155" s="66">
        <f t="shared" si="83"/>
        <v>0.5268817204301075</v>
      </c>
    </row>
    <row r="156" spans="1:44" x14ac:dyDescent="0.2">
      <c r="A156" s="10">
        <v>40909</v>
      </c>
      <c r="B156" s="17">
        <v>35.85</v>
      </c>
      <c r="C156" s="17">
        <v>28.824193548387097</v>
      </c>
      <c r="D156" s="45">
        <v>36</v>
      </c>
      <c r="E156" s="45">
        <v>27</v>
      </c>
      <c r="F156" s="45">
        <f t="shared" si="69"/>
        <v>27.059302325581399</v>
      </c>
      <c r="G156" s="12">
        <f t="shared" si="87"/>
        <v>31.785483870967745</v>
      </c>
      <c r="H156" s="12">
        <f t="shared" si="70"/>
        <v>31.785483870967745</v>
      </c>
      <c r="I156" s="12">
        <f t="shared" si="71"/>
        <v>31.982093023255818</v>
      </c>
      <c r="K156" s="46">
        <v>4.1968679354815999</v>
      </c>
      <c r="M156" s="137">
        <v>1.3259836288310001</v>
      </c>
      <c r="N156" s="137">
        <v>6.4286465706934026E-2</v>
      </c>
      <c r="O156" s="14">
        <f t="shared" ca="1" si="72"/>
        <v>0.48716685862157738</v>
      </c>
      <c r="Q156" s="12">
        <f t="shared" si="65"/>
        <v>47.536513093591353</v>
      </c>
      <c r="R156" s="12">
        <f t="shared" si="73"/>
        <v>38.220408759417424</v>
      </c>
      <c r="S156" s="12">
        <f t="shared" si="74"/>
        <v>42.147031247375033</v>
      </c>
      <c r="T156" s="12">
        <f t="shared" si="84"/>
        <v>35.880191891309543</v>
      </c>
      <c r="V156" s="15">
        <f t="shared" si="85"/>
        <v>6</v>
      </c>
      <c r="W156" s="15">
        <f t="shared" si="66"/>
        <v>25</v>
      </c>
      <c r="X156" s="32">
        <f t="shared" si="89"/>
        <v>31</v>
      </c>
      <c r="Y156" s="43">
        <v>4</v>
      </c>
      <c r="Z156" s="43">
        <v>5</v>
      </c>
      <c r="AA156" s="32">
        <f t="shared" si="90"/>
        <v>10</v>
      </c>
      <c r="AB156" s="32">
        <f t="shared" si="90"/>
        <v>21</v>
      </c>
      <c r="AC156">
        <v>1</v>
      </c>
      <c r="AD156">
        <f t="shared" si="86"/>
        <v>744</v>
      </c>
      <c r="AE156">
        <f t="shared" si="67"/>
        <v>400</v>
      </c>
      <c r="AF156">
        <f t="shared" si="68"/>
        <v>344</v>
      </c>
      <c r="AH156">
        <f t="shared" si="75"/>
        <v>744</v>
      </c>
      <c r="AI156">
        <f t="shared" si="76"/>
        <v>336</v>
      </c>
      <c r="AJ156">
        <f t="shared" si="77"/>
        <v>273</v>
      </c>
      <c r="AK156">
        <f t="shared" si="88"/>
        <v>294</v>
      </c>
      <c r="AL156">
        <f t="shared" si="78"/>
        <v>168</v>
      </c>
      <c r="AM156">
        <f t="shared" si="79"/>
        <v>240</v>
      </c>
      <c r="AO156" s="130">
        <f t="shared" si="80"/>
        <v>0.45161290322580644</v>
      </c>
      <c r="AP156" s="130">
        <f t="shared" si="81"/>
        <v>0.22580645161290322</v>
      </c>
      <c r="AQ156" s="130">
        <f t="shared" si="82"/>
        <v>0.32258064516129037</v>
      </c>
      <c r="AR156" s="66">
        <f t="shared" si="83"/>
        <v>0.54838709677419362</v>
      </c>
    </row>
    <row r="157" spans="1:44" x14ac:dyDescent="0.2">
      <c r="A157" s="10">
        <v>40940</v>
      </c>
      <c r="B157" s="17">
        <v>35.35</v>
      </c>
      <c r="C157" s="17">
        <v>26.94285714285714</v>
      </c>
      <c r="D157" s="45">
        <v>35</v>
      </c>
      <c r="E157" s="45">
        <v>26.25</v>
      </c>
      <c r="F157" s="45">
        <f t="shared" si="69"/>
        <v>26.788888888888877</v>
      </c>
      <c r="G157" s="12">
        <f t="shared" si="87"/>
        <v>31.68095238095238</v>
      </c>
      <c r="H157" s="12">
        <f t="shared" si="70"/>
        <v>31.68095238095238</v>
      </c>
      <c r="I157" s="12">
        <f t="shared" si="71"/>
        <v>31.583111111111108</v>
      </c>
      <c r="K157" s="46">
        <v>4.0788797803918238</v>
      </c>
      <c r="M157" s="137">
        <v>1.3251066531940003</v>
      </c>
      <c r="N157" s="137">
        <v>6.4306771028910026E-2</v>
      </c>
      <c r="O157" s="14">
        <f t="shared" ca="1" si="72"/>
        <v>0.48448827577482423</v>
      </c>
      <c r="Q157" s="12">
        <f t="shared" si="65"/>
        <v>46.842520190407917</v>
      </c>
      <c r="R157" s="12">
        <f t="shared" si="73"/>
        <v>35.702159256055488</v>
      </c>
      <c r="S157" s="12">
        <f t="shared" si="74"/>
        <v>41.980640779522304</v>
      </c>
      <c r="T157" s="12">
        <f t="shared" si="84"/>
        <v>35.498134898341483</v>
      </c>
      <c r="V157" s="15">
        <f t="shared" si="85"/>
        <v>4</v>
      </c>
      <c r="W157" s="15">
        <f t="shared" si="66"/>
        <v>24</v>
      </c>
      <c r="X157" s="32">
        <f t="shared" si="89"/>
        <v>28</v>
      </c>
      <c r="Y157" s="44">
        <v>4</v>
      </c>
      <c r="Z157" s="44">
        <v>4</v>
      </c>
      <c r="AA157" s="32">
        <f t="shared" si="90"/>
        <v>8</v>
      </c>
      <c r="AB157" s="32">
        <f t="shared" si="90"/>
        <v>20</v>
      </c>
      <c r="AD157">
        <f t="shared" si="86"/>
        <v>672</v>
      </c>
      <c r="AE157">
        <f t="shared" si="67"/>
        <v>384</v>
      </c>
      <c r="AF157">
        <f t="shared" si="68"/>
        <v>288</v>
      </c>
      <c r="AH157">
        <f t="shared" si="75"/>
        <v>672</v>
      </c>
      <c r="AI157">
        <f t="shared" si="76"/>
        <v>320</v>
      </c>
      <c r="AJ157">
        <f t="shared" si="77"/>
        <v>260</v>
      </c>
      <c r="AK157">
        <f t="shared" si="88"/>
        <v>280</v>
      </c>
      <c r="AL157">
        <f t="shared" si="78"/>
        <v>160</v>
      </c>
      <c r="AM157">
        <f t="shared" si="79"/>
        <v>192</v>
      </c>
      <c r="AO157" s="130">
        <f t="shared" si="80"/>
        <v>0.47619047619047616</v>
      </c>
      <c r="AP157" s="130">
        <f t="shared" si="81"/>
        <v>0.23809523809523808</v>
      </c>
      <c r="AQ157" s="130">
        <f t="shared" si="82"/>
        <v>0.28571428571428581</v>
      </c>
      <c r="AR157" s="66">
        <f t="shared" si="83"/>
        <v>0.52380952380952395</v>
      </c>
    </row>
    <row r="158" spans="1:44" x14ac:dyDescent="0.2">
      <c r="A158" s="10">
        <v>40969</v>
      </c>
      <c r="B158" s="17">
        <v>32.832500000000003</v>
      </c>
      <c r="C158" s="17">
        <v>25.912903225806453</v>
      </c>
      <c r="D158" s="45">
        <v>32.962499999999999</v>
      </c>
      <c r="E158" s="45">
        <v>24.721875000000001</v>
      </c>
      <c r="F158" s="45">
        <f t="shared" si="69"/>
        <v>25.668589743589745</v>
      </c>
      <c r="G158" s="12">
        <f t="shared" si="87"/>
        <v>29.828279569892477</v>
      </c>
      <c r="H158" s="12">
        <f t="shared" si="70"/>
        <v>29.828279569892477</v>
      </c>
      <c r="I158" s="12">
        <f t="shared" si="71"/>
        <v>29.680379487179486</v>
      </c>
      <c r="K158" s="46">
        <v>3.9208082383381009</v>
      </c>
      <c r="M158" s="137">
        <v>1.3242901771889999</v>
      </c>
      <c r="N158" s="137">
        <v>6.4325766330236997E-2</v>
      </c>
      <c r="O158" s="14">
        <f t="shared" ca="1" si="72"/>
        <v>0.48199442706058732</v>
      </c>
      <c r="Q158" s="12">
        <f t="shared" si="65"/>
        <v>43.479757242557845</v>
      </c>
      <c r="R158" s="12">
        <f t="shared" si="73"/>
        <v>34.316203204384635</v>
      </c>
      <c r="S158" s="12">
        <f t="shared" si="74"/>
        <v>39.501297636855931</v>
      </c>
      <c r="T158" s="12">
        <f t="shared" si="84"/>
        <v>33.992661259730205</v>
      </c>
      <c r="V158" s="15">
        <f t="shared" si="85"/>
        <v>4</v>
      </c>
      <c r="W158" s="15">
        <f t="shared" si="66"/>
        <v>27</v>
      </c>
      <c r="X158" s="32">
        <f t="shared" si="89"/>
        <v>31</v>
      </c>
      <c r="Y158" s="44">
        <v>5</v>
      </c>
      <c r="Z158" s="44">
        <v>4</v>
      </c>
      <c r="AA158" s="32">
        <f t="shared" si="90"/>
        <v>8</v>
      </c>
      <c r="AB158" s="32">
        <f t="shared" si="90"/>
        <v>23</v>
      </c>
      <c r="AD158">
        <f t="shared" si="86"/>
        <v>744</v>
      </c>
      <c r="AE158">
        <f t="shared" si="67"/>
        <v>432</v>
      </c>
      <c r="AF158">
        <f t="shared" si="68"/>
        <v>312</v>
      </c>
      <c r="AH158">
        <f t="shared" si="75"/>
        <v>744</v>
      </c>
      <c r="AI158">
        <f t="shared" si="76"/>
        <v>368</v>
      </c>
      <c r="AJ158">
        <f t="shared" si="77"/>
        <v>299</v>
      </c>
      <c r="AK158">
        <f t="shared" si="88"/>
        <v>322</v>
      </c>
      <c r="AL158">
        <f t="shared" si="78"/>
        <v>184</v>
      </c>
      <c r="AM158">
        <f t="shared" si="79"/>
        <v>192</v>
      </c>
      <c r="AO158" s="130">
        <f t="shared" si="80"/>
        <v>0.4946236559139785</v>
      </c>
      <c r="AP158" s="130">
        <f t="shared" si="81"/>
        <v>0.24731182795698925</v>
      </c>
      <c r="AQ158" s="130">
        <f t="shared" si="82"/>
        <v>0.25806451612903225</v>
      </c>
      <c r="AR158" s="66">
        <f t="shared" si="83"/>
        <v>0.5053763440860215</v>
      </c>
    </row>
    <row r="159" spans="1:44" x14ac:dyDescent="0.2">
      <c r="A159" s="10">
        <v>41000</v>
      </c>
      <c r="B159" s="17">
        <v>30.44</v>
      </c>
      <c r="C159" s="17">
        <v>23.004166666666666</v>
      </c>
      <c r="D159" s="45">
        <v>30.51</v>
      </c>
      <c r="E159" s="45">
        <v>22.8825</v>
      </c>
      <c r="F159" s="45">
        <f t="shared" si="69"/>
        <v>22.973749999999995</v>
      </c>
      <c r="G159" s="12">
        <f t="shared" si="87"/>
        <v>27.121666666666666</v>
      </c>
      <c r="H159" s="12">
        <f t="shared" si="70"/>
        <v>27.121666666666666</v>
      </c>
      <c r="I159" s="12">
        <f t="shared" si="71"/>
        <v>27.154849999999996</v>
      </c>
      <c r="K159" s="46">
        <v>3.7627810948421314</v>
      </c>
      <c r="M159" s="137">
        <v>1.3234215759950001</v>
      </c>
      <c r="N159" s="137">
        <v>6.4346071652478007E-2</v>
      </c>
      <c r="O159" s="14">
        <f t="shared" ca="1" si="72"/>
        <v>0.479341281074805</v>
      </c>
      <c r="Q159" s="12">
        <f t="shared" si="65"/>
        <v>40.284952773287806</v>
      </c>
      <c r="R159" s="12">
        <f t="shared" si="73"/>
        <v>30.444210504451647</v>
      </c>
      <c r="S159" s="12">
        <f t="shared" si="74"/>
        <v>35.89339884361106</v>
      </c>
      <c r="T159" s="12">
        <f t="shared" si="84"/>
        <v>30.403956431515127</v>
      </c>
      <c r="V159" s="15">
        <f t="shared" si="85"/>
        <v>5</v>
      </c>
      <c r="W159" s="15">
        <f t="shared" si="66"/>
        <v>25</v>
      </c>
      <c r="X159" s="32">
        <f t="shared" si="89"/>
        <v>30</v>
      </c>
      <c r="Y159" s="44">
        <v>4</v>
      </c>
      <c r="Z159" s="44">
        <v>5</v>
      </c>
      <c r="AA159" s="32">
        <f t="shared" si="90"/>
        <v>9</v>
      </c>
      <c r="AB159" s="32">
        <f t="shared" si="90"/>
        <v>21</v>
      </c>
      <c r="AD159">
        <f t="shared" si="86"/>
        <v>720</v>
      </c>
      <c r="AE159">
        <f t="shared" si="67"/>
        <v>400</v>
      </c>
      <c r="AF159">
        <f t="shared" si="68"/>
        <v>320</v>
      </c>
      <c r="AH159">
        <f t="shared" si="75"/>
        <v>720</v>
      </c>
      <c r="AI159">
        <f t="shared" si="76"/>
        <v>336</v>
      </c>
      <c r="AJ159">
        <f t="shared" si="77"/>
        <v>273</v>
      </c>
      <c r="AK159">
        <f t="shared" si="88"/>
        <v>294</v>
      </c>
      <c r="AL159">
        <f t="shared" si="78"/>
        <v>168</v>
      </c>
      <c r="AM159">
        <f t="shared" si="79"/>
        <v>216</v>
      </c>
      <c r="AO159" s="130">
        <f t="shared" si="80"/>
        <v>0.46666666666666667</v>
      </c>
      <c r="AP159" s="130">
        <f t="shared" si="81"/>
        <v>0.23333333333333334</v>
      </c>
      <c r="AQ159" s="130">
        <f t="shared" si="82"/>
        <v>0.30000000000000004</v>
      </c>
      <c r="AR159" s="66">
        <f t="shared" si="83"/>
        <v>0.53333333333333344</v>
      </c>
    </row>
    <row r="160" spans="1:44" x14ac:dyDescent="0.2">
      <c r="A160" s="10">
        <v>41030</v>
      </c>
      <c r="B160" s="17">
        <v>29.19</v>
      </c>
      <c r="C160" s="17">
        <v>12.391935483870968</v>
      </c>
      <c r="D160" s="45">
        <v>28.61</v>
      </c>
      <c r="E160" s="45">
        <v>21.4575</v>
      </c>
      <c r="F160" s="45">
        <f t="shared" si="69"/>
        <v>13.556341463414633</v>
      </c>
      <c r="G160" s="12">
        <f t="shared" si="87"/>
        <v>22.29774193548387</v>
      </c>
      <c r="H160" s="12">
        <f t="shared" si="70"/>
        <v>22.29774193548387</v>
      </c>
      <c r="I160" s="12">
        <f t="shared" si="71"/>
        <v>22.311190243902441</v>
      </c>
      <c r="K160" s="46">
        <v>3.7400768353177241</v>
      </c>
      <c r="M160" s="137">
        <v>1.3225851030150002</v>
      </c>
      <c r="N160" s="137">
        <v>6.4365721964453018E-2</v>
      </c>
      <c r="O160" s="14">
        <f t="shared" ca="1" si="72"/>
        <v>0.47678615731938551</v>
      </c>
      <c r="Q160" s="12">
        <f t="shared" si="65"/>
        <v>38.606259157007855</v>
      </c>
      <c r="R160" s="12">
        <f t="shared" si="73"/>
        <v>16.389389268490721</v>
      </c>
      <c r="S160" s="12">
        <f t="shared" si="74"/>
        <v>29.490661314743825</v>
      </c>
      <c r="T160" s="12">
        <f t="shared" si="84"/>
        <v>17.929415270896762</v>
      </c>
      <c r="V160" s="15">
        <f t="shared" si="85"/>
        <v>5</v>
      </c>
      <c r="W160" s="15">
        <f t="shared" si="66"/>
        <v>26</v>
      </c>
      <c r="X160" s="32">
        <f t="shared" si="89"/>
        <v>31</v>
      </c>
      <c r="Y160" s="44">
        <v>4</v>
      </c>
      <c r="Z160" s="44">
        <v>4</v>
      </c>
      <c r="AA160" s="32">
        <f t="shared" si="90"/>
        <v>9</v>
      </c>
      <c r="AB160" s="32">
        <f t="shared" si="90"/>
        <v>22</v>
      </c>
      <c r="AC160">
        <v>1</v>
      </c>
      <c r="AD160">
        <f t="shared" si="86"/>
        <v>744</v>
      </c>
      <c r="AE160">
        <f t="shared" si="67"/>
        <v>416</v>
      </c>
      <c r="AF160">
        <f t="shared" si="68"/>
        <v>328</v>
      </c>
      <c r="AH160">
        <f t="shared" si="75"/>
        <v>744</v>
      </c>
      <c r="AI160">
        <f t="shared" si="76"/>
        <v>352</v>
      </c>
      <c r="AJ160">
        <f t="shared" si="77"/>
        <v>286</v>
      </c>
      <c r="AK160">
        <f t="shared" si="88"/>
        <v>308</v>
      </c>
      <c r="AL160">
        <f t="shared" si="78"/>
        <v>176</v>
      </c>
      <c r="AM160">
        <f t="shared" si="79"/>
        <v>216</v>
      </c>
      <c r="AO160" s="130">
        <f t="shared" si="80"/>
        <v>0.4731182795698925</v>
      </c>
      <c r="AP160" s="130">
        <f t="shared" si="81"/>
        <v>0.23655913978494625</v>
      </c>
      <c r="AQ160" s="130">
        <f t="shared" si="82"/>
        <v>0.29032258064516125</v>
      </c>
      <c r="AR160" s="66">
        <f t="shared" si="83"/>
        <v>0.5268817204301075</v>
      </c>
    </row>
    <row r="161" spans="1:44" x14ac:dyDescent="0.2">
      <c r="A161" s="10">
        <v>41061</v>
      </c>
      <c r="B161" s="17">
        <v>29.44</v>
      </c>
      <c r="C161" s="17">
        <v>12.416666666666668</v>
      </c>
      <c r="D161" s="45">
        <v>29.51</v>
      </c>
      <c r="E161" s="45">
        <v>22.1325</v>
      </c>
      <c r="F161" s="45">
        <f t="shared" si="69"/>
        <v>14.462105263157893</v>
      </c>
      <c r="G161" s="12">
        <f t="shared" si="87"/>
        <v>23.116</v>
      </c>
      <c r="H161" s="12">
        <f t="shared" si="70"/>
        <v>23.116</v>
      </c>
      <c r="I161" s="12">
        <f t="shared" si="71"/>
        <v>22.849726315789475</v>
      </c>
      <c r="K161" s="46">
        <v>3.8472072610955252</v>
      </c>
      <c r="M161" s="137">
        <v>1.3217249858170002</v>
      </c>
      <c r="N161" s="137">
        <v>6.4386027286963007E-2</v>
      </c>
      <c r="O161" s="14">
        <f t="shared" ca="1" si="72"/>
        <v>0.47415866081856961</v>
      </c>
      <c r="Q161" s="12">
        <f t="shared" si="65"/>
        <v>38.911583582452486</v>
      </c>
      <c r="R161" s="12">
        <f t="shared" si="73"/>
        <v>16.411418573894419</v>
      </c>
      <c r="S161" s="12">
        <f t="shared" si="74"/>
        <v>30.552994772145777</v>
      </c>
      <c r="T161" s="12">
        <f t="shared" si="84"/>
        <v>19.114925873831329</v>
      </c>
      <c r="V161" s="15">
        <f t="shared" si="85"/>
        <v>4</v>
      </c>
      <c r="W161" s="15">
        <f t="shared" si="66"/>
        <v>26</v>
      </c>
      <c r="X161" s="32">
        <f t="shared" si="89"/>
        <v>30</v>
      </c>
      <c r="Y161" s="44">
        <v>5</v>
      </c>
      <c r="Z161" s="44">
        <v>4</v>
      </c>
      <c r="AA161" s="32">
        <f t="shared" si="90"/>
        <v>8</v>
      </c>
      <c r="AB161" s="32">
        <f t="shared" si="90"/>
        <v>22</v>
      </c>
      <c r="AD161">
        <f t="shared" si="86"/>
        <v>720</v>
      </c>
      <c r="AE161">
        <f t="shared" si="67"/>
        <v>416</v>
      </c>
      <c r="AF161">
        <f t="shared" si="68"/>
        <v>304</v>
      </c>
      <c r="AH161">
        <f t="shared" si="75"/>
        <v>720</v>
      </c>
      <c r="AI161">
        <f t="shared" si="76"/>
        <v>352</v>
      </c>
      <c r="AJ161">
        <f t="shared" si="77"/>
        <v>286</v>
      </c>
      <c r="AK161">
        <f t="shared" si="88"/>
        <v>308</v>
      </c>
      <c r="AL161">
        <f t="shared" si="78"/>
        <v>176</v>
      </c>
      <c r="AM161">
        <f t="shared" si="79"/>
        <v>192</v>
      </c>
      <c r="AO161" s="130">
        <f t="shared" si="80"/>
        <v>0.48888888888888887</v>
      </c>
      <c r="AP161" s="130">
        <f t="shared" si="81"/>
        <v>0.24444444444444444</v>
      </c>
      <c r="AQ161" s="130">
        <f t="shared" si="82"/>
        <v>0.26666666666666672</v>
      </c>
      <c r="AR161" s="66">
        <f t="shared" si="83"/>
        <v>0.51111111111111118</v>
      </c>
    </row>
    <row r="162" spans="1:44" x14ac:dyDescent="0.2">
      <c r="A162" s="10">
        <v>41091</v>
      </c>
      <c r="B162" s="17">
        <v>48.94</v>
      </c>
      <c r="C162" s="17">
        <v>26.045161290322586</v>
      </c>
      <c r="D162" s="45">
        <v>48.76</v>
      </c>
      <c r="E162" s="45">
        <v>36.945</v>
      </c>
      <c r="F162" s="45">
        <f t="shared" si="69"/>
        <v>27.368604651162798</v>
      </c>
      <c r="G162" s="12">
        <f t="shared" si="87"/>
        <v>38.966129032258067</v>
      </c>
      <c r="H162" s="12">
        <f t="shared" si="70"/>
        <v>38.966129032258067</v>
      </c>
      <c r="I162" s="12">
        <f t="shared" si="71"/>
        <v>39.448586046511629</v>
      </c>
      <c r="K162" s="46">
        <v>3.8320533756746555</v>
      </c>
      <c r="M162" s="137">
        <v>1.3208967086250001</v>
      </c>
      <c r="N162" s="137">
        <v>6.4405677599199018E-2</v>
      </c>
      <c r="O162" s="14">
        <f t="shared" ca="1" si="72"/>
        <v>0.47162825652846274</v>
      </c>
      <c r="Q162" s="12">
        <f t="shared" si="65"/>
        <v>64.644684920107494</v>
      </c>
      <c r="R162" s="12">
        <f t="shared" si="73"/>
        <v>34.402967823994366</v>
      </c>
      <c r="S162" s="12">
        <f t="shared" si="74"/>
        <v>51.47023158656674</v>
      </c>
      <c r="T162" s="12">
        <f t="shared" si="84"/>
        <v>36.151099803379807</v>
      </c>
      <c r="V162" s="15">
        <f t="shared" si="85"/>
        <v>6</v>
      </c>
      <c r="W162" s="15">
        <f t="shared" si="66"/>
        <v>25</v>
      </c>
      <c r="X162" s="32">
        <f t="shared" si="89"/>
        <v>31</v>
      </c>
      <c r="Y162" s="44">
        <v>4</v>
      </c>
      <c r="Z162" s="44">
        <v>5</v>
      </c>
      <c r="AA162" s="32">
        <f t="shared" si="90"/>
        <v>10</v>
      </c>
      <c r="AB162" s="32">
        <f t="shared" si="90"/>
        <v>21</v>
      </c>
      <c r="AC162">
        <v>1</v>
      </c>
      <c r="AD162">
        <f t="shared" si="86"/>
        <v>744</v>
      </c>
      <c r="AE162">
        <f t="shared" si="67"/>
        <v>400</v>
      </c>
      <c r="AF162">
        <f t="shared" si="68"/>
        <v>344</v>
      </c>
      <c r="AH162">
        <f t="shared" si="75"/>
        <v>744</v>
      </c>
      <c r="AI162">
        <f t="shared" si="76"/>
        <v>336</v>
      </c>
      <c r="AJ162">
        <f t="shared" si="77"/>
        <v>273</v>
      </c>
      <c r="AK162">
        <f t="shared" si="88"/>
        <v>294</v>
      </c>
      <c r="AL162">
        <f t="shared" si="78"/>
        <v>168</v>
      </c>
      <c r="AM162">
        <f t="shared" si="79"/>
        <v>240</v>
      </c>
      <c r="AO162" s="130">
        <f t="shared" si="80"/>
        <v>0.45161290322580644</v>
      </c>
      <c r="AP162" s="130">
        <f t="shared" si="81"/>
        <v>0.22580645161290322</v>
      </c>
      <c r="AQ162" s="130">
        <f t="shared" si="82"/>
        <v>0.32258064516129037</v>
      </c>
      <c r="AR162" s="66">
        <f t="shared" si="83"/>
        <v>0.54838709677419362</v>
      </c>
    </row>
    <row r="163" spans="1:44" x14ac:dyDescent="0.2">
      <c r="A163" s="10">
        <v>41122</v>
      </c>
      <c r="B163" s="17">
        <v>66.44</v>
      </c>
      <c r="C163" s="17">
        <v>28.012903225806458</v>
      </c>
      <c r="D163" s="45">
        <v>67.510000000000005</v>
      </c>
      <c r="E163" s="45">
        <v>50.82</v>
      </c>
      <c r="F163" s="45">
        <f t="shared" si="69"/>
        <v>32.691282051282066</v>
      </c>
      <c r="G163" s="12">
        <f t="shared" si="87"/>
        <v>52.287311827956991</v>
      </c>
      <c r="H163" s="12">
        <f t="shared" si="70"/>
        <v>52.287311827956991</v>
      </c>
      <c r="I163" s="12">
        <f t="shared" si="71"/>
        <v>51.590564102564109</v>
      </c>
      <c r="K163" s="46">
        <v>3.8294357633280396</v>
      </c>
      <c r="M163" s="137">
        <v>1.3200450454729999</v>
      </c>
      <c r="N163" s="137">
        <v>6.4425982921977015E-2</v>
      </c>
      <c r="O163" s="14">
        <f t="shared" ca="1" si="72"/>
        <v>0.46902619777365584</v>
      </c>
      <c r="Q163" s="12">
        <f t="shared" si="65"/>
        <v>87.703792821226116</v>
      </c>
      <c r="R163" s="12">
        <f t="shared" si="73"/>
        <v>36.978294112540432</v>
      </c>
      <c r="S163" s="12">
        <f t="shared" si="74"/>
        <v>69.021606919596408</v>
      </c>
      <c r="T163" s="12">
        <f t="shared" si="84"/>
        <v>43.153964901955298</v>
      </c>
      <c r="V163" s="15">
        <f t="shared" si="85"/>
        <v>4</v>
      </c>
      <c r="W163" s="15">
        <f t="shared" si="66"/>
        <v>27</v>
      </c>
      <c r="X163" s="32">
        <f t="shared" si="89"/>
        <v>31</v>
      </c>
      <c r="Y163" s="44">
        <v>4</v>
      </c>
      <c r="Z163" s="44">
        <v>4</v>
      </c>
      <c r="AA163" s="32">
        <f t="shared" si="90"/>
        <v>8</v>
      </c>
      <c r="AB163" s="32">
        <f t="shared" si="90"/>
        <v>23</v>
      </c>
      <c r="AD163">
        <f t="shared" si="86"/>
        <v>744</v>
      </c>
      <c r="AE163">
        <f t="shared" si="67"/>
        <v>432</v>
      </c>
      <c r="AF163">
        <f t="shared" si="68"/>
        <v>312</v>
      </c>
      <c r="AH163">
        <f t="shared" si="75"/>
        <v>744</v>
      </c>
      <c r="AI163">
        <f t="shared" si="76"/>
        <v>368</v>
      </c>
      <c r="AJ163">
        <f t="shared" si="77"/>
        <v>299</v>
      </c>
      <c r="AK163">
        <f t="shared" si="88"/>
        <v>322</v>
      </c>
      <c r="AL163">
        <f t="shared" si="78"/>
        <v>184</v>
      </c>
      <c r="AM163">
        <f t="shared" si="79"/>
        <v>192</v>
      </c>
      <c r="AO163" s="130">
        <f t="shared" si="80"/>
        <v>0.4946236559139785</v>
      </c>
      <c r="AP163" s="130">
        <f t="shared" si="81"/>
        <v>0.24731182795698925</v>
      </c>
      <c r="AQ163" s="130">
        <f t="shared" si="82"/>
        <v>0.25806451612903225</v>
      </c>
      <c r="AR163" s="66">
        <f t="shared" si="83"/>
        <v>0.5053763440860215</v>
      </c>
    </row>
    <row r="164" spans="1:44" x14ac:dyDescent="0.2">
      <c r="A164" s="10">
        <v>41153</v>
      </c>
      <c r="B164" s="17">
        <v>64.19</v>
      </c>
      <c r="C164" s="17">
        <v>26.2</v>
      </c>
      <c r="D164" s="45">
        <v>63.01</v>
      </c>
      <c r="E164" s="45">
        <v>47.445</v>
      </c>
      <c r="F164" s="45">
        <f t="shared" si="69"/>
        <v>30.010714285714279</v>
      </c>
      <c r="G164" s="12">
        <f t="shared" si="87"/>
        <v>48.239666666666665</v>
      </c>
      <c r="H164" s="12">
        <f t="shared" si="70"/>
        <v>48.239666666666665</v>
      </c>
      <c r="I164" s="12">
        <f t="shared" si="71"/>
        <v>49.151114285714286</v>
      </c>
      <c r="K164" s="46">
        <v>3.809211974902766</v>
      </c>
      <c r="M164" s="137">
        <v>1.3191976672620005</v>
      </c>
      <c r="N164" s="137">
        <v>6.4446288244892014E-2</v>
      </c>
      <c r="O164" s="14">
        <f t="shared" ca="1" si="72"/>
        <v>0.46643698568098091</v>
      </c>
      <c r="Q164" s="12">
        <f t="shared" si="65"/>
        <v>84.679298261547814</v>
      </c>
      <c r="R164" s="12">
        <f t="shared" si="73"/>
        <v>34.56297888226441</v>
      </c>
      <c r="S164" s="12">
        <f t="shared" si="74"/>
        <v>63.637655736163147</v>
      </c>
      <c r="T164" s="12">
        <f t="shared" si="84"/>
        <v>39.59006427858067</v>
      </c>
      <c r="V164" s="15">
        <f t="shared" si="85"/>
        <v>6</v>
      </c>
      <c r="W164" s="15">
        <f t="shared" si="66"/>
        <v>24</v>
      </c>
      <c r="X164" s="32">
        <f t="shared" si="89"/>
        <v>30</v>
      </c>
      <c r="Y164" s="44">
        <v>5</v>
      </c>
      <c r="Z164" s="44">
        <v>5</v>
      </c>
      <c r="AA164" s="32">
        <f t="shared" ref="AA164:AB179" si="91">AA152</f>
        <v>8</v>
      </c>
      <c r="AB164" s="32">
        <f t="shared" si="91"/>
        <v>22</v>
      </c>
      <c r="AC164">
        <v>1</v>
      </c>
      <c r="AD164">
        <f t="shared" si="86"/>
        <v>720</v>
      </c>
      <c r="AE164">
        <f t="shared" si="67"/>
        <v>384</v>
      </c>
      <c r="AF164">
        <f t="shared" si="68"/>
        <v>336</v>
      </c>
      <c r="AH164">
        <f t="shared" si="75"/>
        <v>720</v>
      </c>
      <c r="AI164">
        <f t="shared" si="76"/>
        <v>352</v>
      </c>
      <c r="AJ164">
        <f t="shared" si="77"/>
        <v>286</v>
      </c>
      <c r="AK164">
        <f t="shared" si="88"/>
        <v>308</v>
      </c>
      <c r="AL164">
        <f t="shared" si="78"/>
        <v>176</v>
      </c>
      <c r="AM164">
        <f t="shared" si="79"/>
        <v>192</v>
      </c>
      <c r="AO164" s="130">
        <f t="shared" si="80"/>
        <v>0.48888888888888887</v>
      </c>
      <c r="AP164" s="130">
        <f t="shared" si="81"/>
        <v>0.24444444444444444</v>
      </c>
      <c r="AQ164" s="130">
        <f t="shared" si="82"/>
        <v>0.26666666666666672</v>
      </c>
      <c r="AR164" s="66">
        <f t="shared" si="83"/>
        <v>0.51111111111111118</v>
      </c>
    </row>
    <row r="165" spans="1:44" x14ac:dyDescent="0.2">
      <c r="A165" s="10">
        <v>41183</v>
      </c>
      <c r="B165" s="17">
        <v>40.69</v>
      </c>
      <c r="C165" s="17">
        <v>32.633870967741935</v>
      </c>
      <c r="D165" s="45">
        <v>41.26</v>
      </c>
      <c r="E165" s="45">
        <v>30.945</v>
      </c>
      <c r="F165" s="45">
        <f t="shared" si="69"/>
        <v>32.287435897435898</v>
      </c>
      <c r="G165" s="12">
        <f t="shared" si="87"/>
        <v>37.166344086021503</v>
      </c>
      <c r="H165" s="12">
        <f t="shared" si="70"/>
        <v>37.166344086021503</v>
      </c>
      <c r="I165" s="12">
        <f t="shared" si="71"/>
        <v>36.992871794871796</v>
      </c>
      <c r="K165" s="46">
        <v>3.8205460313134885</v>
      </c>
      <c r="M165" s="137">
        <v>1.318381696498</v>
      </c>
      <c r="N165" s="137">
        <v>6.4465938557521016E-2</v>
      </c>
      <c r="O165" s="14">
        <f t="shared" ca="1" si="72"/>
        <v>0.46394347727344842</v>
      </c>
      <c r="Q165" s="12">
        <f t="shared" si="65"/>
        <v>53.644951230503615</v>
      </c>
      <c r="R165" s="12">
        <f t="shared" si="73"/>
        <v>43.023898169748442</v>
      </c>
      <c r="S165" s="12">
        <f t="shared" si="74"/>
        <v>48.999427768757435</v>
      </c>
      <c r="T165" s="12">
        <f t="shared" si="84"/>
        <v>42.567164514031965</v>
      </c>
      <c r="V165" s="15">
        <f t="shared" si="85"/>
        <v>4</v>
      </c>
      <c r="W165" s="15">
        <f t="shared" si="66"/>
        <v>27</v>
      </c>
      <c r="X165" s="32">
        <f t="shared" si="89"/>
        <v>31</v>
      </c>
      <c r="Y165" s="44">
        <v>4</v>
      </c>
      <c r="Z165" s="44">
        <v>4</v>
      </c>
      <c r="AA165" s="32">
        <f t="shared" si="91"/>
        <v>10</v>
      </c>
      <c r="AB165" s="32">
        <f t="shared" si="91"/>
        <v>21</v>
      </c>
      <c r="AD165">
        <f t="shared" si="86"/>
        <v>744</v>
      </c>
      <c r="AE165">
        <f t="shared" si="67"/>
        <v>432</v>
      </c>
      <c r="AF165">
        <f t="shared" si="68"/>
        <v>312</v>
      </c>
      <c r="AH165">
        <f t="shared" si="75"/>
        <v>744</v>
      </c>
      <c r="AI165">
        <f t="shared" si="76"/>
        <v>336</v>
      </c>
      <c r="AJ165">
        <f t="shared" si="77"/>
        <v>273</v>
      </c>
      <c r="AK165">
        <f t="shared" si="88"/>
        <v>294</v>
      </c>
      <c r="AL165">
        <f t="shared" si="78"/>
        <v>168</v>
      </c>
      <c r="AM165">
        <f t="shared" si="79"/>
        <v>240</v>
      </c>
      <c r="AO165" s="130">
        <f t="shared" si="80"/>
        <v>0.45161290322580644</v>
      </c>
      <c r="AP165" s="130">
        <f t="shared" si="81"/>
        <v>0.22580645161290322</v>
      </c>
      <c r="AQ165" s="130">
        <f t="shared" si="82"/>
        <v>0.32258064516129037</v>
      </c>
      <c r="AR165" s="66">
        <f t="shared" si="83"/>
        <v>0.54838709677419362</v>
      </c>
    </row>
    <row r="166" spans="1:44" x14ac:dyDescent="0.2">
      <c r="A166" s="10">
        <v>41214</v>
      </c>
      <c r="B166" s="17">
        <v>39.69</v>
      </c>
      <c r="C166" s="17">
        <v>30.691666666666666</v>
      </c>
      <c r="D166" s="45">
        <v>40.01</v>
      </c>
      <c r="E166" s="45">
        <v>30.0075</v>
      </c>
      <c r="F166" s="45">
        <f t="shared" si="69"/>
        <v>29.020250000000001</v>
      </c>
      <c r="G166" s="12">
        <f t="shared" si="87"/>
        <v>34.94788888888889</v>
      </c>
      <c r="H166" s="12">
        <f t="shared" si="70"/>
        <v>34.94788888888889</v>
      </c>
      <c r="I166" s="12">
        <f t="shared" si="71"/>
        <v>34.995310000000003</v>
      </c>
      <c r="K166" s="46">
        <v>3.9084503146146181</v>
      </c>
      <c r="M166" s="137">
        <v>1.3175427277600003</v>
      </c>
      <c r="N166" s="137">
        <v>6.4486243880704008E-2</v>
      </c>
      <c r="O166" s="14">
        <f t="shared" ca="1" si="72"/>
        <v>0.46137938610607093</v>
      </c>
      <c r="Q166" s="12">
        <f t="shared" si="65"/>
        <v>52.293270864794408</v>
      </c>
      <c r="R166" s="12">
        <f t="shared" si="73"/>
        <v>40.437582219500676</v>
      </c>
      <c r="S166" s="12">
        <f t="shared" si="74"/>
        <v>46.045336856120073</v>
      </c>
      <c r="T166" s="12">
        <f t="shared" si="84"/>
        <v>38.235419345277151</v>
      </c>
      <c r="V166" s="15">
        <f t="shared" si="85"/>
        <v>5</v>
      </c>
      <c r="W166" s="15">
        <f t="shared" si="66"/>
        <v>25</v>
      </c>
      <c r="X166" s="32">
        <f t="shared" si="89"/>
        <v>30</v>
      </c>
      <c r="Y166" s="44">
        <v>4</v>
      </c>
      <c r="Z166" s="44">
        <v>4</v>
      </c>
      <c r="AA166" s="32">
        <f t="shared" si="91"/>
        <v>8</v>
      </c>
      <c r="AB166" s="32">
        <f t="shared" si="91"/>
        <v>22</v>
      </c>
      <c r="AC166">
        <v>1</v>
      </c>
      <c r="AD166">
        <f t="shared" si="86"/>
        <v>720</v>
      </c>
      <c r="AE166">
        <f t="shared" si="67"/>
        <v>400</v>
      </c>
      <c r="AF166">
        <f t="shared" si="68"/>
        <v>320</v>
      </c>
      <c r="AH166">
        <f t="shared" si="75"/>
        <v>720</v>
      </c>
      <c r="AI166">
        <f t="shared" si="76"/>
        <v>352</v>
      </c>
      <c r="AJ166">
        <f t="shared" si="77"/>
        <v>286</v>
      </c>
      <c r="AK166">
        <f t="shared" si="88"/>
        <v>308</v>
      </c>
      <c r="AL166">
        <f t="shared" si="78"/>
        <v>176</v>
      </c>
      <c r="AM166">
        <f t="shared" si="79"/>
        <v>192</v>
      </c>
      <c r="AO166" s="130">
        <f t="shared" si="80"/>
        <v>0.48888888888888887</v>
      </c>
      <c r="AP166" s="130">
        <f t="shared" si="81"/>
        <v>0.24444444444444444</v>
      </c>
      <c r="AQ166" s="130">
        <f t="shared" si="82"/>
        <v>0.26666666666666672</v>
      </c>
      <c r="AR166" s="66">
        <f t="shared" si="83"/>
        <v>0.51111111111111118</v>
      </c>
    </row>
    <row r="167" spans="1:44" x14ac:dyDescent="0.2">
      <c r="A167" s="10">
        <v>41244</v>
      </c>
      <c r="B167" s="17">
        <v>39.94</v>
      </c>
      <c r="C167" s="17">
        <v>30.666129032258073</v>
      </c>
      <c r="D167" s="45">
        <v>40.26</v>
      </c>
      <c r="E167" s="45">
        <v>30.195</v>
      </c>
      <c r="F167" s="45">
        <f t="shared" si="69"/>
        <v>29.130232558139543</v>
      </c>
      <c r="G167" s="12">
        <f t="shared" si="87"/>
        <v>34.941935483870971</v>
      </c>
      <c r="H167" s="12">
        <f t="shared" si="70"/>
        <v>34.941935483870971</v>
      </c>
      <c r="I167" s="12">
        <f t="shared" si="71"/>
        <v>35.1837023255814</v>
      </c>
      <c r="K167" s="46">
        <v>4.0126578819281828</v>
      </c>
      <c r="M167" s="137">
        <v>1.3167348810480002</v>
      </c>
      <c r="N167" s="137">
        <v>6.450589419359401E-2</v>
      </c>
      <c r="O167" s="14">
        <f t="shared" ca="1" si="72"/>
        <v>0.45891008727201077</v>
      </c>
      <c r="Q167" s="12">
        <f t="shared" si="65"/>
        <v>52.590391149057126</v>
      </c>
      <c r="R167" s="12">
        <f t="shared" si="73"/>
        <v>40.379161763492959</v>
      </c>
      <c r="S167" s="12">
        <f t="shared" si="74"/>
        <v>46.009265262941739</v>
      </c>
      <c r="T167" s="12">
        <f t="shared" si="84"/>
        <v>38.356793302342453</v>
      </c>
      <c r="V167" s="15">
        <f t="shared" si="85"/>
        <v>6</v>
      </c>
      <c r="W167" s="15">
        <f t="shared" si="66"/>
        <v>25</v>
      </c>
      <c r="X167" s="32">
        <f t="shared" si="89"/>
        <v>31</v>
      </c>
      <c r="Y167" s="44">
        <v>5</v>
      </c>
      <c r="Z167" s="44">
        <v>5</v>
      </c>
      <c r="AA167" s="32">
        <f t="shared" si="91"/>
        <v>9</v>
      </c>
      <c r="AB167" s="32">
        <f t="shared" si="91"/>
        <v>22</v>
      </c>
      <c r="AC167">
        <v>1</v>
      </c>
      <c r="AD167">
        <f t="shared" si="86"/>
        <v>744</v>
      </c>
      <c r="AE167">
        <f t="shared" si="67"/>
        <v>400</v>
      </c>
      <c r="AF167">
        <f t="shared" si="68"/>
        <v>344</v>
      </c>
      <c r="AH167">
        <f t="shared" si="75"/>
        <v>744</v>
      </c>
      <c r="AI167">
        <f t="shared" si="76"/>
        <v>352</v>
      </c>
      <c r="AJ167">
        <f t="shared" si="77"/>
        <v>286</v>
      </c>
      <c r="AK167">
        <f t="shared" si="88"/>
        <v>308</v>
      </c>
      <c r="AL167">
        <f t="shared" si="78"/>
        <v>176</v>
      </c>
      <c r="AM167">
        <f t="shared" si="79"/>
        <v>216</v>
      </c>
      <c r="AO167" s="130">
        <f t="shared" si="80"/>
        <v>0.4731182795698925</v>
      </c>
      <c r="AP167" s="130">
        <f t="shared" si="81"/>
        <v>0.23655913978494625</v>
      </c>
      <c r="AQ167" s="130">
        <f t="shared" si="82"/>
        <v>0.29032258064516125</v>
      </c>
      <c r="AR167" s="66">
        <f t="shared" si="83"/>
        <v>0.5268817204301075</v>
      </c>
    </row>
    <row r="168" spans="1:44" x14ac:dyDescent="0.2">
      <c r="A168" s="10">
        <v>41275</v>
      </c>
      <c r="B168" s="17">
        <v>35.950000000000003</v>
      </c>
      <c r="C168" s="17">
        <v>28.874193548387098</v>
      </c>
      <c r="D168" s="45">
        <v>36.1</v>
      </c>
      <c r="E168" s="45">
        <v>27.074999999999999</v>
      </c>
      <c r="F168" s="45">
        <f t="shared" si="69"/>
        <v>27.114634146341459</v>
      </c>
      <c r="G168" s="12">
        <f t="shared" si="87"/>
        <v>32.054838709677419</v>
      </c>
      <c r="H168" s="12">
        <f t="shared" si="70"/>
        <v>32.054838709677419</v>
      </c>
      <c r="I168" s="12">
        <f t="shared" si="71"/>
        <v>32.062439024390244</v>
      </c>
      <c r="K168" s="46">
        <v>4.2722784431093492</v>
      </c>
      <c r="M168" s="137">
        <v>1.3159042926250002</v>
      </c>
      <c r="N168" s="137">
        <v>6.4526199517047023E-2</v>
      </c>
      <c r="O168" s="14">
        <f t="shared" ca="1" si="72"/>
        <v>0.45637090863139895</v>
      </c>
      <c r="Q168" s="12">
        <f t="shared" si="65"/>
        <v>47.30675931986876</v>
      </c>
      <c r="R168" s="12">
        <f t="shared" si="73"/>
        <v>37.995675236407671</v>
      </c>
      <c r="S168" s="12">
        <f t="shared" si="74"/>
        <v>42.181099857466535</v>
      </c>
      <c r="T168" s="12">
        <f t="shared" si="84"/>
        <v>35.68026346612713</v>
      </c>
      <c r="V168" s="15">
        <f t="shared" si="85"/>
        <v>5</v>
      </c>
      <c r="W168" s="15">
        <f t="shared" si="66"/>
        <v>26</v>
      </c>
      <c r="X168" s="32">
        <f t="shared" si="89"/>
        <v>31</v>
      </c>
      <c r="Y168" s="43">
        <v>4</v>
      </c>
      <c r="Z168" s="43">
        <v>4</v>
      </c>
      <c r="AA168" s="32">
        <f t="shared" si="91"/>
        <v>10</v>
      </c>
      <c r="AB168" s="32">
        <f t="shared" si="91"/>
        <v>21</v>
      </c>
      <c r="AC168">
        <v>1</v>
      </c>
      <c r="AD168">
        <f t="shared" si="86"/>
        <v>744</v>
      </c>
      <c r="AE168">
        <f t="shared" si="67"/>
        <v>416</v>
      </c>
      <c r="AF168">
        <f t="shared" si="68"/>
        <v>328</v>
      </c>
      <c r="AH168">
        <f t="shared" si="75"/>
        <v>744</v>
      </c>
      <c r="AI168">
        <f t="shared" si="76"/>
        <v>336</v>
      </c>
      <c r="AJ168">
        <f t="shared" si="77"/>
        <v>273</v>
      </c>
      <c r="AK168">
        <f t="shared" si="88"/>
        <v>294</v>
      </c>
      <c r="AL168">
        <f t="shared" si="78"/>
        <v>168</v>
      </c>
      <c r="AM168">
        <f t="shared" si="79"/>
        <v>240</v>
      </c>
      <c r="AO168" s="130">
        <f t="shared" si="80"/>
        <v>0.45161290322580644</v>
      </c>
      <c r="AP168" s="130">
        <f t="shared" si="81"/>
        <v>0.22580645161290322</v>
      </c>
      <c r="AQ168" s="130">
        <f t="shared" si="82"/>
        <v>0.32258064516129037</v>
      </c>
      <c r="AR168" s="66">
        <f t="shared" si="83"/>
        <v>0.54838709677419362</v>
      </c>
    </row>
    <row r="169" spans="1:44" x14ac:dyDescent="0.2">
      <c r="A169" s="10">
        <v>41306</v>
      </c>
      <c r="B169" s="17">
        <v>35.450000000000003</v>
      </c>
      <c r="C169" s="17">
        <v>26.99285714285714</v>
      </c>
      <c r="D169" s="45">
        <v>35.1</v>
      </c>
      <c r="E169" s="45">
        <v>26.324999999999999</v>
      </c>
      <c r="F169" s="45">
        <f t="shared" si="69"/>
        <v>26.844444444444438</v>
      </c>
      <c r="G169" s="12">
        <f t="shared" si="87"/>
        <v>31.761904761904763</v>
      </c>
      <c r="H169" s="12">
        <f t="shared" si="70"/>
        <v>31.761904761904763</v>
      </c>
      <c r="I169" s="12">
        <f t="shared" si="71"/>
        <v>31.663555555555554</v>
      </c>
      <c r="K169" s="46">
        <v>4.1603063268941707</v>
      </c>
      <c r="M169" s="137">
        <v>1.3150779519760003</v>
      </c>
      <c r="N169" s="137">
        <v>6.4546504840636024E-2</v>
      </c>
      <c r="O169" s="14">
        <f t="shared" ca="1" si="72"/>
        <v>0.45384431101526601</v>
      </c>
      <c r="Q169" s="12">
        <f t="shared" si="65"/>
        <v>46.619513397549213</v>
      </c>
      <c r="R169" s="12">
        <f t="shared" si="73"/>
        <v>35.497711289409317</v>
      </c>
      <c r="S169" s="12">
        <f t="shared" si="74"/>
        <v>41.769380665142485</v>
      </c>
      <c r="T169" s="12">
        <f t="shared" si="84"/>
        <v>35.30253702193351</v>
      </c>
      <c r="V169" s="15">
        <f t="shared" si="85"/>
        <v>4</v>
      </c>
      <c r="W169" s="15">
        <f t="shared" si="66"/>
        <v>24</v>
      </c>
      <c r="X169" s="32">
        <f t="shared" si="89"/>
        <v>28</v>
      </c>
      <c r="Y169" s="44">
        <v>4</v>
      </c>
      <c r="Z169" s="44">
        <v>4</v>
      </c>
      <c r="AA169" s="32">
        <f t="shared" si="91"/>
        <v>8</v>
      </c>
      <c r="AB169" s="32">
        <f t="shared" si="91"/>
        <v>20</v>
      </c>
      <c r="AD169">
        <f t="shared" si="86"/>
        <v>672</v>
      </c>
      <c r="AE169">
        <f t="shared" si="67"/>
        <v>384</v>
      </c>
      <c r="AF169">
        <f t="shared" si="68"/>
        <v>288</v>
      </c>
      <c r="AH169">
        <f t="shared" si="75"/>
        <v>672</v>
      </c>
      <c r="AI169">
        <f t="shared" si="76"/>
        <v>320</v>
      </c>
      <c r="AJ169">
        <f t="shared" si="77"/>
        <v>260</v>
      </c>
      <c r="AK169">
        <f t="shared" si="88"/>
        <v>280</v>
      </c>
      <c r="AL169">
        <f t="shared" si="78"/>
        <v>160</v>
      </c>
      <c r="AM169">
        <f t="shared" si="79"/>
        <v>192</v>
      </c>
      <c r="AO169" s="130">
        <f t="shared" si="80"/>
        <v>0.47619047619047616</v>
      </c>
      <c r="AP169" s="130">
        <f t="shared" si="81"/>
        <v>0.23809523809523808</v>
      </c>
      <c r="AQ169" s="130">
        <f t="shared" si="82"/>
        <v>0.28571428571428581</v>
      </c>
      <c r="AR169" s="66">
        <f t="shared" si="83"/>
        <v>0.52380952380952395</v>
      </c>
    </row>
    <row r="170" spans="1:44" x14ac:dyDescent="0.2">
      <c r="A170" s="10">
        <v>41334</v>
      </c>
      <c r="B170" s="17">
        <v>32.927500000000002</v>
      </c>
      <c r="C170" s="17">
        <v>25.962903225806453</v>
      </c>
      <c r="D170" s="45">
        <v>33.057499999999997</v>
      </c>
      <c r="E170" s="45">
        <v>24.793125</v>
      </c>
      <c r="F170" s="45">
        <f t="shared" si="69"/>
        <v>25.677591463414636</v>
      </c>
      <c r="G170" s="12">
        <f t="shared" si="87"/>
        <v>29.731303763440859</v>
      </c>
      <c r="H170" s="12">
        <f t="shared" si="70"/>
        <v>29.731303763440859</v>
      </c>
      <c r="I170" s="12">
        <f t="shared" si="71"/>
        <v>29.737540243902441</v>
      </c>
      <c r="K170" s="46">
        <v>4.0073875921390174</v>
      </c>
      <c r="M170" s="137">
        <v>1.3143352246650002</v>
      </c>
      <c r="N170" s="137">
        <v>6.4564845133029028E-2</v>
      </c>
      <c r="O170" s="14">
        <f t="shared" ca="1" si="72"/>
        <v>0.45157299216157509</v>
      </c>
      <c r="Q170" s="12">
        <f t="shared" si="65"/>
        <v>43.277773110156794</v>
      </c>
      <c r="R170" s="12">
        <f t="shared" si="73"/>
        <v>34.123958244245983</v>
      </c>
      <c r="S170" s="12">
        <f t="shared" si="74"/>
        <v>39.076899811505406</v>
      </c>
      <c r="T170" s="12">
        <f t="shared" si="84"/>
        <v>33.748962944923164</v>
      </c>
      <c r="V170" s="15">
        <f t="shared" si="85"/>
        <v>5</v>
      </c>
      <c r="W170" s="15">
        <f t="shared" si="66"/>
        <v>26</v>
      </c>
      <c r="X170" s="32">
        <f t="shared" si="89"/>
        <v>31</v>
      </c>
      <c r="Y170" s="44">
        <v>5</v>
      </c>
      <c r="Z170" s="44">
        <v>5</v>
      </c>
      <c r="AA170" s="32">
        <f t="shared" si="91"/>
        <v>8</v>
      </c>
      <c r="AB170" s="32">
        <f t="shared" si="91"/>
        <v>23</v>
      </c>
      <c r="AD170">
        <f t="shared" si="86"/>
        <v>744</v>
      </c>
      <c r="AE170">
        <f t="shared" si="67"/>
        <v>416</v>
      </c>
      <c r="AF170">
        <f t="shared" si="68"/>
        <v>328</v>
      </c>
      <c r="AH170">
        <f t="shared" si="75"/>
        <v>744</v>
      </c>
      <c r="AI170">
        <f t="shared" si="76"/>
        <v>368</v>
      </c>
      <c r="AJ170">
        <f t="shared" si="77"/>
        <v>299</v>
      </c>
      <c r="AK170">
        <f t="shared" si="88"/>
        <v>322</v>
      </c>
      <c r="AL170">
        <f t="shared" si="78"/>
        <v>184</v>
      </c>
      <c r="AM170">
        <f t="shared" si="79"/>
        <v>192</v>
      </c>
      <c r="AO170" s="130">
        <f t="shared" si="80"/>
        <v>0.4946236559139785</v>
      </c>
      <c r="AP170" s="130">
        <f t="shared" si="81"/>
        <v>0.24731182795698925</v>
      </c>
      <c r="AQ170" s="130">
        <f t="shared" si="82"/>
        <v>0.25806451612903225</v>
      </c>
      <c r="AR170" s="66">
        <f t="shared" si="83"/>
        <v>0.5053763440860215</v>
      </c>
    </row>
    <row r="171" spans="1:44" x14ac:dyDescent="0.2">
      <c r="A171" s="10">
        <v>41365</v>
      </c>
      <c r="B171" s="17">
        <v>30.535</v>
      </c>
      <c r="C171" s="17">
        <v>23.054166666666667</v>
      </c>
      <c r="D171" s="45">
        <v>30.605</v>
      </c>
      <c r="E171" s="45">
        <v>22.953749999999999</v>
      </c>
      <c r="F171" s="45">
        <f t="shared" si="69"/>
        <v>23.033026315789471</v>
      </c>
      <c r="G171" s="12">
        <f t="shared" si="87"/>
        <v>27.3675</v>
      </c>
      <c r="H171" s="12">
        <f t="shared" si="70"/>
        <v>27.3675</v>
      </c>
      <c r="I171" s="12">
        <f t="shared" si="71"/>
        <v>27.23413157894737</v>
      </c>
      <c r="K171" s="46">
        <v>3.8544122660580302</v>
      </c>
      <c r="M171" s="137">
        <v>1.3135169480540003</v>
      </c>
      <c r="N171" s="137">
        <v>6.4585150456879015E-2</v>
      </c>
      <c r="O171" s="14">
        <f t="shared" ca="1" si="72"/>
        <v>0.44907019194885606</v>
      </c>
      <c r="Q171" s="12">
        <f t="shared" si="65"/>
        <v>40.108240008828901</v>
      </c>
      <c r="R171" s="12">
        <f t="shared" si="73"/>
        <v>30.282038639928267</v>
      </c>
      <c r="S171" s="12">
        <f t="shared" si="74"/>
        <v>35.947675075867856</v>
      </c>
      <c r="T171" s="12">
        <f t="shared" si="84"/>
        <v>30.25427043076326</v>
      </c>
      <c r="V171" s="15">
        <f t="shared" si="85"/>
        <v>4</v>
      </c>
      <c r="W171" s="15">
        <f t="shared" si="66"/>
        <v>26</v>
      </c>
      <c r="X171" s="32">
        <f t="shared" si="89"/>
        <v>30</v>
      </c>
      <c r="Y171" s="44">
        <v>4</v>
      </c>
      <c r="Z171" s="44">
        <v>4</v>
      </c>
      <c r="AA171" s="32">
        <f t="shared" si="91"/>
        <v>9</v>
      </c>
      <c r="AB171" s="32">
        <f t="shared" si="91"/>
        <v>21</v>
      </c>
      <c r="AD171">
        <f t="shared" si="86"/>
        <v>720</v>
      </c>
      <c r="AE171">
        <f t="shared" si="67"/>
        <v>416</v>
      </c>
      <c r="AF171">
        <f t="shared" si="68"/>
        <v>304</v>
      </c>
      <c r="AH171">
        <f t="shared" si="75"/>
        <v>720</v>
      </c>
      <c r="AI171">
        <f t="shared" si="76"/>
        <v>336</v>
      </c>
      <c r="AJ171">
        <f t="shared" si="77"/>
        <v>273</v>
      </c>
      <c r="AK171">
        <f t="shared" si="88"/>
        <v>294</v>
      </c>
      <c r="AL171">
        <f t="shared" si="78"/>
        <v>168</v>
      </c>
      <c r="AM171">
        <f t="shared" si="79"/>
        <v>216</v>
      </c>
      <c r="AO171" s="130">
        <f t="shared" si="80"/>
        <v>0.46666666666666667</v>
      </c>
      <c r="AP171" s="130">
        <f t="shared" si="81"/>
        <v>0.23333333333333334</v>
      </c>
      <c r="AQ171" s="130">
        <f t="shared" si="82"/>
        <v>0.30000000000000004</v>
      </c>
      <c r="AR171" s="66">
        <f t="shared" si="83"/>
        <v>0.53333333333333344</v>
      </c>
    </row>
    <row r="172" spans="1:44" x14ac:dyDescent="0.2">
      <c r="A172" s="10">
        <v>41395</v>
      </c>
      <c r="B172" s="17">
        <v>29.285</v>
      </c>
      <c r="C172" s="17">
        <v>12.441935483870969</v>
      </c>
      <c r="D172" s="45">
        <v>28.704999999999998</v>
      </c>
      <c r="E172" s="45">
        <v>21.528749999999999</v>
      </c>
      <c r="F172" s="45">
        <f t="shared" si="69"/>
        <v>13.608048780487806</v>
      </c>
      <c r="G172" s="12">
        <f t="shared" si="87"/>
        <v>22.373655913978496</v>
      </c>
      <c r="H172" s="12">
        <f t="shared" si="70"/>
        <v>22.373655913978496</v>
      </c>
      <c r="I172" s="12">
        <f t="shared" si="71"/>
        <v>22.387141463414636</v>
      </c>
      <c r="K172" s="46">
        <v>3.8331707091448179</v>
      </c>
      <c r="M172" s="137">
        <v>1.3127290916110004</v>
      </c>
      <c r="N172" s="137">
        <v>6.4604800770412016E-2</v>
      </c>
      <c r="O172" s="14">
        <f t="shared" ca="1" si="72"/>
        <v>0.44665995968280253</v>
      </c>
      <c r="Q172" s="12">
        <f t="shared" si="65"/>
        <v>38.443271447828145</v>
      </c>
      <c r="R172" s="12">
        <f t="shared" si="73"/>
        <v>16.33289066562461</v>
      </c>
      <c r="S172" s="12">
        <f t="shared" si="74"/>
        <v>29.370549003974077</v>
      </c>
      <c r="T172" s="12">
        <f t="shared" si="84"/>
        <v>17.86368151420794</v>
      </c>
      <c r="V172" s="15">
        <f t="shared" si="85"/>
        <v>5</v>
      </c>
      <c r="W172" s="15">
        <f t="shared" si="66"/>
        <v>26</v>
      </c>
      <c r="X172" s="32">
        <f t="shared" si="89"/>
        <v>31</v>
      </c>
      <c r="Y172" s="44">
        <v>4</v>
      </c>
      <c r="Z172" s="44">
        <v>4</v>
      </c>
      <c r="AA172" s="32">
        <f t="shared" si="91"/>
        <v>9</v>
      </c>
      <c r="AB172" s="32">
        <f t="shared" si="91"/>
        <v>22</v>
      </c>
      <c r="AC172">
        <v>1</v>
      </c>
      <c r="AD172">
        <f t="shared" si="86"/>
        <v>744</v>
      </c>
      <c r="AE172">
        <f t="shared" si="67"/>
        <v>416</v>
      </c>
      <c r="AF172">
        <f t="shared" si="68"/>
        <v>328</v>
      </c>
      <c r="AH172">
        <f t="shared" si="75"/>
        <v>744</v>
      </c>
      <c r="AI172">
        <f t="shared" si="76"/>
        <v>352</v>
      </c>
      <c r="AJ172">
        <f t="shared" si="77"/>
        <v>286</v>
      </c>
      <c r="AK172">
        <f t="shared" si="88"/>
        <v>308</v>
      </c>
      <c r="AL172">
        <f t="shared" si="78"/>
        <v>176</v>
      </c>
      <c r="AM172">
        <f t="shared" si="79"/>
        <v>216</v>
      </c>
      <c r="AO172" s="130">
        <f t="shared" si="80"/>
        <v>0.4731182795698925</v>
      </c>
      <c r="AP172" s="130">
        <f t="shared" si="81"/>
        <v>0.23655913978494625</v>
      </c>
      <c r="AQ172" s="130">
        <f t="shared" si="82"/>
        <v>0.29032258064516125</v>
      </c>
      <c r="AR172" s="66">
        <f t="shared" si="83"/>
        <v>0.5268817204301075</v>
      </c>
    </row>
    <row r="173" spans="1:44" x14ac:dyDescent="0.2">
      <c r="A173" s="10">
        <v>41426</v>
      </c>
      <c r="B173" s="17">
        <v>29.535</v>
      </c>
      <c r="C173" s="17">
        <v>12.466666666666669</v>
      </c>
      <c r="D173" s="45">
        <v>29.605</v>
      </c>
      <c r="E173" s="45">
        <v>22.203749999999999</v>
      </c>
      <c r="F173" s="45">
        <f t="shared" si="69"/>
        <v>14.900937499999998</v>
      </c>
      <c r="G173" s="12">
        <f t="shared" si="87"/>
        <v>23.030972222222221</v>
      </c>
      <c r="H173" s="12">
        <f t="shared" si="70"/>
        <v>23.030972222222221</v>
      </c>
      <c r="I173" s="12">
        <f t="shared" si="71"/>
        <v>23.096012500000001</v>
      </c>
      <c r="K173" s="46">
        <v>3.9407389985288934</v>
      </c>
      <c r="M173" s="137">
        <v>1.3119191244770003</v>
      </c>
      <c r="N173" s="137">
        <v>6.4625106094531024E-2</v>
      </c>
      <c r="O173" s="14">
        <f t="shared" ca="1" si="72"/>
        <v>0.44418156181610619</v>
      </c>
      <c r="Q173" s="12">
        <f t="shared" si="65"/>
        <v>38.747531341428207</v>
      </c>
      <c r="R173" s="12">
        <f t="shared" si="73"/>
        <v>16.355258418479941</v>
      </c>
      <c r="S173" s="12">
        <f t="shared" si="74"/>
        <v>30.21477291363189</v>
      </c>
      <c r="T173" s="12">
        <f t="shared" si="84"/>
        <v>19.548824878886499</v>
      </c>
      <c r="V173" s="15">
        <f t="shared" si="85"/>
        <v>5</v>
      </c>
      <c r="W173" s="15">
        <f t="shared" si="66"/>
        <v>25</v>
      </c>
      <c r="X173" s="32">
        <f t="shared" si="89"/>
        <v>30</v>
      </c>
      <c r="Y173" s="44">
        <v>5</v>
      </c>
      <c r="Z173" s="44">
        <v>5</v>
      </c>
      <c r="AA173" s="32">
        <f t="shared" si="91"/>
        <v>8</v>
      </c>
      <c r="AB173" s="32">
        <f t="shared" si="91"/>
        <v>22</v>
      </c>
      <c r="AD173">
        <f t="shared" si="86"/>
        <v>720</v>
      </c>
      <c r="AE173">
        <f t="shared" si="67"/>
        <v>400</v>
      </c>
      <c r="AF173">
        <f t="shared" si="68"/>
        <v>320</v>
      </c>
      <c r="AH173">
        <f t="shared" si="75"/>
        <v>720</v>
      </c>
      <c r="AI173">
        <f t="shared" si="76"/>
        <v>352</v>
      </c>
      <c r="AJ173">
        <f t="shared" si="77"/>
        <v>286</v>
      </c>
      <c r="AK173">
        <f t="shared" si="88"/>
        <v>308</v>
      </c>
      <c r="AL173">
        <f t="shared" si="78"/>
        <v>176</v>
      </c>
      <c r="AM173">
        <f t="shared" si="79"/>
        <v>192</v>
      </c>
      <c r="AO173" s="130">
        <f t="shared" si="80"/>
        <v>0.48888888888888887</v>
      </c>
      <c r="AP173" s="130">
        <f t="shared" si="81"/>
        <v>0.24444444444444444</v>
      </c>
      <c r="AQ173" s="130">
        <f t="shared" si="82"/>
        <v>0.26666666666666672</v>
      </c>
      <c r="AR173" s="66">
        <f t="shared" si="83"/>
        <v>0.51111111111111118</v>
      </c>
    </row>
    <row r="174" spans="1:44" x14ac:dyDescent="0.2">
      <c r="A174" s="10">
        <v>41456</v>
      </c>
      <c r="B174" s="17">
        <v>49.16</v>
      </c>
      <c r="C174" s="17">
        <v>26.095161290322586</v>
      </c>
      <c r="D174" s="45">
        <v>48.98</v>
      </c>
      <c r="E174" s="45">
        <v>37.11</v>
      </c>
      <c r="F174" s="45">
        <f t="shared" si="69"/>
        <v>26.971463414634169</v>
      </c>
      <c r="G174" s="12">
        <f t="shared" si="87"/>
        <v>39.377956989247316</v>
      </c>
      <c r="H174" s="12">
        <f t="shared" si="70"/>
        <v>39.377956989247316</v>
      </c>
      <c r="I174" s="12">
        <f t="shared" si="71"/>
        <v>39.397043902439037</v>
      </c>
      <c r="K174" s="46">
        <v>3.9257368934319312</v>
      </c>
      <c r="M174" s="137">
        <v>1.3111392958380004</v>
      </c>
      <c r="N174" s="137">
        <v>6.4644756408324011E-2</v>
      </c>
      <c r="O174" s="14">
        <f t="shared" ca="1" si="72"/>
        <v>0.44179484594577068</v>
      </c>
      <c r="Q174" s="12">
        <f t="shared" si="65"/>
        <v>64.45560778339609</v>
      </c>
      <c r="R174" s="12">
        <f t="shared" si="73"/>
        <v>34.214391398972602</v>
      </c>
      <c r="S174" s="12">
        <f t="shared" si="74"/>
        <v>51.629986798420795</v>
      </c>
      <c r="T174" s="12">
        <f t="shared" si="84"/>
        <v>35.363345549183833</v>
      </c>
      <c r="V174" s="15">
        <f t="shared" si="85"/>
        <v>5</v>
      </c>
      <c r="W174" s="15">
        <f t="shared" si="66"/>
        <v>26</v>
      </c>
      <c r="X174" s="32">
        <f t="shared" si="89"/>
        <v>31</v>
      </c>
      <c r="Y174" s="44">
        <v>4</v>
      </c>
      <c r="Z174" s="44">
        <v>4</v>
      </c>
      <c r="AA174" s="32">
        <f t="shared" si="91"/>
        <v>10</v>
      </c>
      <c r="AB174" s="32">
        <f t="shared" si="91"/>
        <v>21</v>
      </c>
      <c r="AC174">
        <v>1</v>
      </c>
      <c r="AD174">
        <f t="shared" si="86"/>
        <v>744</v>
      </c>
      <c r="AE174">
        <f t="shared" si="67"/>
        <v>416</v>
      </c>
      <c r="AF174">
        <f t="shared" si="68"/>
        <v>328</v>
      </c>
      <c r="AH174">
        <f t="shared" si="75"/>
        <v>744</v>
      </c>
      <c r="AI174">
        <f t="shared" si="76"/>
        <v>336</v>
      </c>
      <c r="AJ174">
        <f t="shared" si="77"/>
        <v>273</v>
      </c>
      <c r="AK174">
        <f t="shared" si="88"/>
        <v>294</v>
      </c>
      <c r="AL174">
        <f t="shared" si="78"/>
        <v>168</v>
      </c>
      <c r="AM174">
        <f t="shared" si="79"/>
        <v>240</v>
      </c>
      <c r="AO174" s="130">
        <f t="shared" si="80"/>
        <v>0.45161290322580644</v>
      </c>
      <c r="AP174" s="130">
        <f t="shared" si="81"/>
        <v>0.22580645161290322</v>
      </c>
      <c r="AQ174" s="130">
        <f t="shared" si="82"/>
        <v>0.32258064516129037</v>
      </c>
      <c r="AR174" s="66">
        <f t="shared" si="83"/>
        <v>0.54838709677419362</v>
      </c>
    </row>
    <row r="175" spans="1:44" x14ac:dyDescent="0.2">
      <c r="A175" s="10">
        <v>41487</v>
      </c>
      <c r="B175" s="17">
        <v>66.66</v>
      </c>
      <c r="C175" s="17">
        <v>28.062903225806458</v>
      </c>
      <c r="D175" s="45">
        <v>67.73</v>
      </c>
      <c r="E175" s="45">
        <v>50.984999999999999</v>
      </c>
      <c r="F175" s="45">
        <f t="shared" si="69"/>
        <v>32.764871794871802</v>
      </c>
      <c r="G175" s="12">
        <f t="shared" si="87"/>
        <v>52.445913978494623</v>
      </c>
      <c r="H175" s="12">
        <f t="shared" si="70"/>
        <v>52.445913978494623</v>
      </c>
      <c r="I175" s="12">
        <f t="shared" si="71"/>
        <v>51.746143589743589</v>
      </c>
      <c r="K175" s="46">
        <v>3.9231735525766025</v>
      </c>
      <c r="M175" s="137">
        <v>1.3103376101010002</v>
      </c>
      <c r="N175" s="137">
        <v>6.4665061732711998E-2</v>
      </c>
      <c r="O175" s="14">
        <f t="shared" ca="1" si="72"/>
        <v>0.43934064661425654</v>
      </c>
      <c r="Q175" s="12">
        <f t="shared" si="65"/>
        <v>87.347105089332672</v>
      </c>
      <c r="R175" s="12">
        <f t="shared" si="73"/>
        <v>36.771877545398887</v>
      </c>
      <c r="S175" s="12">
        <f t="shared" si="74"/>
        <v>68.721853582143282</v>
      </c>
      <c r="T175" s="12">
        <f t="shared" si="84"/>
        <v>42.933043802957989</v>
      </c>
      <c r="V175" s="15">
        <f t="shared" si="85"/>
        <v>4</v>
      </c>
      <c r="W175" s="15">
        <f t="shared" si="66"/>
        <v>27</v>
      </c>
      <c r="X175" s="32">
        <f t="shared" si="89"/>
        <v>31</v>
      </c>
      <c r="Y175" s="44">
        <v>5</v>
      </c>
      <c r="Z175" s="44">
        <v>4</v>
      </c>
      <c r="AA175" s="32">
        <f t="shared" si="91"/>
        <v>8</v>
      </c>
      <c r="AB175" s="32">
        <f t="shared" si="91"/>
        <v>23</v>
      </c>
      <c r="AD175">
        <f t="shared" si="86"/>
        <v>744</v>
      </c>
      <c r="AE175">
        <f t="shared" si="67"/>
        <v>432</v>
      </c>
      <c r="AF175">
        <f t="shared" si="68"/>
        <v>312</v>
      </c>
      <c r="AH175">
        <f t="shared" si="75"/>
        <v>744</v>
      </c>
      <c r="AI175">
        <f t="shared" si="76"/>
        <v>368</v>
      </c>
      <c r="AJ175">
        <f t="shared" si="77"/>
        <v>299</v>
      </c>
      <c r="AK175">
        <f t="shared" si="88"/>
        <v>322</v>
      </c>
      <c r="AL175">
        <f t="shared" si="78"/>
        <v>184</v>
      </c>
      <c r="AM175">
        <f t="shared" si="79"/>
        <v>192</v>
      </c>
      <c r="AO175" s="130">
        <f t="shared" si="80"/>
        <v>0.4946236559139785</v>
      </c>
      <c r="AP175" s="130">
        <f t="shared" si="81"/>
        <v>0.24731182795698925</v>
      </c>
      <c r="AQ175" s="130">
        <f t="shared" si="82"/>
        <v>0.25806451612903225</v>
      </c>
      <c r="AR175" s="66">
        <f t="shared" si="83"/>
        <v>0.5053763440860215</v>
      </c>
    </row>
    <row r="176" spans="1:44" x14ac:dyDescent="0.2">
      <c r="A176" s="10">
        <v>41518</v>
      </c>
      <c r="B176" s="17">
        <v>64.284999999999997</v>
      </c>
      <c r="C176" s="17">
        <v>26.25</v>
      </c>
      <c r="D176" s="45">
        <v>63.104999999999997</v>
      </c>
      <c r="E176" s="45">
        <v>47.516249999999999</v>
      </c>
      <c r="F176" s="45">
        <f t="shared" si="69"/>
        <v>30.063392857142855</v>
      </c>
      <c r="G176" s="12">
        <f t="shared" si="87"/>
        <v>48.314916666666662</v>
      </c>
      <c r="H176" s="12">
        <f t="shared" si="70"/>
        <v>48.314916666666662</v>
      </c>
      <c r="I176" s="12">
        <f t="shared" si="71"/>
        <v>49.227492857142856</v>
      </c>
      <c r="K176" s="46">
        <v>3.901892837110069</v>
      </c>
      <c r="M176" s="137">
        <v>1.3095401222809999</v>
      </c>
      <c r="N176" s="137">
        <v>6.4685367057237014E-2</v>
      </c>
      <c r="O176" s="14">
        <f t="shared" ca="1" si="72"/>
        <v>0.43689866721271209</v>
      </c>
      <c r="Q176" s="12">
        <f t="shared" si="65"/>
        <v>84.183786760834082</v>
      </c>
      <c r="R176" s="12">
        <f t="shared" si="73"/>
        <v>34.375428209876247</v>
      </c>
      <c r="S176" s="12">
        <f t="shared" si="74"/>
        <v>63.27032187966298</v>
      </c>
      <c r="T176" s="12">
        <f t="shared" si="84"/>
        <v>39.36921915832459</v>
      </c>
      <c r="V176" s="15">
        <f t="shared" si="85"/>
        <v>6</v>
      </c>
      <c r="W176" s="15">
        <f t="shared" si="66"/>
        <v>24</v>
      </c>
      <c r="X176" s="32">
        <f t="shared" si="89"/>
        <v>30</v>
      </c>
      <c r="Y176" s="44">
        <v>4</v>
      </c>
      <c r="Z176" s="44">
        <v>5</v>
      </c>
      <c r="AA176" s="32">
        <f t="shared" si="91"/>
        <v>8</v>
      </c>
      <c r="AB176" s="32">
        <f t="shared" si="91"/>
        <v>22</v>
      </c>
      <c r="AC176">
        <v>1</v>
      </c>
      <c r="AD176">
        <f t="shared" si="86"/>
        <v>720</v>
      </c>
      <c r="AE176">
        <f t="shared" si="67"/>
        <v>384</v>
      </c>
      <c r="AF176">
        <f t="shared" si="68"/>
        <v>336</v>
      </c>
      <c r="AH176">
        <f t="shared" si="75"/>
        <v>720</v>
      </c>
      <c r="AI176">
        <f t="shared" si="76"/>
        <v>352</v>
      </c>
      <c r="AJ176">
        <f t="shared" si="77"/>
        <v>286</v>
      </c>
      <c r="AK176">
        <f t="shared" si="88"/>
        <v>308</v>
      </c>
      <c r="AL176">
        <f t="shared" si="78"/>
        <v>176</v>
      </c>
      <c r="AM176">
        <f t="shared" si="79"/>
        <v>192</v>
      </c>
      <c r="AO176" s="130">
        <f t="shared" si="80"/>
        <v>0.48888888888888887</v>
      </c>
      <c r="AP176" s="130">
        <f t="shared" si="81"/>
        <v>0.24444444444444444</v>
      </c>
      <c r="AQ176" s="130">
        <f t="shared" si="82"/>
        <v>0.26666666666666672</v>
      </c>
      <c r="AR176" s="66">
        <f t="shared" si="83"/>
        <v>0.51111111111111118</v>
      </c>
    </row>
    <row r="177" spans="1:44" x14ac:dyDescent="0.2">
      <c r="A177" s="10">
        <v>41548</v>
      </c>
      <c r="B177" s="17">
        <v>40.784999999999997</v>
      </c>
      <c r="C177" s="17">
        <v>32.683870967741932</v>
      </c>
      <c r="D177" s="45">
        <v>41.354999999999997</v>
      </c>
      <c r="E177" s="45">
        <v>31.016249999999999</v>
      </c>
      <c r="F177" s="45">
        <f t="shared" si="69"/>
        <v>32.341794871794868</v>
      </c>
      <c r="G177" s="12">
        <f t="shared" si="87"/>
        <v>37.244301075268815</v>
      </c>
      <c r="H177" s="12">
        <f t="shared" si="70"/>
        <v>37.244301075268815</v>
      </c>
      <c r="I177" s="12">
        <f t="shared" si="71"/>
        <v>37.069989743589744</v>
      </c>
      <c r="K177" s="46">
        <v>3.9119246201318707</v>
      </c>
      <c r="M177" s="137">
        <v>1.308772350131</v>
      </c>
      <c r="N177" s="137">
        <v>6.4705017371422008E-2</v>
      </c>
      <c r="O177" s="14">
        <f t="shared" ca="1" si="72"/>
        <v>0.43454704724206267</v>
      </c>
      <c r="Q177" s="12">
        <f t="shared" si="65"/>
        <v>53.378280300092833</v>
      </c>
      <c r="R177" s="12">
        <f t="shared" si="73"/>
        <v>42.775746617829967</v>
      </c>
      <c r="S177" s="12">
        <f t="shared" si="74"/>
        <v>48.744311447266099</v>
      </c>
      <c r="T177" s="12">
        <f t="shared" si="84"/>
        <v>42.328046881813691</v>
      </c>
      <c r="V177" s="15">
        <f t="shared" si="85"/>
        <v>4</v>
      </c>
      <c r="W177" s="15">
        <f t="shared" si="66"/>
        <v>27</v>
      </c>
      <c r="X177" s="32">
        <f t="shared" si="89"/>
        <v>31</v>
      </c>
      <c r="Y177" s="44">
        <v>4</v>
      </c>
      <c r="Z177" s="44">
        <v>4</v>
      </c>
      <c r="AA177" s="32">
        <f t="shared" si="91"/>
        <v>10</v>
      </c>
      <c r="AB177" s="32">
        <f t="shared" si="91"/>
        <v>21</v>
      </c>
      <c r="AD177">
        <f t="shared" si="86"/>
        <v>744</v>
      </c>
      <c r="AE177">
        <f t="shared" si="67"/>
        <v>432</v>
      </c>
      <c r="AF177">
        <f t="shared" si="68"/>
        <v>312</v>
      </c>
      <c r="AH177">
        <f t="shared" si="75"/>
        <v>744</v>
      </c>
      <c r="AI177">
        <f t="shared" si="76"/>
        <v>336</v>
      </c>
      <c r="AJ177">
        <f t="shared" si="77"/>
        <v>273</v>
      </c>
      <c r="AK177">
        <f t="shared" si="88"/>
        <v>294</v>
      </c>
      <c r="AL177">
        <f t="shared" si="78"/>
        <v>168</v>
      </c>
      <c r="AM177">
        <f t="shared" si="79"/>
        <v>240</v>
      </c>
      <c r="AO177" s="130">
        <f t="shared" si="80"/>
        <v>0.45161290322580644</v>
      </c>
      <c r="AP177" s="130">
        <f t="shared" si="81"/>
        <v>0.22580645161290322</v>
      </c>
      <c r="AQ177" s="130">
        <f t="shared" si="82"/>
        <v>0.32258064516129037</v>
      </c>
      <c r="AR177" s="66">
        <f t="shared" si="83"/>
        <v>0.54838709677419362</v>
      </c>
    </row>
    <row r="178" spans="1:44" x14ac:dyDescent="0.2">
      <c r="A178" s="10">
        <v>41579</v>
      </c>
      <c r="B178" s="17">
        <v>39.784999999999997</v>
      </c>
      <c r="C178" s="17">
        <v>30.741666666666667</v>
      </c>
      <c r="D178" s="45">
        <v>40.104999999999997</v>
      </c>
      <c r="E178" s="45">
        <v>30.078749999999999</v>
      </c>
      <c r="F178" s="45">
        <f t="shared" si="69"/>
        <v>29.071999999999999</v>
      </c>
      <c r="G178" s="12">
        <f t="shared" si="87"/>
        <v>35.023666666666664</v>
      </c>
      <c r="H178" s="12">
        <f t="shared" si="70"/>
        <v>35.023666666666664</v>
      </c>
      <c r="I178" s="12">
        <f t="shared" si="71"/>
        <v>35.071279999999994</v>
      </c>
      <c r="K178" s="46">
        <v>3.992950175825893</v>
      </c>
      <c r="M178" s="137">
        <v>1.3079831019400003</v>
      </c>
      <c r="N178" s="137">
        <v>6.4725322696216003E-2</v>
      </c>
      <c r="O178" s="14">
        <f t="shared" ca="1" si="72"/>
        <v>0.43212896146726149</v>
      </c>
      <c r="Q178" s="12">
        <f t="shared" si="65"/>
        <v>52.038107710682908</v>
      </c>
      <c r="R178" s="12">
        <f t="shared" si="73"/>
        <v>40.209580525472177</v>
      </c>
      <c r="S178" s="12">
        <f t="shared" si="74"/>
        <v>45.810364167979252</v>
      </c>
      <c r="T178" s="12">
        <f t="shared" si="84"/>
        <v>38.02568473959969</v>
      </c>
      <c r="V178" s="15">
        <f t="shared" si="85"/>
        <v>5</v>
      </c>
      <c r="W178" s="15">
        <f t="shared" si="66"/>
        <v>25</v>
      </c>
      <c r="X178" s="32">
        <f t="shared" si="89"/>
        <v>30</v>
      </c>
      <c r="Y178" s="44">
        <v>5</v>
      </c>
      <c r="Z178" s="44">
        <v>4</v>
      </c>
      <c r="AA178" s="32">
        <f t="shared" si="91"/>
        <v>8</v>
      </c>
      <c r="AB178" s="32">
        <f t="shared" si="91"/>
        <v>22</v>
      </c>
      <c r="AC178">
        <v>1</v>
      </c>
      <c r="AD178">
        <f t="shared" si="86"/>
        <v>720</v>
      </c>
      <c r="AE178">
        <f t="shared" si="67"/>
        <v>400</v>
      </c>
      <c r="AF178">
        <f t="shared" si="68"/>
        <v>320</v>
      </c>
      <c r="AH178">
        <f t="shared" si="75"/>
        <v>720</v>
      </c>
      <c r="AI178">
        <f t="shared" si="76"/>
        <v>352</v>
      </c>
      <c r="AJ178">
        <f t="shared" si="77"/>
        <v>286</v>
      </c>
      <c r="AK178">
        <f t="shared" si="88"/>
        <v>308</v>
      </c>
      <c r="AL178">
        <f t="shared" si="78"/>
        <v>176</v>
      </c>
      <c r="AM178">
        <f t="shared" si="79"/>
        <v>192</v>
      </c>
      <c r="AO178" s="130">
        <f t="shared" si="80"/>
        <v>0.48888888888888887</v>
      </c>
      <c r="AP178" s="130">
        <f t="shared" si="81"/>
        <v>0.24444444444444444</v>
      </c>
      <c r="AQ178" s="130">
        <f t="shared" si="82"/>
        <v>0.26666666666666672</v>
      </c>
      <c r="AR178" s="66">
        <f t="shared" si="83"/>
        <v>0.51111111111111118</v>
      </c>
    </row>
    <row r="179" spans="1:44" x14ac:dyDescent="0.2">
      <c r="A179" s="10">
        <v>41609</v>
      </c>
      <c r="B179" s="17">
        <v>40.034999999999997</v>
      </c>
      <c r="C179" s="17">
        <v>30.716129032258074</v>
      </c>
      <c r="D179" s="45">
        <v>40.354999999999997</v>
      </c>
      <c r="E179" s="45">
        <v>30.266249999999999</v>
      </c>
      <c r="F179" s="45">
        <f t="shared" si="69"/>
        <v>29.182848837209299</v>
      </c>
      <c r="G179" s="12">
        <f t="shared" si="87"/>
        <v>35.017338709677418</v>
      </c>
      <c r="H179" s="12">
        <f t="shared" si="70"/>
        <v>35.017338709677418</v>
      </c>
      <c r="I179" s="12">
        <f t="shared" si="71"/>
        <v>35.260053488372087</v>
      </c>
      <c r="K179" s="46">
        <v>4.0926579156064253</v>
      </c>
      <c r="M179" s="137">
        <v>1.3072232903730001</v>
      </c>
      <c r="N179" s="137">
        <v>6.4744973010663009E-2</v>
      </c>
      <c r="O179" s="14">
        <f t="shared" ca="1" si="72"/>
        <v>0.42980036717195585</v>
      </c>
      <c r="Q179" s="12">
        <f t="shared" si="65"/>
        <v>52.334684430083058</v>
      </c>
      <c r="R179" s="12">
        <f t="shared" si="73"/>
        <v>40.152839261070035</v>
      </c>
      <c r="S179" s="12">
        <f t="shared" si="74"/>
        <v>45.775480728170344</v>
      </c>
      <c r="T179" s="12">
        <f t="shared" si="84"/>
        <v>38.148499679434622</v>
      </c>
      <c r="V179" s="15">
        <f t="shared" si="85"/>
        <v>6</v>
      </c>
      <c r="W179" s="15">
        <f t="shared" si="66"/>
        <v>25</v>
      </c>
      <c r="X179" s="32">
        <f t="shared" si="89"/>
        <v>31</v>
      </c>
      <c r="Y179" s="44">
        <v>4</v>
      </c>
      <c r="Z179" s="44">
        <v>5</v>
      </c>
      <c r="AA179" s="32">
        <f t="shared" si="91"/>
        <v>9</v>
      </c>
      <c r="AB179" s="32">
        <f t="shared" si="91"/>
        <v>22</v>
      </c>
      <c r="AC179">
        <v>1</v>
      </c>
      <c r="AD179">
        <f t="shared" si="86"/>
        <v>744</v>
      </c>
      <c r="AE179">
        <f t="shared" si="67"/>
        <v>400</v>
      </c>
      <c r="AF179">
        <f t="shared" si="68"/>
        <v>344</v>
      </c>
      <c r="AH179">
        <f t="shared" si="75"/>
        <v>744</v>
      </c>
      <c r="AI179">
        <f t="shared" si="76"/>
        <v>352</v>
      </c>
      <c r="AJ179">
        <f t="shared" si="77"/>
        <v>286</v>
      </c>
      <c r="AK179">
        <f t="shared" si="88"/>
        <v>308</v>
      </c>
      <c r="AL179">
        <f t="shared" si="78"/>
        <v>176</v>
      </c>
      <c r="AM179">
        <f t="shared" si="79"/>
        <v>216</v>
      </c>
      <c r="AO179" s="130">
        <f t="shared" si="80"/>
        <v>0.4731182795698925</v>
      </c>
      <c r="AP179" s="130">
        <f t="shared" si="81"/>
        <v>0.23655913978494625</v>
      </c>
      <c r="AQ179" s="130">
        <f t="shared" si="82"/>
        <v>0.29032258064516125</v>
      </c>
      <c r="AR179" s="66">
        <f t="shared" si="83"/>
        <v>0.5268817204301075</v>
      </c>
    </row>
    <row r="180" spans="1:44" x14ac:dyDescent="0.2">
      <c r="A180" s="10">
        <v>41640</v>
      </c>
      <c r="B180" s="17">
        <v>36.049999999999997</v>
      </c>
      <c r="C180" s="17">
        <v>28.924193548387098</v>
      </c>
      <c r="D180" s="45">
        <v>36.200000000000003</v>
      </c>
      <c r="E180" s="45">
        <v>27.15</v>
      </c>
      <c r="F180" s="45">
        <f t="shared" si="69"/>
        <v>27.167073170731705</v>
      </c>
      <c r="G180" s="12">
        <f t="shared" si="87"/>
        <v>32.133870967741935</v>
      </c>
      <c r="H180" s="12">
        <f t="shared" si="70"/>
        <v>32.133870967741935</v>
      </c>
      <c r="I180" s="12">
        <f t="shared" si="71"/>
        <v>32.141512195121948</v>
      </c>
      <c r="K180" s="46">
        <v>4.3540713341975943</v>
      </c>
      <c r="M180" s="137">
        <v>1.3064422545000003</v>
      </c>
      <c r="N180" s="137">
        <v>6.4765278335724999E-2</v>
      </c>
      <c r="O180" s="14">
        <f t="shared" ca="1" si="72"/>
        <v>0.42740597449361223</v>
      </c>
      <c r="Q180" s="12">
        <f t="shared" si="65"/>
        <v>47.09724327472501</v>
      </c>
      <c r="R180" s="12">
        <f t="shared" si="73"/>
        <v>37.787788628949201</v>
      </c>
      <c r="S180" s="12">
        <f t="shared" si="74"/>
        <v>41.981046832908881</v>
      </c>
      <c r="T180" s="12">
        <f t="shared" si="84"/>
        <v>35.492212321337199</v>
      </c>
      <c r="V180" s="15">
        <f t="shared" si="85"/>
        <v>5</v>
      </c>
      <c r="W180" s="15">
        <f t="shared" si="66"/>
        <v>26</v>
      </c>
      <c r="X180" s="32">
        <f t="shared" si="89"/>
        <v>31</v>
      </c>
      <c r="Y180" s="32"/>
      <c r="Z180" s="43">
        <v>4</v>
      </c>
      <c r="AA180" s="32">
        <f t="shared" ref="AA180:AB195" si="92">AA168</f>
        <v>10</v>
      </c>
      <c r="AB180" s="32">
        <f t="shared" si="92"/>
        <v>21</v>
      </c>
      <c r="AC180">
        <v>1</v>
      </c>
      <c r="AD180">
        <f t="shared" si="86"/>
        <v>744</v>
      </c>
      <c r="AE180">
        <f t="shared" si="67"/>
        <v>416</v>
      </c>
      <c r="AF180">
        <f t="shared" si="68"/>
        <v>328</v>
      </c>
      <c r="AH180">
        <f t="shared" si="75"/>
        <v>744</v>
      </c>
      <c r="AI180">
        <f t="shared" si="76"/>
        <v>336</v>
      </c>
      <c r="AJ180">
        <f t="shared" si="77"/>
        <v>273</v>
      </c>
      <c r="AK180">
        <f t="shared" si="88"/>
        <v>294</v>
      </c>
      <c r="AL180">
        <f t="shared" si="78"/>
        <v>168</v>
      </c>
      <c r="AM180">
        <f t="shared" si="79"/>
        <v>240</v>
      </c>
      <c r="AO180" s="130">
        <f t="shared" si="80"/>
        <v>0.45161290322580644</v>
      </c>
      <c r="AP180" s="130">
        <f t="shared" si="81"/>
        <v>0.22580645161290322</v>
      </c>
      <c r="AQ180" s="130">
        <f t="shared" si="82"/>
        <v>0.32258064516129037</v>
      </c>
      <c r="AR180" s="66">
        <f t="shared" si="83"/>
        <v>0.54838709677419362</v>
      </c>
    </row>
    <row r="181" spans="1:44" x14ac:dyDescent="0.2">
      <c r="A181" s="10">
        <v>41671</v>
      </c>
      <c r="B181" s="17">
        <v>35.549999999999997</v>
      </c>
      <c r="C181" s="17">
        <v>27.042857142857141</v>
      </c>
      <c r="D181" s="45">
        <v>35.200000000000003</v>
      </c>
      <c r="E181" s="45">
        <v>26.4</v>
      </c>
      <c r="F181" s="45">
        <f t="shared" si="69"/>
        <v>26.899999999999995</v>
      </c>
      <c r="G181" s="12">
        <f t="shared" si="87"/>
        <v>31.842857142857138</v>
      </c>
      <c r="H181" s="12">
        <f t="shared" si="70"/>
        <v>31.842857142857138</v>
      </c>
      <c r="I181" s="12">
        <f t="shared" si="71"/>
        <v>31.744</v>
      </c>
      <c r="K181" s="46">
        <v>4.2479885236335946</v>
      </c>
      <c r="M181" s="137">
        <v>1.3056653817280002</v>
      </c>
      <c r="N181" s="137">
        <v>6.4785583660924018E-2</v>
      </c>
      <c r="O181" s="14">
        <f t="shared" ca="1" si="72"/>
        <v>0.42502354613682231</v>
      </c>
      <c r="Q181" s="12">
        <f t="shared" si="65"/>
        <v>46.416404320430402</v>
      </c>
      <c r="R181" s="12">
        <f t="shared" si="73"/>
        <v>35.308922394444345</v>
      </c>
      <c r="S181" s="12">
        <f t="shared" si="74"/>
        <v>41.576116226738741</v>
      </c>
      <c r="T181" s="12">
        <f t="shared" si="84"/>
        <v>35.122398768483201</v>
      </c>
      <c r="V181" s="15">
        <f t="shared" si="85"/>
        <v>4</v>
      </c>
      <c r="W181" s="15">
        <f t="shared" si="66"/>
        <v>24</v>
      </c>
      <c r="X181" s="32">
        <f t="shared" si="89"/>
        <v>28</v>
      </c>
      <c r="Y181" s="32"/>
      <c r="Z181" s="44">
        <v>4</v>
      </c>
      <c r="AA181" s="32">
        <f t="shared" si="92"/>
        <v>8</v>
      </c>
      <c r="AB181" s="32">
        <f t="shared" si="92"/>
        <v>20</v>
      </c>
      <c r="AD181">
        <f t="shared" si="86"/>
        <v>672</v>
      </c>
      <c r="AE181">
        <f t="shared" si="67"/>
        <v>384</v>
      </c>
      <c r="AF181">
        <f t="shared" si="68"/>
        <v>288</v>
      </c>
      <c r="AH181">
        <f t="shared" si="75"/>
        <v>672</v>
      </c>
      <c r="AI181">
        <f t="shared" si="76"/>
        <v>320</v>
      </c>
      <c r="AJ181">
        <f t="shared" si="77"/>
        <v>260</v>
      </c>
      <c r="AK181">
        <f t="shared" si="88"/>
        <v>280</v>
      </c>
      <c r="AL181">
        <f t="shared" si="78"/>
        <v>160</v>
      </c>
      <c r="AM181">
        <f t="shared" si="79"/>
        <v>192</v>
      </c>
      <c r="AO181" s="130">
        <f t="shared" si="80"/>
        <v>0.47619047619047616</v>
      </c>
      <c r="AP181" s="130">
        <f t="shared" si="81"/>
        <v>0.23809523809523808</v>
      </c>
      <c r="AQ181" s="130">
        <f t="shared" si="82"/>
        <v>0.28571428571428581</v>
      </c>
      <c r="AR181" s="66">
        <f t="shared" si="83"/>
        <v>0.52380952380952395</v>
      </c>
    </row>
    <row r="182" spans="1:44" x14ac:dyDescent="0.2">
      <c r="A182" s="10">
        <v>41699</v>
      </c>
      <c r="B182" s="17">
        <v>33.022500000000001</v>
      </c>
      <c r="C182" s="17">
        <v>26.012903225806454</v>
      </c>
      <c r="D182" s="45">
        <v>33.152500000000003</v>
      </c>
      <c r="E182" s="45">
        <v>24.864374999999999</v>
      </c>
      <c r="F182" s="45">
        <f t="shared" si="69"/>
        <v>25.7327743902439</v>
      </c>
      <c r="G182" s="12">
        <f t="shared" si="87"/>
        <v>29.80875</v>
      </c>
      <c r="H182" s="12">
        <f t="shared" si="70"/>
        <v>29.80875</v>
      </c>
      <c r="I182" s="12">
        <f t="shared" si="71"/>
        <v>29.815020731707317</v>
      </c>
      <c r="K182" s="46">
        <v>4.1000103099779199</v>
      </c>
      <c r="M182" s="137">
        <v>1.3049672627000002</v>
      </c>
      <c r="N182" s="137">
        <v>6.4803923954770012E-2</v>
      </c>
      <c r="O182" s="14">
        <f t="shared" ca="1" si="72"/>
        <v>0.42288191629180938</v>
      </c>
      <c r="Q182" s="12">
        <f t="shared" si="65"/>
        <v>43.093281432510757</v>
      </c>
      <c r="R182" s="12">
        <f t="shared" si="73"/>
        <v>33.945987117460653</v>
      </c>
      <c r="S182" s="12">
        <f t="shared" si="74"/>
        <v>38.899442892008629</v>
      </c>
      <c r="T182" s="12">
        <f t="shared" si="84"/>
        <v>33.58042815771325</v>
      </c>
      <c r="V182" s="15">
        <f t="shared" si="85"/>
        <v>5</v>
      </c>
      <c r="W182" s="15">
        <f t="shared" si="66"/>
        <v>26</v>
      </c>
      <c r="X182" s="32">
        <f t="shared" si="89"/>
        <v>31</v>
      </c>
      <c r="Y182" s="32"/>
      <c r="Z182" s="44">
        <v>5</v>
      </c>
      <c r="AA182" s="32">
        <f t="shared" si="92"/>
        <v>8</v>
      </c>
      <c r="AB182" s="32">
        <f t="shared" si="92"/>
        <v>23</v>
      </c>
      <c r="AD182">
        <f t="shared" si="86"/>
        <v>744</v>
      </c>
      <c r="AE182">
        <f t="shared" si="67"/>
        <v>416</v>
      </c>
      <c r="AF182">
        <f t="shared" si="68"/>
        <v>328</v>
      </c>
      <c r="AH182">
        <f t="shared" si="75"/>
        <v>744</v>
      </c>
      <c r="AI182">
        <f t="shared" si="76"/>
        <v>368</v>
      </c>
      <c r="AJ182">
        <f t="shared" si="77"/>
        <v>299</v>
      </c>
      <c r="AK182">
        <f t="shared" si="88"/>
        <v>322</v>
      </c>
      <c r="AL182">
        <f t="shared" si="78"/>
        <v>184</v>
      </c>
      <c r="AM182">
        <f t="shared" si="79"/>
        <v>192</v>
      </c>
      <c r="AO182" s="130">
        <f t="shared" si="80"/>
        <v>0.4946236559139785</v>
      </c>
      <c r="AP182" s="130">
        <f t="shared" si="81"/>
        <v>0.24731182795698925</v>
      </c>
      <c r="AQ182" s="130">
        <f t="shared" si="82"/>
        <v>0.25806451612903225</v>
      </c>
      <c r="AR182" s="66">
        <f t="shared" si="83"/>
        <v>0.5053763440860215</v>
      </c>
    </row>
    <row r="183" spans="1:44" x14ac:dyDescent="0.2">
      <c r="A183" s="10">
        <v>41730</v>
      </c>
      <c r="B183" s="17">
        <v>30.63</v>
      </c>
      <c r="C183" s="17">
        <v>23.104166666666668</v>
      </c>
      <c r="D183" s="45">
        <v>30.7</v>
      </c>
      <c r="E183" s="45">
        <v>23.024999999999999</v>
      </c>
      <c r="F183" s="45">
        <f t="shared" si="69"/>
        <v>23.087499999999999</v>
      </c>
      <c r="G183" s="12">
        <f t="shared" si="87"/>
        <v>27.445388888888889</v>
      </c>
      <c r="H183" s="12">
        <f t="shared" si="70"/>
        <v>27.445388888888889</v>
      </c>
      <c r="I183" s="12">
        <f t="shared" si="71"/>
        <v>27.311300000000003</v>
      </c>
      <c r="K183" s="46">
        <v>3.9519670972343555</v>
      </c>
      <c r="M183" s="137">
        <v>1.3041982941250001</v>
      </c>
      <c r="N183" s="137">
        <v>6.4824229280229004E-2</v>
      </c>
      <c r="O183" s="14">
        <f t="shared" ca="1" si="72"/>
        <v>0.42052211719876537</v>
      </c>
      <c r="Q183" s="12">
        <f t="shared" si="65"/>
        <v>39.94759374904875</v>
      </c>
      <c r="R183" s="12">
        <f t="shared" si="73"/>
        <v>30.132414753846358</v>
      </c>
      <c r="S183" s="12">
        <f t="shared" si="74"/>
        <v>35.794229370486121</v>
      </c>
      <c r="T183" s="12">
        <f t="shared" si="84"/>
        <v>30.110678115610938</v>
      </c>
      <c r="V183" s="15">
        <f t="shared" si="85"/>
        <v>4</v>
      </c>
      <c r="W183" s="15">
        <f t="shared" si="66"/>
        <v>26</v>
      </c>
      <c r="X183" s="32">
        <f t="shared" si="89"/>
        <v>30</v>
      </c>
      <c r="Y183" s="32"/>
      <c r="Z183" s="44">
        <v>4</v>
      </c>
      <c r="AA183" s="32">
        <f t="shared" si="92"/>
        <v>9</v>
      </c>
      <c r="AB183" s="32">
        <f t="shared" si="92"/>
        <v>21</v>
      </c>
      <c r="AD183">
        <f t="shared" si="86"/>
        <v>720</v>
      </c>
      <c r="AE183">
        <f t="shared" si="67"/>
        <v>416</v>
      </c>
      <c r="AF183">
        <f t="shared" si="68"/>
        <v>304</v>
      </c>
      <c r="AH183">
        <f t="shared" si="75"/>
        <v>720</v>
      </c>
      <c r="AI183">
        <f t="shared" si="76"/>
        <v>336</v>
      </c>
      <c r="AJ183">
        <f t="shared" si="77"/>
        <v>273</v>
      </c>
      <c r="AK183">
        <f t="shared" si="88"/>
        <v>294</v>
      </c>
      <c r="AL183">
        <f t="shared" si="78"/>
        <v>168</v>
      </c>
      <c r="AM183">
        <f t="shared" si="79"/>
        <v>216</v>
      </c>
      <c r="AO183" s="130">
        <f t="shared" si="80"/>
        <v>0.46666666666666667</v>
      </c>
      <c r="AP183" s="130">
        <f t="shared" si="81"/>
        <v>0.23333333333333334</v>
      </c>
      <c r="AQ183" s="130">
        <f t="shared" si="82"/>
        <v>0.30000000000000004</v>
      </c>
      <c r="AR183" s="66">
        <f t="shared" si="83"/>
        <v>0.53333333333333344</v>
      </c>
    </row>
    <row r="184" spans="1:44" x14ac:dyDescent="0.2">
      <c r="A184" s="10">
        <v>41760</v>
      </c>
      <c r="B184" s="17">
        <v>29.38</v>
      </c>
      <c r="C184" s="17">
        <v>12.49193548387097</v>
      </c>
      <c r="D184" s="45">
        <v>28.8</v>
      </c>
      <c r="E184" s="45">
        <v>21.6</v>
      </c>
      <c r="F184" s="45">
        <f t="shared" si="69"/>
        <v>13.659756097560974</v>
      </c>
      <c r="G184" s="12">
        <f t="shared" si="87"/>
        <v>22.449569892473118</v>
      </c>
      <c r="H184" s="12">
        <f t="shared" si="70"/>
        <v>22.449569892473118</v>
      </c>
      <c r="I184" s="12">
        <f t="shared" si="71"/>
        <v>22.463092682926828</v>
      </c>
      <c r="K184" s="46">
        <v>3.9321627162777189</v>
      </c>
      <c r="M184" s="137">
        <v>1.303458075819</v>
      </c>
      <c r="N184" s="137">
        <v>6.4843879595320009E-2</v>
      </c>
      <c r="O184" s="14">
        <f t="shared" ca="1" si="72"/>
        <v>0.41824969149157326</v>
      </c>
      <c r="Q184" s="12">
        <f t="shared" si="65"/>
        <v>38.29559826756222</v>
      </c>
      <c r="R184" s="12">
        <f t="shared" si="73"/>
        <v>16.282714189061544</v>
      </c>
      <c r="S184" s="12">
        <f t="shared" si="74"/>
        <v>29.262073175007163</v>
      </c>
      <c r="T184" s="12">
        <f t="shared" si="84"/>
        <v>17.80491939908368</v>
      </c>
      <c r="V184" s="15">
        <f t="shared" si="85"/>
        <v>5</v>
      </c>
      <c r="W184" s="15">
        <f t="shared" si="66"/>
        <v>26</v>
      </c>
      <c r="X184" s="32">
        <f t="shared" si="89"/>
        <v>31</v>
      </c>
      <c r="Y184" s="32"/>
      <c r="Z184" s="44">
        <v>4</v>
      </c>
      <c r="AA184" s="32">
        <f t="shared" si="92"/>
        <v>9</v>
      </c>
      <c r="AB184" s="32">
        <f t="shared" si="92"/>
        <v>22</v>
      </c>
      <c r="AC184">
        <v>1</v>
      </c>
      <c r="AD184">
        <f t="shared" si="86"/>
        <v>744</v>
      </c>
      <c r="AE184">
        <f t="shared" si="67"/>
        <v>416</v>
      </c>
      <c r="AF184">
        <f t="shared" si="68"/>
        <v>328</v>
      </c>
      <c r="AH184">
        <f t="shared" si="75"/>
        <v>744</v>
      </c>
      <c r="AI184">
        <f t="shared" si="76"/>
        <v>352</v>
      </c>
      <c r="AJ184">
        <f t="shared" si="77"/>
        <v>286</v>
      </c>
      <c r="AK184">
        <f t="shared" si="88"/>
        <v>308</v>
      </c>
      <c r="AL184">
        <f t="shared" si="78"/>
        <v>176</v>
      </c>
      <c r="AM184">
        <f t="shared" si="79"/>
        <v>216</v>
      </c>
      <c r="AO184" s="130">
        <f t="shared" si="80"/>
        <v>0.4731182795698925</v>
      </c>
      <c r="AP184" s="130">
        <f t="shared" si="81"/>
        <v>0.23655913978494625</v>
      </c>
      <c r="AQ184" s="130">
        <f t="shared" si="82"/>
        <v>0.29032258064516125</v>
      </c>
      <c r="AR184" s="66">
        <f t="shared" si="83"/>
        <v>0.5268817204301075</v>
      </c>
    </row>
    <row r="185" spans="1:44" x14ac:dyDescent="0.2">
      <c r="A185" s="10">
        <v>41791</v>
      </c>
      <c r="B185" s="17">
        <v>29.63</v>
      </c>
      <c r="C185" s="17">
        <v>12.516666666666669</v>
      </c>
      <c r="D185" s="45">
        <v>29.7</v>
      </c>
      <c r="E185" s="45">
        <v>22.274999999999999</v>
      </c>
      <c r="F185" s="45">
        <f t="shared" si="69"/>
        <v>14.956250000000001</v>
      </c>
      <c r="G185" s="12">
        <f t="shared" si="87"/>
        <v>23.108333333333334</v>
      </c>
      <c r="H185" s="12">
        <f t="shared" si="70"/>
        <v>23.108333333333334</v>
      </c>
      <c r="I185" s="12">
        <f t="shared" si="71"/>
        <v>23.173549999999999</v>
      </c>
      <c r="K185" s="46">
        <v>4.0401970695458687</v>
      </c>
      <c r="M185" s="137">
        <v>1.302697253254</v>
      </c>
      <c r="N185" s="137">
        <v>6.4864184921048007E-2</v>
      </c>
      <c r="O185" s="14">
        <f t="shared" ca="1" si="72"/>
        <v>0.41591309468632393</v>
      </c>
      <c r="Q185" s="12">
        <f t="shared" si="65"/>
        <v>38.598919613916017</v>
      </c>
      <c r="R185" s="12">
        <f t="shared" si="73"/>
        <v>16.305427286562569</v>
      </c>
      <c r="S185" s="12">
        <f t="shared" si="74"/>
        <v>30.103162360611183</v>
      </c>
      <c r="T185" s="12">
        <f t="shared" si="84"/>
        <v>19.483465793980137</v>
      </c>
      <c r="V185" s="15">
        <f t="shared" si="85"/>
        <v>5</v>
      </c>
      <c r="W185" s="15">
        <f t="shared" si="66"/>
        <v>25</v>
      </c>
      <c r="X185" s="32">
        <f t="shared" si="89"/>
        <v>30</v>
      </c>
      <c r="Y185" s="32"/>
      <c r="Z185" s="44">
        <v>5</v>
      </c>
      <c r="AA185" s="32">
        <f t="shared" si="92"/>
        <v>8</v>
      </c>
      <c r="AB185" s="32">
        <f t="shared" si="92"/>
        <v>22</v>
      </c>
      <c r="AD185">
        <f t="shared" si="86"/>
        <v>720</v>
      </c>
      <c r="AE185">
        <f t="shared" si="67"/>
        <v>400</v>
      </c>
      <c r="AF185">
        <f t="shared" si="68"/>
        <v>320</v>
      </c>
      <c r="AH185">
        <f t="shared" si="75"/>
        <v>720</v>
      </c>
      <c r="AI185">
        <f t="shared" si="76"/>
        <v>352</v>
      </c>
      <c r="AJ185">
        <f t="shared" si="77"/>
        <v>286</v>
      </c>
      <c r="AK185">
        <f t="shared" si="88"/>
        <v>308</v>
      </c>
      <c r="AL185">
        <f t="shared" si="78"/>
        <v>176</v>
      </c>
      <c r="AM185">
        <f t="shared" si="79"/>
        <v>192</v>
      </c>
      <c r="AO185" s="130">
        <f t="shared" si="80"/>
        <v>0.48888888888888887</v>
      </c>
      <c r="AP185" s="130">
        <f t="shared" si="81"/>
        <v>0.24444444444444444</v>
      </c>
      <c r="AQ185" s="130">
        <f t="shared" si="82"/>
        <v>0.26666666666666672</v>
      </c>
      <c r="AR185" s="66">
        <f t="shared" si="83"/>
        <v>0.51111111111111118</v>
      </c>
    </row>
    <row r="186" spans="1:44" x14ac:dyDescent="0.2">
      <c r="A186" s="10">
        <v>41821</v>
      </c>
      <c r="B186" s="17">
        <v>49.38</v>
      </c>
      <c r="C186" s="17">
        <v>26.145161290322587</v>
      </c>
      <c r="D186" s="45">
        <v>49.2</v>
      </c>
      <c r="E186" s="45">
        <v>37.274999999999999</v>
      </c>
      <c r="F186" s="45">
        <f t="shared" si="69"/>
        <v>27.041463414634144</v>
      </c>
      <c r="G186" s="12">
        <f t="shared" si="87"/>
        <v>39.531827956989247</v>
      </c>
      <c r="H186" s="12">
        <f t="shared" si="70"/>
        <v>39.531827956989247</v>
      </c>
      <c r="I186" s="12">
        <f t="shared" si="71"/>
        <v>39.551043902439027</v>
      </c>
      <c r="K186" s="46">
        <v>4.0253434181156695</v>
      </c>
      <c r="M186" s="137">
        <v>1.3019649054380003</v>
      </c>
      <c r="N186" s="137">
        <v>6.4883835236399012E-2</v>
      </c>
      <c r="O186" s="14">
        <f t="shared" ca="1" si="72"/>
        <v>0.4136630277970853</v>
      </c>
      <c r="Q186" s="12">
        <f t="shared" si="65"/>
        <v>64.291027030528454</v>
      </c>
      <c r="R186" s="12">
        <f t="shared" si="73"/>
        <v>34.040082447016111</v>
      </c>
      <c r="S186" s="12">
        <f t="shared" si="74"/>
        <v>51.469052647812802</v>
      </c>
      <c r="T186" s="12">
        <f t="shared" si="84"/>
        <v>35.207036357539288</v>
      </c>
      <c r="V186" s="15">
        <f t="shared" si="85"/>
        <v>5</v>
      </c>
      <c r="W186" s="15">
        <f t="shared" si="66"/>
        <v>26</v>
      </c>
      <c r="X186" s="32">
        <f t="shared" si="89"/>
        <v>31</v>
      </c>
      <c r="Y186" s="32"/>
      <c r="Z186" s="44">
        <v>4</v>
      </c>
      <c r="AA186" s="32">
        <f t="shared" si="92"/>
        <v>10</v>
      </c>
      <c r="AB186" s="32">
        <f t="shared" si="92"/>
        <v>21</v>
      </c>
      <c r="AC186">
        <v>1</v>
      </c>
      <c r="AD186">
        <f t="shared" si="86"/>
        <v>744</v>
      </c>
      <c r="AE186">
        <f t="shared" si="67"/>
        <v>416</v>
      </c>
      <c r="AF186">
        <f t="shared" si="68"/>
        <v>328</v>
      </c>
      <c r="AH186">
        <f t="shared" si="75"/>
        <v>744</v>
      </c>
      <c r="AI186">
        <f t="shared" si="76"/>
        <v>336</v>
      </c>
      <c r="AJ186">
        <f t="shared" si="77"/>
        <v>273</v>
      </c>
      <c r="AK186">
        <f t="shared" si="88"/>
        <v>294</v>
      </c>
      <c r="AL186">
        <f t="shared" si="78"/>
        <v>168</v>
      </c>
      <c r="AM186">
        <f t="shared" si="79"/>
        <v>240</v>
      </c>
      <c r="AO186" s="130">
        <f t="shared" si="80"/>
        <v>0.45161290322580644</v>
      </c>
      <c r="AP186" s="130">
        <f t="shared" si="81"/>
        <v>0.22580645161290322</v>
      </c>
      <c r="AQ186" s="130">
        <f t="shared" si="82"/>
        <v>0.32258064516129037</v>
      </c>
      <c r="AR186" s="66">
        <f t="shared" si="83"/>
        <v>0.54838709677419362</v>
      </c>
    </row>
    <row r="187" spans="1:44" x14ac:dyDescent="0.2">
      <c r="A187" s="10">
        <v>41852</v>
      </c>
      <c r="B187" s="17">
        <v>66.88</v>
      </c>
      <c r="C187" s="17">
        <v>28.112903225806459</v>
      </c>
      <c r="D187" s="45">
        <v>67.95</v>
      </c>
      <c r="E187" s="45">
        <v>51.15</v>
      </c>
      <c r="F187" s="45">
        <f t="shared" si="69"/>
        <v>33.73170731707318</v>
      </c>
      <c r="G187" s="12">
        <f t="shared" si="87"/>
        <v>52.266236559139784</v>
      </c>
      <c r="H187" s="12">
        <f t="shared" si="70"/>
        <v>52.266236559139784</v>
      </c>
      <c r="I187" s="12">
        <f t="shared" si="71"/>
        <v>52.2947512195122</v>
      </c>
      <c r="K187" s="46">
        <v>4.0228362902392902</v>
      </c>
      <c r="M187" s="137">
        <v>1.3012122026170001</v>
      </c>
      <c r="N187" s="137">
        <v>6.4904140562396004E-2</v>
      </c>
      <c r="O187" s="14">
        <f t="shared" ca="1" si="72"/>
        <v>0.41134943725159023</v>
      </c>
      <c r="Q187" s="12">
        <f t="shared" si="65"/>
        <v>87.025072111024954</v>
      </c>
      <c r="R187" s="12">
        <f t="shared" si="73"/>
        <v>36.580852728410193</v>
      </c>
      <c r="S187" s="12">
        <f t="shared" si="74"/>
        <v>68.009464795619451</v>
      </c>
      <c r="T187" s="12">
        <f t="shared" si="84"/>
        <v>43.892109176080773</v>
      </c>
      <c r="V187" s="15">
        <f t="shared" si="85"/>
        <v>5</v>
      </c>
      <c r="W187" s="15">
        <f t="shared" si="66"/>
        <v>26</v>
      </c>
      <c r="X187" s="32">
        <f t="shared" si="89"/>
        <v>31</v>
      </c>
      <c r="Y187" s="32"/>
      <c r="Z187" s="44">
        <v>5</v>
      </c>
      <c r="AA187" s="32">
        <f t="shared" si="92"/>
        <v>8</v>
      </c>
      <c r="AB187" s="32">
        <f t="shared" si="92"/>
        <v>23</v>
      </c>
      <c r="AD187">
        <f t="shared" si="86"/>
        <v>744</v>
      </c>
      <c r="AE187">
        <f t="shared" si="67"/>
        <v>416</v>
      </c>
      <c r="AF187">
        <f t="shared" si="68"/>
        <v>328</v>
      </c>
      <c r="AH187">
        <f t="shared" si="75"/>
        <v>744</v>
      </c>
      <c r="AI187">
        <f t="shared" si="76"/>
        <v>368</v>
      </c>
      <c r="AJ187">
        <f t="shared" si="77"/>
        <v>299</v>
      </c>
      <c r="AK187">
        <f t="shared" si="88"/>
        <v>322</v>
      </c>
      <c r="AL187">
        <f t="shared" si="78"/>
        <v>184</v>
      </c>
      <c r="AM187">
        <f t="shared" si="79"/>
        <v>192</v>
      </c>
      <c r="AO187" s="130">
        <f t="shared" si="80"/>
        <v>0.4946236559139785</v>
      </c>
      <c r="AP187" s="130">
        <f t="shared" si="81"/>
        <v>0.24731182795698925</v>
      </c>
      <c r="AQ187" s="130">
        <f t="shared" si="82"/>
        <v>0.25806451612903225</v>
      </c>
      <c r="AR187" s="66">
        <f t="shared" si="83"/>
        <v>0.5053763440860215</v>
      </c>
    </row>
    <row r="188" spans="1:44" x14ac:dyDescent="0.2">
      <c r="A188" s="10">
        <v>41883</v>
      </c>
      <c r="B188" s="17">
        <v>64.38</v>
      </c>
      <c r="C188" s="17">
        <v>26.3</v>
      </c>
      <c r="D188" s="45">
        <v>63.2</v>
      </c>
      <c r="E188" s="45">
        <v>47.587499999999999</v>
      </c>
      <c r="F188" s="45">
        <f t="shared" si="69"/>
        <v>29.242499999999996</v>
      </c>
      <c r="G188" s="12">
        <f t="shared" si="87"/>
        <v>48.763333333333328</v>
      </c>
      <c r="H188" s="12">
        <f t="shared" si="70"/>
        <v>48.763333333333328</v>
      </c>
      <c r="I188" s="12">
        <f t="shared" si="71"/>
        <v>48.919499999999992</v>
      </c>
      <c r="K188" s="46">
        <v>4.000511959373922</v>
      </c>
      <c r="M188" s="137">
        <v>1.3004636162540002</v>
      </c>
      <c r="N188" s="137">
        <v>6.4924445888530011E-2</v>
      </c>
      <c r="O188" s="14">
        <f t="shared" ca="1" si="72"/>
        <v>0.40904746370017447</v>
      </c>
      <c r="Q188" s="12">
        <f t="shared" si="65"/>
        <v>83.723847614432529</v>
      </c>
      <c r="R188" s="12">
        <f t="shared" si="73"/>
        <v>34.202193107480205</v>
      </c>
      <c r="S188" s="12">
        <f t="shared" si="74"/>
        <v>63.414940807265893</v>
      </c>
      <c r="T188" s="12">
        <f t="shared" si="84"/>
        <v>38.028807298307598</v>
      </c>
      <c r="V188" s="15">
        <f t="shared" si="85"/>
        <v>5</v>
      </c>
      <c r="W188" s="15">
        <f t="shared" si="66"/>
        <v>25</v>
      </c>
      <c r="X188" s="32">
        <f t="shared" si="89"/>
        <v>30</v>
      </c>
      <c r="Y188" s="32"/>
      <c r="Z188" s="44">
        <v>4</v>
      </c>
      <c r="AA188" s="32">
        <f t="shared" si="92"/>
        <v>8</v>
      </c>
      <c r="AB188" s="32">
        <f t="shared" si="92"/>
        <v>22</v>
      </c>
      <c r="AC188">
        <v>1</v>
      </c>
      <c r="AD188">
        <f t="shared" si="86"/>
        <v>720</v>
      </c>
      <c r="AE188">
        <f t="shared" si="67"/>
        <v>400</v>
      </c>
      <c r="AF188">
        <f t="shared" si="68"/>
        <v>320</v>
      </c>
      <c r="AH188">
        <f t="shared" si="75"/>
        <v>720</v>
      </c>
      <c r="AI188">
        <f t="shared" si="76"/>
        <v>352</v>
      </c>
      <c r="AJ188">
        <f t="shared" si="77"/>
        <v>286</v>
      </c>
      <c r="AK188">
        <f t="shared" si="88"/>
        <v>308</v>
      </c>
      <c r="AL188">
        <f t="shared" si="78"/>
        <v>176</v>
      </c>
      <c r="AM188">
        <f t="shared" si="79"/>
        <v>192</v>
      </c>
      <c r="AO188" s="130">
        <f t="shared" si="80"/>
        <v>0.48888888888888887</v>
      </c>
      <c r="AP188" s="130">
        <f t="shared" si="81"/>
        <v>0.24444444444444444</v>
      </c>
      <c r="AQ188" s="130">
        <f t="shared" si="82"/>
        <v>0.26666666666666672</v>
      </c>
      <c r="AR188" s="66">
        <f t="shared" si="83"/>
        <v>0.51111111111111118</v>
      </c>
    </row>
    <row r="189" spans="1:44" x14ac:dyDescent="0.2">
      <c r="A189" s="10">
        <v>41913</v>
      </c>
      <c r="B189" s="17">
        <v>40.880000000000003</v>
      </c>
      <c r="C189" s="17">
        <v>32.733870967741929</v>
      </c>
      <c r="D189" s="45">
        <v>41.45</v>
      </c>
      <c r="E189" s="45">
        <v>31.087499999999999</v>
      </c>
      <c r="F189" s="45">
        <f t="shared" si="69"/>
        <v>32.39615384615383</v>
      </c>
      <c r="G189" s="12">
        <f t="shared" si="87"/>
        <v>37.32225806451612</v>
      </c>
      <c r="H189" s="12">
        <f t="shared" si="70"/>
        <v>37.32225806451612</v>
      </c>
      <c r="I189" s="12">
        <f t="shared" si="71"/>
        <v>37.147107692307685</v>
      </c>
      <c r="K189" s="46">
        <v>4.0092674731061591</v>
      </c>
      <c r="M189" s="137">
        <v>1.2997430909720005</v>
      </c>
      <c r="N189" s="137">
        <v>6.4944096204273022E-2</v>
      </c>
      <c r="O189" s="14">
        <f t="shared" ca="1" si="72"/>
        <v>0.40683076107065885</v>
      </c>
      <c r="Q189" s="12">
        <f t="shared" si="65"/>
        <v>53.133497558935382</v>
      </c>
      <c r="R189" s="12">
        <f t="shared" si="73"/>
        <v>42.545622631091526</v>
      </c>
      <c r="S189" s="12">
        <f t="shared" si="74"/>
        <v>48.509347058828851</v>
      </c>
      <c r="T189" s="12">
        <f t="shared" si="84"/>
        <v>42.106677135604443</v>
      </c>
      <c r="V189" s="15">
        <f t="shared" si="85"/>
        <v>4</v>
      </c>
      <c r="W189" s="15">
        <f t="shared" si="66"/>
        <v>27</v>
      </c>
      <c r="X189" s="32">
        <f t="shared" si="89"/>
        <v>31</v>
      </c>
      <c r="Y189" s="32"/>
      <c r="Z189" s="44">
        <v>4</v>
      </c>
      <c r="AA189" s="32">
        <f t="shared" si="92"/>
        <v>10</v>
      </c>
      <c r="AB189" s="32">
        <f t="shared" si="92"/>
        <v>21</v>
      </c>
      <c r="AD189">
        <f t="shared" si="86"/>
        <v>744</v>
      </c>
      <c r="AE189">
        <f t="shared" si="67"/>
        <v>432</v>
      </c>
      <c r="AF189">
        <f t="shared" si="68"/>
        <v>312</v>
      </c>
      <c r="AH189">
        <f t="shared" si="75"/>
        <v>744</v>
      </c>
      <c r="AI189">
        <f t="shared" si="76"/>
        <v>336</v>
      </c>
      <c r="AJ189">
        <f t="shared" si="77"/>
        <v>273</v>
      </c>
      <c r="AK189">
        <f t="shared" si="88"/>
        <v>294</v>
      </c>
      <c r="AL189">
        <f t="shared" si="78"/>
        <v>168</v>
      </c>
      <c r="AM189">
        <f t="shared" si="79"/>
        <v>240</v>
      </c>
      <c r="AO189" s="130">
        <f t="shared" si="80"/>
        <v>0.45161290322580644</v>
      </c>
      <c r="AP189" s="130">
        <f t="shared" si="81"/>
        <v>0.22580645161290322</v>
      </c>
      <c r="AQ189" s="130">
        <f t="shared" si="82"/>
        <v>0.32258064516129037</v>
      </c>
      <c r="AR189" s="66">
        <f t="shared" si="83"/>
        <v>0.54838709677419362</v>
      </c>
    </row>
    <row r="190" spans="1:44" x14ac:dyDescent="0.2">
      <c r="A190" s="10">
        <v>41944</v>
      </c>
      <c r="B190" s="17">
        <v>39.880000000000003</v>
      </c>
      <c r="C190" s="17">
        <v>30.791666666666668</v>
      </c>
      <c r="D190" s="45">
        <v>40.200000000000003</v>
      </c>
      <c r="E190" s="45">
        <v>30.15</v>
      </c>
      <c r="F190" s="45">
        <f t="shared" si="69"/>
        <v>29.172619047619047</v>
      </c>
      <c r="G190" s="12">
        <f t="shared" si="87"/>
        <v>34.883222222222223</v>
      </c>
      <c r="H190" s="12">
        <f t="shared" si="70"/>
        <v>34.883222222222223</v>
      </c>
      <c r="I190" s="12">
        <f t="shared" si="71"/>
        <v>35.168752380952384</v>
      </c>
      <c r="K190" s="46">
        <v>4.0835452039535056</v>
      </c>
      <c r="M190" s="137">
        <v>1.2990025853020004</v>
      </c>
      <c r="N190" s="137">
        <v>6.4964401530676022E-2</v>
      </c>
      <c r="O190" s="14">
        <f t="shared" ca="1" si="72"/>
        <v>0.40455150056102945</v>
      </c>
      <c r="Q190" s="12">
        <f t="shared" si="65"/>
        <v>51.804223101843782</v>
      </c>
      <c r="R190" s="12">
        <f t="shared" si="73"/>
        <v>39.998454605757431</v>
      </c>
      <c r="S190" s="12">
        <f t="shared" si="74"/>
        <v>45.313395850330856</v>
      </c>
      <c r="T190" s="12">
        <f t="shared" si="84"/>
        <v>37.895307562887524</v>
      </c>
      <c r="V190" s="15">
        <f t="shared" si="85"/>
        <v>6</v>
      </c>
      <c r="W190" s="15">
        <f t="shared" si="66"/>
        <v>24</v>
      </c>
      <c r="X190" s="32">
        <f t="shared" si="89"/>
        <v>30</v>
      </c>
      <c r="Y190" s="32"/>
      <c r="Z190" s="44">
        <v>5</v>
      </c>
      <c r="AA190" s="32">
        <f t="shared" si="92"/>
        <v>8</v>
      </c>
      <c r="AB190" s="32">
        <f t="shared" si="92"/>
        <v>22</v>
      </c>
      <c r="AC190">
        <v>1</v>
      </c>
      <c r="AD190">
        <f t="shared" si="86"/>
        <v>720</v>
      </c>
      <c r="AE190">
        <f t="shared" si="67"/>
        <v>384</v>
      </c>
      <c r="AF190">
        <f t="shared" si="68"/>
        <v>336</v>
      </c>
      <c r="AH190">
        <f t="shared" si="75"/>
        <v>720</v>
      </c>
      <c r="AI190">
        <f t="shared" si="76"/>
        <v>352</v>
      </c>
      <c r="AJ190">
        <f t="shared" si="77"/>
        <v>286</v>
      </c>
      <c r="AK190">
        <f t="shared" si="88"/>
        <v>308</v>
      </c>
      <c r="AL190">
        <f t="shared" si="78"/>
        <v>176</v>
      </c>
      <c r="AM190">
        <f t="shared" si="79"/>
        <v>192</v>
      </c>
      <c r="AO190" s="130">
        <f t="shared" si="80"/>
        <v>0.48888888888888887</v>
      </c>
      <c r="AP190" s="130">
        <f t="shared" si="81"/>
        <v>0.24444444444444444</v>
      </c>
      <c r="AQ190" s="130">
        <f t="shared" si="82"/>
        <v>0.26666666666666672</v>
      </c>
      <c r="AR190" s="66">
        <f t="shared" si="83"/>
        <v>0.51111111111111118</v>
      </c>
    </row>
    <row r="191" spans="1:44" x14ac:dyDescent="0.2">
      <c r="A191" s="10">
        <v>41974</v>
      </c>
      <c r="B191" s="17">
        <v>40.130000000000003</v>
      </c>
      <c r="C191" s="17">
        <v>30.766129032258075</v>
      </c>
      <c r="D191" s="45">
        <v>40.450000000000003</v>
      </c>
      <c r="E191" s="45">
        <v>30.337499999999999</v>
      </c>
      <c r="F191" s="45">
        <f t="shared" si="69"/>
        <v>29.18170731707319</v>
      </c>
      <c r="G191" s="12">
        <f t="shared" si="87"/>
        <v>35.303333333333342</v>
      </c>
      <c r="H191" s="12">
        <f t="shared" si="70"/>
        <v>35.303333333333342</v>
      </c>
      <c r="I191" s="12">
        <f t="shared" si="71"/>
        <v>35.312751219512208</v>
      </c>
      <c r="K191" s="113">
        <v>4.1788530393115746</v>
      </c>
      <c r="M191" s="138">
        <v>1.2982898676619998</v>
      </c>
      <c r="N191" s="138">
        <v>6.4984051846680005E-2</v>
      </c>
      <c r="O191" s="14">
        <f t="shared" ca="1" si="72"/>
        <v>0.40235668484361981</v>
      </c>
      <c r="Q191" s="12">
        <f t="shared" si="65"/>
        <v>52.100372389276053</v>
      </c>
      <c r="R191" s="12">
        <f t="shared" si="73"/>
        <v>39.943353589762346</v>
      </c>
      <c r="S191" s="12">
        <f t="shared" si="74"/>
        <v>45.833959961360812</v>
      </c>
      <c r="T191" s="12">
        <f t="shared" si="84"/>
        <v>37.886314930834168</v>
      </c>
      <c r="V191" s="15">
        <f t="shared" si="85"/>
        <v>5</v>
      </c>
      <c r="W191" s="15">
        <f t="shared" si="66"/>
        <v>26</v>
      </c>
      <c r="X191" s="32">
        <f t="shared" si="89"/>
        <v>31</v>
      </c>
      <c r="Y191" s="32"/>
      <c r="Z191" s="44">
        <v>4</v>
      </c>
      <c r="AA191" s="32">
        <f t="shared" si="92"/>
        <v>9</v>
      </c>
      <c r="AB191" s="32">
        <f t="shared" si="92"/>
        <v>22</v>
      </c>
      <c r="AC191">
        <v>1</v>
      </c>
      <c r="AD191">
        <f t="shared" si="86"/>
        <v>744</v>
      </c>
      <c r="AE191">
        <f t="shared" si="67"/>
        <v>416</v>
      </c>
      <c r="AF191">
        <f t="shared" si="68"/>
        <v>328</v>
      </c>
      <c r="AH191">
        <f t="shared" si="75"/>
        <v>744</v>
      </c>
      <c r="AI191">
        <f t="shared" si="76"/>
        <v>352</v>
      </c>
      <c r="AJ191">
        <f t="shared" si="77"/>
        <v>286</v>
      </c>
      <c r="AK191">
        <f t="shared" si="88"/>
        <v>308</v>
      </c>
      <c r="AL191">
        <f t="shared" si="78"/>
        <v>176</v>
      </c>
      <c r="AM191">
        <f t="shared" si="79"/>
        <v>216</v>
      </c>
      <c r="AO191" s="130">
        <f t="shared" si="80"/>
        <v>0.4731182795698925</v>
      </c>
      <c r="AP191" s="130">
        <f t="shared" si="81"/>
        <v>0.23655913978494625</v>
      </c>
      <c r="AQ191" s="130">
        <f t="shared" si="82"/>
        <v>0.29032258064516125</v>
      </c>
      <c r="AR191" s="66">
        <f t="shared" si="83"/>
        <v>0.5268817204301075</v>
      </c>
    </row>
    <row r="192" spans="1:44" x14ac:dyDescent="0.2">
      <c r="A192" s="10">
        <v>42005</v>
      </c>
      <c r="B192" s="17">
        <v>36.15</v>
      </c>
      <c r="C192" s="17">
        <v>28.974193548387099</v>
      </c>
      <c r="D192" s="45">
        <v>36.299999999999997</v>
      </c>
      <c r="E192" s="45">
        <v>27.225000000000001</v>
      </c>
      <c r="F192" s="45">
        <f t="shared" si="69"/>
        <v>27.219512195121968</v>
      </c>
      <c r="G192" s="12">
        <f t="shared" si="87"/>
        <v>32.212903225806457</v>
      </c>
      <c r="H192" s="12">
        <f t="shared" si="70"/>
        <v>32.212903225806457</v>
      </c>
      <c r="I192" s="12">
        <f t="shared" si="71"/>
        <v>32.220585365853665</v>
      </c>
      <c r="K192" s="114"/>
      <c r="M192" s="131"/>
      <c r="N192" s="132"/>
      <c r="V192" s="15">
        <f t="shared" si="85"/>
        <v>5</v>
      </c>
      <c r="W192" s="15">
        <f t="shared" si="66"/>
        <v>26</v>
      </c>
      <c r="X192" s="32">
        <f t="shared" si="89"/>
        <v>31</v>
      </c>
      <c r="Y192" s="32"/>
      <c r="Z192" s="43">
        <v>4</v>
      </c>
      <c r="AA192" s="32">
        <f t="shared" si="92"/>
        <v>10</v>
      </c>
      <c r="AB192" s="32">
        <f t="shared" si="92"/>
        <v>21</v>
      </c>
      <c r="AC192">
        <v>1</v>
      </c>
      <c r="AD192">
        <f t="shared" si="86"/>
        <v>744</v>
      </c>
      <c r="AE192">
        <f t="shared" si="67"/>
        <v>416</v>
      </c>
      <c r="AF192">
        <f t="shared" si="68"/>
        <v>328</v>
      </c>
      <c r="AH192">
        <f t="shared" si="75"/>
        <v>744</v>
      </c>
      <c r="AI192">
        <f t="shared" si="76"/>
        <v>336</v>
      </c>
      <c r="AJ192">
        <f t="shared" si="77"/>
        <v>273</v>
      </c>
      <c r="AK192">
        <f t="shared" si="88"/>
        <v>294</v>
      </c>
      <c r="AL192">
        <f t="shared" si="78"/>
        <v>168</v>
      </c>
      <c r="AM192">
        <f t="shared" si="79"/>
        <v>240</v>
      </c>
      <c r="AO192" s="130">
        <f t="shared" si="80"/>
        <v>0.45161290322580644</v>
      </c>
      <c r="AP192" s="130">
        <f t="shared" si="81"/>
        <v>0.22580645161290322</v>
      </c>
      <c r="AQ192" s="130">
        <f t="shared" si="82"/>
        <v>0.32258064516129037</v>
      </c>
      <c r="AR192" s="66">
        <f t="shared" si="83"/>
        <v>0.54838709677419362</v>
      </c>
    </row>
    <row r="193" spans="1:44" x14ac:dyDescent="0.2">
      <c r="A193" s="10">
        <v>42036</v>
      </c>
      <c r="B193" s="17">
        <v>35.65</v>
      </c>
      <c r="C193" s="17">
        <v>27.092857142857142</v>
      </c>
      <c r="D193" s="45">
        <v>35.299999999999997</v>
      </c>
      <c r="E193" s="45">
        <v>26.475000000000001</v>
      </c>
      <c r="F193" s="45">
        <f t="shared" si="69"/>
        <v>26.955555555555545</v>
      </c>
      <c r="G193" s="12">
        <f t="shared" si="87"/>
        <v>31.923809523809517</v>
      </c>
      <c r="H193" s="12">
        <f t="shared" si="70"/>
        <v>31.923809523809517</v>
      </c>
      <c r="I193" s="12">
        <f t="shared" si="71"/>
        <v>31.824444444444438</v>
      </c>
      <c r="K193" s="114"/>
      <c r="M193" s="131"/>
      <c r="N193" s="132"/>
      <c r="V193" s="15">
        <f t="shared" si="85"/>
        <v>4</v>
      </c>
      <c r="W193" s="15">
        <f t="shared" si="66"/>
        <v>24</v>
      </c>
      <c r="X193" s="32">
        <f t="shared" si="89"/>
        <v>28</v>
      </c>
      <c r="Y193" s="32"/>
      <c r="Z193" s="44">
        <v>4</v>
      </c>
      <c r="AA193" s="32">
        <f t="shared" si="92"/>
        <v>8</v>
      </c>
      <c r="AB193" s="32">
        <f t="shared" si="92"/>
        <v>20</v>
      </c>
      <c r="AD193">
        <f t="shared" si="86"/>
        <v>672</v>
      </c>
      <c r="AE193">
        <f t="shared" si="67"/>
        <v>384</v>
      </c>
      <c r="AF193">
        <f t="shared" si="68"/>
        <v>288</v>
      </c>
      <c r="AH193">
        <f t="shared" si="75"/>
        <v>672</v>
      </c>
      <c r="AI193">
        <f t="shared" si="76"/>
        <v>320</v>
      </c>
      <c r="AJ193">
        <f t="shared" si="77"/>
        <v>260</v>
      </c>
      <c r="AK193">
        <f t="shared" si="88"/>
        <v>280</v>
      </c>
      <c r="AL193">
        <f t="shared" si="78"/>
        <v>160</v>
      </c>
      <c r="AM193">
        <f t="shared" si="79"/>
        <v>192</v>
      </c>
      <c r="AO193" s="130">
        <f t="shared" si="80"/>
        <v>0.47619047619047616</v>
      </c>
      <c r="AP193" s="130">
        <f t="shared" si="81"/>
        <v>0.23809523809523808</v>
      </c>
      <c r="AQ193" s="130">
        <f t="shared" si="82"/>
        <v>0.28571428571428581</v>
      </c>
      <c r="AR193" s="66">
        <f t="shared" si="83"/>
        <v>0.52380952380952395</v>
      </c>
    </row>
    <row r="194" spans="1:44" x14ac:dyDescent="0.2">
      <c r="A194" s="10">
        <v>42064</v>
      </c>
      <c r="B194" s="17">
        <v>33.1175</v>
      </c>
      <c r="C194" s="17">
        <v>26.062903225806455</v>
      </c>
      <c r="D194" s="45">
        <v>33.247500000000002</v>
      </c>
      <c r="E194" s="45">
        <v>24.935625000000002</v>
      </c>
      <c r="F194" s="45">
        <f t="shared" si="69"/>
        <v>25.787957317073179</v>
      </c>
      <c r="G194" s="12">
        <f t="shared" si="87"/>
        <v>29.886196236559144</v>
      </c>
      <c r="H194" s="12">
        <f t="shared" si="70"/>
        <v>29.886196236559144</v>
      </c>
      <c r="I194" s="12">
        <f t="shared" si="71"/>
        <v>29.892501219512198</v>
      </c>
      <c r="K194" s="114"/>
      <c r="M194" s="131"/>
      <c r="N194" s="132"/>
      <c r="V194" s="15">
        <f t="shared" si="85"/>
        <v>5</v>
      </c>
      <c r="W194" s="15">
        <f t="shared" si="66"/>
        <v>26</v>
      </c>
      <c r="X194" s="32">
        <f t="shared" si="89"/>
        <v>31</v>
      </c>
      <c r="Y194" s="32"/>
      <c r="Z194" s="44">
        <v>5</v>
      </c>
      <c r="AA194" s="32">
        <f t="shared" si="92"/>
        <v>8</v>
      </c>
      <c r="AB194" s="32">
        <f t="shared" si="92"/>
        <v>23</v>
      </c>
      <c r="AD194">
        <f t="shared" si="86"/>
        <v>744</v>
      </c>
      <c r="AE194">
        <f t="shared" si="67"/>
        <v>416</v>
      </c>
      <c r="AF194">
        <f t="shared" si="68"/>
        <v>328</v>
      </c>
      <c r="AH194">
        <f t="shared" si="75"/>
        <v>744</v>
      </c>
      <c r="AI194">
        <f t="shared" si="76"/>
        <v>368</v>
      </c>
      <c r="AJ194">
        <f t="shared" si="77"/>
        <v>299</v>
      </c>
      <c r="AK194">
        <f t="shared" si="88"/>
        <v>322</v>
      </c>
      <c r="AL194">
        <f t="shared" si="78"/>
        <v>184</v>
      </c>
      <c r="AM194">
        <f t="shared" si="79"/>
        <v>192</v>
      </c>
      <c r="AO194" s="130">
        <f t="shared" si="80"/>
        <v>0.4946236559139785</v>
      </c>
      <c r="AP194" s="130">
        <f t="shared" si="81"/>
        <v>0.24731182795698925</v>
      </c>
      <c r="AQ194" s="130">
        <f t="shared" si="82"/>
        <v>0.25806451612903225</v>
      </c>
      <c r="AR194" s="66">
        <f t="shared" si="83"/>
        <v>0.5053763440860215</v>
      </c>
    </row>
    <row r="195" spans="1:44" x14ac:dyDescent="0.2">
      <c r="A195" s="10">
        <v>42095</v>
      </c>
      <c r="B195" s="17">
        <v>30.725000000000001</v>
      </c>
      <c r="C195" s="17">
        <v>23.154166666666669</v>
      </c>
      <c r="D195" s="45">
        <v>30.795000000000002</v>
      </c>
      <c r="E195" s="45">
        <v>23.096250000000001</v>
      </c>
      <c r="F195" s="45">
        <f t="shared" si="69"/>
        <v>23.14197368421053</v>
      </c>
      <c r="G195" s="12">
        <f t="shared" si="87"/>
        <v>27.523277777777782</v>
      </c>
      <c r="H195" s="12">
        <f t="shared" si="70"/>
        <v>27.523277777777782</v>
      </c>
      <c r="I195" s="12">
        <f t="shared" si="71"/>
        <v>27.388468421052636</v>
      </c>
      <c r="K195" s="114"/>
      <c r="M195" s="131"/>
      <c r="N195" s="132"/>
      <c r="V195" s="15">
        <f t="shared" si="85"/>
        <v>4</v>
      </c>
      <c r="W195" s="15">
        <f t="shared" si="66"/>
        <v>26</v>
      </c>
      <c r="X195" s="32">
        <f t="shared" si="89"/>
        <v>30</v>
      </c>
      <c r="Y195" s="32"/>
      <c r="Z195" s="44">
        <v>4</v>
      </c>
      <c r="AA195" s="32">
        <f t="shared" si="92"/>
        <v>9</v>
      </c>
      <c r="AB195" s="32">
        <f t="shared" si="92"/>
        <v>21</v>
      </c>
      <c r="AD195">
        <f t="shared" si="86"/>
        <v>720</v>
      </c>
      <c r="AE195">
        <f t="shared" si="67"/>
        <v>416</v>
      </c>
      <c r="AF195">
        <f t="shared" si="68"/>
        <v>304</v>
      </c>
      <c r="AH195">
        <f t="shared" si="75"/>
        <v>720</v>
      </c>
      <c r="AI195">
        <f t="shared" si="76"/>
        <v>336</v>
      </c>
      <c r="AJ195">
        <f t="shared" si="77"/>
        <v>273</v>
      </c>
      <c r="AK195">
        <f t="shared" si="88"/>
        <v>294</v>
      </c>
      <c r="AL195">
        <f t="shared" si="78"/>
        <v>168</v>
      </c>
      <c r="AM195">
        <f t="shared" si="79"/>
        <v>216</v>
      </c>
      <c r="AO195" s="130">
        <f t="shared" si="80"/>
        <v>0.46666666666666667</v>
      </c>
      <c r="AP195" s="130">
        <f t="shared" si="81"/>
        <v>0.23333333333333334</v>
      </c>
      <c r="AQ195" s="130">
        <f t="shared" si="82"/>
        <v>0.30000000000000004</v>
      </c>
      <c r="AR195" s="66">
        <f t="shared" si="83"/>
        <v>0.53333333333333344</v>
      </c>
    </row>
    <row r="196" spans="1:44" x14ac:dyDescent="0.2">
      <c r="A196" s="10">
        <v>42125</v>
      </c>
      <c r="B196" s="17">
        <v>29.475000000000001</v>
      </c>
      <c r="C196" s="17">
        <v>12.54193548387097</v>
      </c>
      <c r="D196" s="45">
        <v>28.895</v>
      </c>
      <c r="E196" s="45">
        <v>21.671250000000001</v>
      </c>
      <c r="F196" s="45">
        <f t="shared" si="69"/>
        <v>14.081686046511635</v>
      </c>
      <c r="G196" s="12">
        <f t="shared" si="87"/>
        <v>22.357661290322582</v>
      </c>
      <c r="H196" s="12">
        <f t="shared" si="70"/>
        <v>22.357661290322582</v>
      </c>
      <c r="I196" s="12">
        <f t="shared" si="71"/>
        <v>22.701941860465123</v>
      </c>
      <c r="K196" s="114"/>
      <c r="M196" s="131"/>
      <c r="N196" s="132"/>
      <c r="V196" s="15">
        <f t="shared" si="85"/>
        <v>6</v>
      </c>
      <c r="W196" s="15">
        <f t="shared" si="66"/>
        <v>25</v>
      </c>
      <c r="X196" s="32">
        <f t="shared" si="89"/>
        <v>31</v>
      </c>
      <c r="Y196" s="32"/>
      <c r="Z196" s="44">
        <v>5</v>
      </c>
      <c r="AA196" s="32">
        <f t="shared" ref="AA196:AB203" si="93">AA184</f>
        <v>9</v>
      </c>
      <c r="AB196" s="32">
        <f t="shared" si="93"/>
        <v>22</v>
      </c>
      <c r="AC196">
        <v>1</v>
      </c>
      <c r="AD196">
        <f t="shared" si="86"/>
        <v>744</v>
      </c>
      <c r="AE196">
        <f t="shared" si="67"/>
        <v>400</v>
      </c>
      <c r="AF196">
        <f t="shared" si="68"/>
        <v>344</v>
      </c>
      <c r="AH196">
        <f t="shared" si="75"/>
        <v>744</v>
      </c>
      <c r="AI196">
        <f t="shared" si="76"/>
        <v>352</v>
      </c>
      <c r="AJ196">
        <f t="shared" si="77"/>
        <v>286</v>
      </c>
      <c r="AK196">
        <f t="shared" si="88"/>
        <v>308</v>
      </c>
      <c r="AL196">
        <f t="shared" si="78"/>
        <v>176</v>
      </c>
      <c r="AM196">
        <f t="shared" si="79"/>
        <v>216</v>
      </c>
      <c r="AO196" s="130">
        <f t="shared" si="80"/>
        <v>0.4731182795698925</v>
      </c>
      <c r="AP196" s="130">
        <f t="shared" si="81"/>
        <v>0.23655913978494625</v>
      </c>
      <c r="AQ196" s="130">
        <f t="shared" si="82"/>
        <v>0.29032258064516125</v>
      </c>
      <c r="AR196" s="66">
        <f t="shared" si="83"/>
        <v>0.5268817204301075</v>
      </c>
    </row>
    <row r="197" spans="1:44" x14ac:dyDescent="0.2">
      <c r="A197" s="10">
        <v>42156</v>
      </c>
      <c r="B197" s="17">
        <v>29.725000000000001</v>
      </c>
      <c r="C197" s="17">
        <v>12.56666666666667</v>
      </c>
      <c r="D197" s="45">
        <v>29.795000000000002</v>
      </c>
      <c r="E197" s="45">
        <v>22.346250000000001</v>
      </c>
      <c r="F197" s="45">
        <f t="shared" si="69"/>
        <v>14.625526315789479</v>
      </c>
      <c r="G197" s="12">
        <f t="shared" si="87"/>
        <v>23.349666666666671</v>
      </c>
      <c r="H197" s="12">
        <f t="shared" si="70"/>
        <v>23.349666666666671</v>
      </c>
      <c r="I197" s="12">
        <f t="shared" si="71"/>
        <v>23.081231578947371</v>
      </c>
      <c r="K197" s="115"/>
      <c r="M197" s="131"/>
      <c r="N197" s="132"/>
      <c r="V197" s="15">
        <f t="shared" si="85"/>
        <v>4</v>
      </c>
      <c r="W197" s="15">
        <f t="shared" si="66"/>
        <v>26</v>
      </c>
      <c r="X197" s="32">
        <f t="shared" si="89"/>
        <v>30</v>
      </c>
      <c r="Y197" s="32"/>
      <c r="Z197" s="44">
        <v>4</v>
      </c>
      <c r="AA197" s="32">
        <f t="shared" si="93"/>
        <v>8</v>
      </c>
      <c r="AB197" s="32">
        <f t="shared" si="93"/>
        <v>22</v>
      </c>
      <c r="AD197">
        <f t="shared" si="86"/>
        <v>720</v>
      </c>
      <c r="AE197">
        <f t="shared" si="67"/>
        <v>416</v>
      </c>
      <c r="AF197">
        <f t="shared" si="68"/>
        <v>304</v>
      </c>
      <c r="AH197">
        <f t="shared" si="75"/>
        <v>720</v>
      </c>
      <c r="AI197">
        <f t="shared" si="76"/>
        <v>352</v>
      </c>
      <c r="AJ197">
        <f t="shared" si="77"/>
        <v>286</v>
      </c>
      <c r="AK197">
        <f t="shared" si="88"/>
        <v>308</v>
      </c>
      <c r="AL197">
        <f t="shared" si="78"/>
        <v>176</v>
      </c>
      <c r="AM197">
        <f t="shared" si="79"/>
        <v>192</v>
      </c>
      <c r="AO197" s="130">
        <f t="shared" si="80"/>
        <v>0.48888888888888887</v>
      </c>
      <c r="AP197" s="130">
        <f t="shared" si="81"/>
        <v>0.24444444444444444</v>
      </c>
      <c r="AQ197" s="130">
        <f t="shared" si="82"/>
        <v>0.26666666666666672</v>
      </c>
      <c r="AR197" s="66">
        <f t="shared" si="83"/>
        <v>0.51111111111111118</v>
      </c>
    </row>
    <row r="198" spans="1:44" x14ac:dyDescent="0.2">
      <c r="A198" s="10">
        <v>42186</v>
      </c>
      <c r="B198" s="17">
        <v>49.6</v>
      </c>
      <c r="C198" s="17">
        <v>26.195161290322588</v>
      </c>
      <c r="D198" s="45">
        <v>49.42</v>
      </c>
      <c r="E198" s="45">
        <v>37.44</v>
      </c>
      <c r="F198" s="45">
        <f t="shared" si="69"/>
        <v>27.111463414634141</v>
      </c>
      <c r="G198" s="12">
        <f t="shared" si="87"/>
        <v>39.685698924731184</v>
      </c>
      <c r="H198" s="12">
        <f t="shared" si="70"/>
        <v>39.685698924731184</v>
      </c>
      <c r="I198" s="12">
        <f t="shared" si="71"/>
        <v>39.705043902439023</v>
      </c>
      <c r="K198" s="115"/>
      <c r="M198" s="131"/>
      <c r="N198" s="132"/>
      <c r="V198" s="15">
        <f t="shared" si="85"/>
        <v>5</v>
      </c>
      <c r="W198" s="15">
        <f t="shared" si="66"/>
        <v>26</v>
      </c>
      <c r="X198" s="32">
        <f t="shared" si="89"/>
        <v>31</v>
      </c>
      <c r="Y198" s="32"/>
      <c r="Z198" s="44">
        <v>4</v>
      </c>
      <c r="AA198" s="32">
        <f t="shared" si="93"/>
        <v>10</v>
      </c>
      <c r="AB198" s="32">
        <f t="shared" si="93"/>
        <v>21</v>
      </c>
      <c r="AC198">
        <v>1</v>
      </c>
      <c r="AD198">
        <f t="shared" si="86"/>
        <v>744</v>
      </c>
      <c r="AE198">
        <f t="shared" si="67"/>
        <v>416</v>
      </c>
      <c r="AF198">
        <f t="shared" si="68"/>
        <v>328</v>
      </c>
      <c r="AH198">
        <f t="shared" si="75"/>
        <v>744</v>
      </c>
      <c r="AI198">
        <f t="shared" si="76"/>
        <v>336</v>
      </c>
      <c r="AJ198">
        <f t="shared" si="77"/>
        <v>273</v>
      </c>
      <c r="AK198">
        <f t="shared" si="88"/>
        <v>294</v>
      </c>
      <c r="AL198">
        <f t="shared" si="78"/>
        <v>168</v>
      </c>
      <c r="AM198">
        <f t="shared" si="79"/>
        <v>240</v>
      </c>
      <c r="AO198" s="130">
        <f t="shared" si="80"/>
        <v>0.45161290322580644</v>
      </c>
      <c r="AP198" s="130">
        <f t="shared" si="81"/>
        <v>0.22580645161290322</v>
      </c>
      <c r="AQ198" s="130">
        <f t="shared" si="82"/>
        <v>0.32258064516129037</v>
      </c>
      <c r="AR198" s="66">
        <f t="shared" si="83"/>
        <v>0.54838709677419362</v>
      </c>
    </row>
    <row r="199" spans="1:44" x14ac:dyDescent="0.2">
      <c r="A199" s="10">
        <v>42217</v>
      </c>
      <c r="B199" s="17">
        <v>67.099999999999994</v>
      </c>
      <c r="C199" s="17">
        <v>28.16290322580646</v>
      </c>
      <c r="D199" s="45">
        <v>68.17</v>
      </c>
      <c r="E199" s="45">
        <v>51.314999999999998</v>
      </c>
      <c r="F199" s="45">
        <f t="shared" si="69"/>
        <v>33.809756097560992</v>
      </c>
      <c r="G199" s="12">
        <f t="shared" si="87"/>
        <v>52.4236559139785</v>
      </c>
      <c r="H199" s="12">
        <f t="shared" si="70"/>
        <v>52.4236559139785</v>
      </c>
      <c r="I199" s="12">
        <f t="shared" si="71"/>
        <v>52.452292682926839</v>
      </c>
      <c r="K199" s="115"/>
      <c r="M199" s="131"/>
      <c r="N199" s="132"/>
      <c r="V199" s="15">
        <f t="shared" si="85"/>
        <v>5</v>
      </c>
      <c r="W199" s="15">
        <f t="shared" si="66"/>
        <v>26</v>
      </c>
      <c r="X199" s="32">
        <f t="shared" si="89"/>
        <v>31</v>
      </c>
      <c r="Y199" s="32"/>
      <c r="Z199" s="44">
        <v>5</v>
      </c>
      <c r="AA199" s="32">
        <f t="shared" si="93"/>
        <v>8</v>
      </c>
      <c r="AB199" s="32">
        <f t="shared" si="93"/>
        <v>23</v>
      </c>
      <c r="AD199">
        <f t="shared" si="86"/>
        <v>744</v>
      </c>
      <c r="AE199">
        <f t="shared" si="67"/>
        <v>416</v>
      </c>
      <c r="AF199">
        <f t="shared" si="68"/>
        <v>328</v>
      </c>
      <c r="AH199">
        <f t="shared" si="75"/>
        <v>744</v>
      </c>
      <c r="AI199">
        <f t="shared" si="76"/>
        <v>368</v>
      </c>
      <c r="AJ199">
        <f t="shared" si="77"/>
        <v>299</v>
      </c>
      <c r="AK199">
        <f t="shared" si="88"/>
        <v>322</v>
      </c>
      <c r="AL199">
        <f t="shared" si="78"/>
        <v>184</v>
      </c>
      <c r="AM199">
        <f t="shared" si="79"/>
        <v>192</v>
      </c>
      <c r="AO199" s="130">
        <f t="shared" si="80"/>
        <v>0.4946236559139785</v>
      </c>
      <c r="AP199" s="130">
        <f t="shared" si="81"/>
        <v>0.24731182795698925</v>
      </c>
      <c r="AQ199" s="130">
        <f t="shared" si="82"/>
        <v>0.25806451612903225</v>
      </c>
      <c r="AR199" s="66">
        <f t="shared" si="83"/>
        <v>0.5053763440860215</v>
      </c>
    </row>
    <row r="200" spans="1:44" x14ac:dyDescent="0.2">
      <c r="A200" s="10">
        <v>42248</v>
      </c>
      <c r="B200" s="17">
        <v>64.474999999999994</v>
      </c>
      <c r="C200" s="17">
        <v>26.35</v>
      </c>
      <c r="D200" s="45">
        <v>63.295000000000002</v>
      </c>
      <c r="E200" s="45">
        <v>47.658749999999998</v>
      </c>
      <c r="F200" s="45">
        <f t="shared" si="69"/>
        <v>29.294250000000002</v>
      </c>
      <c r="G200" s="12">
        <f t="shared" si="87"/>
        <v>48.839111111111109</v>
      </c>
      <c r="H200" s="12">
        <f t="shared" si="70"/>
        <v>48.839111111111109</v>
      </c>
      <c r="I200" s="12">
        <f t="shared" si="71"/>
        <v>48.995469999999997</v>
      </c>
      <c r="K200" s="115"/>
      <c r="M200" s="131"/>
      <c r="N200" s="132"/>
      <c r="V200" s="15">
        <f t="shared" si="85"/>
        <v>5</v>
      </c>
      <c r="W200" s="15">
        <f t="shared" si="66"/>
        <v>25</v>
      </c>
      <c r="X200" s="32">
        <f t="shared" si="89"/>
        <v>30</v>
      </c>
      <c r="Y200" s="32"/>
      <c r="Z200" s="44">
        <v>4</v>
      </c>
      <c r="AA200" s="32">
        <f t="shared" si="93"/>
        <v>8</v>
      </c>
      <c r="AB200" s="32">
        <f t="shared" si="93"/>
        <v>22</v>
      </c>
      <c r="AC200">
        <v>1</v>
      </c>
      <c r="AD200">
        <f t="shared" si="86"/>
        <v>720</v>
      </c>
      <c r="AE200">
        <f t="shared" si="67"/>
        <v>400</v>
      </c>
      <c r="AF200">
        <f t="shared" si="68"/>
        <v>320</v>
      </c>
      <c r="AH200">
        <f t="shared" si="75"/>
        <v>720</v>
      </c>
      <c r="AI200">
        <f t="shared" si="76"/>
        <v>352</v>
      </c>
      <c r="AJ200">
        <f t="shared" si="77"/>
        <v>286</v>
      </c>
      <c r="AK200">
        <f t="shared" si="88"/>
        <v>308</v>
      </c>
      <c r="AL200">
        <f t="shared" si="78"/>
        <v>176</v>
      </c>
      <c r="AM200">
        <f t="shared" si="79"/>
        <v>192</v>
      </c>
      <c r="AO200" s="130">
        <f t="shared" si="80"/>
        <v>0.48888888888888887</v>
      </c>
      <c r="AP200" s="130">
        <f t="shared" si="81"/>
        <v>0.24444444444444444</v>
      </c>
      <c r="AQ200" s="130">
        <f t="shared" si="82"/>
        <v>0.26666666666666672</v>
      </c>
      <c r="AR200" s="66">
        <f t="shared" si="83"/>
        <v>0.51111111111111118</v>
      </c>
    </row>
    <row r="201" spans="1:44" x14ac:dyDescent="0.2">
      <c r="A201" s="10">
        <v>42278</v>
      </c>
      <c r="B201" s="17">
        <v>40.975000000000001</v>
      </c>
      <c r="C201" s="17">
        <v>32.783870967741926</v>
      </c>
      <c r="D201" s="45">
        <v>41.545000000000002</v>
      </c>
      <c r="E201" s="45">
        <v>31.158750000000001</v>
      </c>
      <c r="F201" s="45">
        <f t="shared" si="69"/>
        <v>32.450512820512813</v>
      </c>
      <c r="G201" s="12">
        <f t="shared" si="87"/>
        <v>37.400215053763439</v>
      </c>
      <c r="H201" s="12">
        <f t="shared" si="70"/>
        <v>37.400215053763439</v>
      </c>
      <c r="I201" s="12">
        <f t="shared" si="71"/>
        <v>37.22422564102564</v>
      </c>
      <c r="K201" s="115"/>
      <c r="M201" s="131"/>
      <c r="N201" s="132"/>
      <c r="V201" s="15">
        <f t="shared" si="85"/>
        <v>4</v>
      </c>
      <c r="W201" s="15">
        <f t="shared" si="66"/>
        <v>27</v>
      </c>
      <c r="X201" s="32">
        <f t="shared" si="89"/>
        <v>31</v>
      </c>
      <c r="Y201" s="32"/>
      <c r="Z201" s="44">
        <v>4</v>
      </c>
      <c r="AA201" s="32">
        <f t="shared" si="93"/>
        <v>10</v>
      </c>
      <c r="AB201" s="32">
        <f t="shared" si="93"/>
        <v>21</v>
      </c>
      <c r="AD201">
        <f t="shared" si="86"/>
        <v>744</v>
      </c>
      <c r="AE201">
        <f t="shared" si="67"/>
        <v>432</v>
      </c>
      <c r="AF201">
        <f t="shared" si="68"/>
        <v>312</v>
      </c>
      <c r="AH201">
        <f t="shared" si="75"/>
        <v>744</v>
      </c>
      <c r="AI201">
        <f t="shared" si="76"/>
        <v>336</v>
      </c>
      <c r="AJ201">
        <f t="shared" si="77"/>
        <v>273</v>
      </c>
      <c r="AK201">
        <f t="shared" si="88"/>
        <v>294</v>
      </c>
      <c r="AL201">
        <f t="shared" si="78"/>
        <v>168</v>
      </c>
      <c r="AM201">
        <f t="shared" si="79"/>
        <v>240</v>
      </c>
      <c r="AO201" s="130">
        <f t="shared" si="80"/>
        <v>0.45161290322580644</v>
      </c>
      <c r="AP201" s="130">
        <f t="shared" si="81"/>
        <v>0.22580645161290322</v>
      </c>
      <c r="AQ201" s="130">
        <f t="shared" si="82"/>
        <v>0.32258064516129037</v>
      </c>
      <c r="AR201" s="66">
        <f t="shared" si="83"/>
        <v>0.54838709677419362</v>
      </c>
    </row>
    <row r="202" spans="1:44" x14ac:dyDescent="0.2">
      <c r="A202" s="10">
        <v>42309</v>
      </c>
      <c r="B202" s="17">
        <v>39.975000000000001</v>
      </c>
      <c r="C202" s="17">
        <v>30.841666666666669</v>
      </c>
      <c r="D202" s="45">
        <v>40.295000000000002</v>
      </c>
      <c r="E202" s="45">
        <v>30.221250000000001</v>
      </c>
      <c r="F202" s="45">
        <f t="shared" si="69"/>
        <v>29.22529761904762</v>
      </c>
      <c r="G202" s="12">
        <f t="shared" si="87"/>
        <v>34.958472222222227</v>
      </c>
      <c r="H202" s="12">
        <f t="shared" si="70"/>
        <v>34.958472222222227</v>
      </c>
      <c r="I202" s="12">
        <f t="shared" si="71"/>
        <v>35.245130952380954</v>
      </c>
      <c r="K202" s="115"/>
      <c r="M202" s="131"/>
      <c r="N202" s="132"/>
      <c r="V202" s="15">
        <f t="shared" si="85"/>
        <v>6</v>
      </c>
      <c r="W202" s="15">
        <f>X202-V202</f>
        <v>24</v>
      </c>
      <c r="X202" s="32">
        <f t="shared" si="89"/>
        <v>30</v>
      </c>
      <c r="Y202" s="32"/>
      <c r="Z202" s="44">
        <v>5</v>
      </c>
      <c r="AA202" s="32">
        <f t="shared" si="93"/>
        <v>8</v>
      </c>
      <c r="AB202" s="32">
        <f t="shared" si="93"/>
        <v>22</v>
      </c>
      <c r="AC202">
        <v>1</v>
      </c>
      <c r="AD202">
        <f t="shared" si="86"/>
        <v>720</v>
      </c>
      <c r="AE202">
        <f>W202*16</f>
        <v>384</v>
      </c>
      <c r="AF202">
        <f>V202*24+W202*8</f>
        <v>336</v>
      </c>
      <c r="AH202">
        <f t="shared" si="75"/>
        <v>720</v>
      </c>
      <c r="AI202">
        <f t="shared" si="76"/>
        <v>352</v>
      </c>
      <c r="AJ202">
        <f t="shared" si="77"/>
        <v>286</v>
      </c>
      <c r="AK202">
        <f t="shared" si="88"/>
        <v>308</v>
      </c>
      <c r="AL202">
        <f t="shared" si="78"/>
        <v>176</v>
      </c>
      <c r="AM202">
        <f t="shared" si="79"/>
        <v>192</v>
      </c>
      <c r="AO202" s="130">
        <f t="shared" si="80"/>
        <v>0.48888888888888887</v>
      </c>
      <c r="AP202" s="130">
        <f t="shared" si="81"/>
        <v>0.24444444444444444</v>
      </c>
      <c r="AQ202" s="130">
        <f t="shared" si="82"/>
        <v>0.26666666666666672</v>
      </c>
      <c r="AR202" s="66">
        <f t="shared" si="83"/>
        <v>0.51111111111111118</v>
      </c>
    </row>
    <row r="203" spans="1:44" x14ac:dyDescent="0.2">
      <c r="A203" s="10">
        <v>42339</v>
      </c>
      <c r="B203" s="17">
        <v>40.225000000000001</v>
      </c>
      <c r="C203" s="17">
        <v>30.816129032258075</v>
      </c>
      <c r="D203" s="45">
        <v>40.545000000000002</v>
      </c>
      <c r="E203" s="45">
        <v>30.408750000000001</v>
      </c>
      <c r="F203" s="45">
        <f t="shared" si="69"/>
        <v>29.233414634146346</v>
      </c>
      <c r="G203" s="12">
        <f t="shared" si="87"/>
        <v>35.37924731182796</v>
      </c>
      <c r="H203" s="12">
        <f t="shared" si="70"/>
        <v>35.37924731182796</v>
      </c>
      <c r="I203" s="12">
        <f t="shared" si="71"/>
        <v>35.388702439024392</v>
      </c>
      <c r="K203" s="115"/>
      <c r="M203" s="131"/>
      <c r="N203" s="132"/>
      <c r="V203" s="15">
        <f t="shared" si="85"/>
        <v>5</v>
      </c>
      <c r="W203" s="15">
        <f>X203-V203</f>
        <v>26</v>
      </c>
      <c r="X203" s="32">
        <f t="shared" si="89"/>
        <v>31</v>
      </c>
      <c r="Y203" s="32"/>
      <c r="Z203" s="44">
        <v>4</v>
      </c>
      <c r="AA203" s="32">
        <f t="shared" si="93"/>
        <v>9</v>
      </c>
      <c r="AB203" s="32">
        <f t="shared" si="93"/>
        <v>22</v>
      </c>
      <c r="AC203">
        <v>1</v>
      </c>
      <c r="AD203">
        <f t="shared" si="86"/>
        <v>744</v>
      </c>
      <c r="AE203">
        <f>W203*16</f>
        <v>416</v>
      </c>
      <c r="AF203">
        <f>V203*24+W203*8</f>
        <v>328</v>
      </c>
      <c r="AH203">
        <f t="shared" si="75"/>
        <v>744</v>
      </c>
      <c r="AI203">
        <f t="shared" si="76"/>
        <v>352</v>
      </c>
      <c r="AJ203">
        <f t="shared" si="77"/>
        <v>286</v>
      </c>
      <c r="AK203">
        <f t="shared" si="88"/>
        <v>308</v>
      </c>
      <c r="AL203">
        <f t="shared" si="78"/>
        <v>176</v>
      </c>
      <c r="AM203">
        <f t="shared" si="79"/>
        <v>216</v>
      </c>
      <c r="AO203" s="130">
        <f t="shared" si="80"/>
        <v>0.4731182795698925</v>
      </c>
      <c r="AP203" s="130">
        <f t="shared" si="81"/>
        <v>0.23655913978494625</v>
      </c>
      <c r="AQ203" s="130">
        <f t="shared" si="82"/>
        <v>0.29032258064516125</v>
      </c>
      <c r="AR203" s="66">
        <f t="shared" si="83"/>
        <v>0.5268817204301075</v>
      </c>
    </row>
    <row r="204" spans="1:44" x14ac:dyDescent="0.2">
      <c r="B204" s="17">
        <v>36.25</v>
      </c>
      <c r="C204" s="17">
        <v>29.0241935483871</v>
      </c>
      <c r="D204" s="17"/>
      <c r="E204" s="45">
        <v>27.3</v>
      </c>
      <c r="F204" s="45" t="e">
        <f t="shared" si="69"/>
        <v>#DIV/0!</v>
      </c>
      <c r="G204" s="12" t="e">
        <f t="shared" si="87"/>
        <v>#DIV/0!</v>
      </c>
      <c r="H204" s="12" t="e">
        <f t="shared" si="70"/>
        <v>#DIV/0!</v>
      </c>
      <c r="I204" s="12" t="e">
        <f t="shared" si="71"/>
        <v>#DIV/0!</v>
      </c>
      <c r="K204" s="115"/>
      <c r="M204" s="131"/>
      <c r="N204" s="132"/>
    </row>
    <row r="205" spans="1:44" x14ac:dyDescent="0.2">
      <c r="B205" s="17">
        <v>35.75</v>
      </c>
      <c r="C205" s="17">
        <v>27.142857142857142</v>
      </c>
      <c r="D205" s="17"/>
      <c r="E205" s="45">
        <v>26.55</v>
      </c>
      <c r="F205" s="45" t="e">
        <f t="shared" si="69"/>
        <v>#DIV/0!</v>
      </c>
      <c r="G205" s="12" t="e">
        <f t="shared" si="87"/>
        <v>#DIV/0!</v>
      </c>
      <c r="H205" s="12" t="e">
        <f t="shared" si="70"/>
        <v>#DIV/0!</v>
      </c>
      <c r="I205" s="12" t="e">
        <f t="shared" si="71"/>
        <v>#DIV/0!</v>
      </c>
      <c r="K205" s="115"/>
      <c r="M205" s="131"/>
      <c r="N205" s="132"/>
    </row>
    <row r="206" spans="1:44" x14ac:dyDescent="0.2">
      <c r="B206" s="17">
        <v>33.212499999999999</v>
      </c>
      <c r="C206" s="17">
        <v>26.112903225806456</v>
      </c>
      <c r="D206" s="17"/>
      <c r="E206" s="45">
        <v>25.006875000000001</v>
      </c>
      <c r="F206" s="45" t="e">
        <f t="shared" si="69"/>
        <v>#DIV/0!</v>
      </c>
      <c r="G206" s="12" t="e">
        <f t="shared" si="87"/>
        <v>#DIV/0!</v>
      </c>
      <c r="H206" s="12" t="e">
        <f t="shared" si="70"/>
        <v>#DIV/0!</v>
      </c>
      <c r="I206" s="12" t="e">
        <f t="shared" si="71"/>
        <v>#DIV/0!</v>
      </c>
      <c r="K206" s="115"/>
      <c r="M206" s="131"/>
      <c r="N206" s="132"/>
    </row>
    <row r="207" spans="1:44" x14ac:dyDescent="0.2">
      <c r="B207" s="17">
        <v>30.82</v>
      </c>
      <c r="C207" s="17">
        <v>23.204166666666669</v>
      </c>
      <c r="D207" s="17"/>
      <c r="E207" s="45">
        <v>23.1675</v>
      </c>
      <c r="F207" s="45" t="e">
        <f t="shared" ref="F207:F224" si="94">((G207*AD207)-(B207*AE207))*(1/AF207)</f>
        <v>#DIV/0!</v>
      </c>
      <c r="G207" s="12" t="e">
        <f t="shared" si="87"/>
        <v>#DIV/0!</v>
      </c>
      <c r="H207" s="12" t="e">
        <f t="shared" ref="H207:H224" si="95">(F207*AF207+B207*AE207)/AD207</f>
        <v>#DIV/0!</v>
      </c>
      <c r="I207" s="12" t="e">
        <f t="shared" ref="I207:I224" si="96">B207*$C$5+F207*$C$6</f>
        <v>#DIV/0!</v>
      </c>
      <c r="K207" s="115"/>
      <c r="M207" s="131"/>
      <c r="N207" s="132"/>
    </row>
    <row r="208" spans="1:44" x14ac:dyDescent="0.2">
      <c r="B208" s="17">
        <v>29.57</v>
      </c>
      <c r="C208" s="17">
        <v>12.591935483870971</v>
      </c>
      <c r="D208" s="17"/>
      <c r="E208" s="45">
        <v>21.7425</v>
      </c>
      <c r="F208" s="45" t="e">
        <f t="shared" si="94"/>
        <v>#DIV/0!</v>
      </c>
      <c r="G208" s="12" t="e">
        <f t="shared" si="87"/>
        <v>#DIV/0!</v>
      </c>
      <c r="H208" s="12" t="e">
        <f t="shared" si="95"/>
        <v>#DIV/0!</v>
      </c>
      <c r="I208" s="12" t="e">
        <f t="shared" si="96"/>
        <v>#DIV/0!</v>
      </c>
      <c r="K208" s="115"/>
      <c r="M208" s="131"/>
      <c r="N208" s="132"/>
    </row>
    <row r="209" spans="2:14" x14ac:dyDescent="0.2">
      <c r="B209" s="17">
        <v>29.82</v>
      </c>
      <c r="C209" s="17">
        <v>12.616666666666671</v>
      </c>
      <c r="D209" s="17"/>
      <c r="E209" s="45">
        <v>22.4175</v>
      </c>
      <c r="F209" s="45" t="e">
        <f t="shared" si="94"/>
        <v>#DIV/0!</v>
      </c>
      <c r="G209" s="12" t="e">
        <f t="shared" si="87"/>
        <v>#DIV/0!</v>
      </c>
      <c r="H209" s="12" t="e">
        <f t="shared" si="95"/>
        <v>#DIV/0!</v>
      </c>
      <c r="I209" s="12" t="e">
        <f t="shared" si="96"/>
        <v>#DIV/0!</v>
      </c>
      <c r="K209" s="115"/>
      <c r="M209" s="131"/>
      <c r="N209" s="132"/>
    </row>
    <row r="210" spans="2:14" x14ac:dyDescent="0.2">
      <c r="B210" s="17">
        <v>49.82</v>
      </c>
      <c r="C210" s="17">
        <v>26.245161290322589</v>
      </c>
      <c r="D210" s="17"/>
      <c r="E210" s="45">
        <v>37.604999999999997</v>
      </c>
      <c r="F210" s="45" t="e">
        <f t="shared" si="94"/>
        <v>#DIV/0!</v>
      </c>
      <c r="G210" s="12" t="e">
        <f t="shared" ref="G210:G224" si="97">((Z210*16*E210)+(B210*W210*16)+(X210*8*C210))/(X210*24)</f>
        <v>#DIV/0!</v>
      </c>
      <c r="H210" s="12" t="e">
        <f t="shared" si="95"/>
        <v>#DIV/0!</v>
      </c>
      <c r="I210" s="12" t="e">
        <f t="shared" si="96"/>
        <v>#DIV/0!</v>
      </c>
      <c r="K210" s="115"/>
      <c r="M210" s="131"/>
      <c r="N210" s="132"/>
    </row>
    <row r="211" spans="2:14" x14ac:dyDescent="0.2">
      <c r="B211" s="17">
        <v>67.319999999999993</v>
      </c>
      <c r="C211" s="17">
        <v>28.21290322580646</v>
      </c>
      <c r="D211" s="17"/>
      <c r="E211" s="45">
        <v>51.48</v>
      </c>
      <c r="F211" s="45" t="e">
        <f t="shared" si="94"/>
        <v>#DIV/0!</v>
      </c>
      <c r="G211" s="12" t="e">
        <f t="shared" si="97"/>
        <v>#DIV/0!</v>
      </c>
      <c r="H211" s="12" t="e">
        <f t="shared" si="95"/>
        <v>#DIV/0!</v>
      </c>
      <c r="I211" s="12" t="e">
        <f t="shared" si="96"/>
        <v>#DIV/0!</v>
      </c>
      <c r="K211" s="115"/>
      <c r="M211" s="131"/>
      <c r="N211" s="132"/>
    </row>
    <row r="212" spans="2:14" x14ac:dyDescent="0.2">
      <c r="B212" s="17">
        <v>64.569999999999993</v>
      </c>
      <c r="C212" s="17">
        <v>26.4</v>
      </c>
      <c r="D212" s="17"/>
      <c r="E212" s="45">
        <v>47.73</v>
      </c>
      <c r="F212" s="45" t="e">
        <f t="shared" si="94"/>
        <v>#DIV/0!</v>
      </c>
      <c r="G212" s="12" t="e">
        <f t="shared" si="97"/>
        <v>#DIV/0!</v>
      </c>
      <c r="H212" s="12" t="e">
        <f t="shared" si="95"/>
        <v>#DIV/0!</v>
      </c>
      <c r="I212" s="12" t="e">
        <f t="shared" si="96"/>
        <v>#DIV/0!</v>
      </c>
      <c r="K212" s="115"/>
      <c r="M212" s="131"/>
      <c r="N212" s="132"/>
    </row>
    <row r="213" spans="2:14" x14ac:dyDescent="0.2">
      <c r="B213" s="17">
        <v>41.07</v>
      </c>
      <c r="C213" s="17">
        <v>32.833870967741923</v>
      </c>
      <c r="D213" s="17"/>
      <c r="E213" s="45">
        <v>31.23</v>
      </c>
      <c r="F213" s="45" t="e">
        <f t="shared" si="94"/>
        <v>#DIV/0!</v>
      </c>
      <c r="G213" s="12" t="e">
        <f t="shared" si="97"/>
        <v>#DIV/0!</v>
      </c>
      <c r="H213" s="12" t="e">
        <f t="shared" si="95"/>
        <v>#DIV/0!</v>
      </c>
      <c r="I213" s="12" t="e">
        <f t="shared" si="96"/>
        <v>#DIV/0!</v>
      </c>
      <c r="K213" s="115"/>
      <c r="M213" s="131"/>
      <c r="N213" s="132"/>
    </row>
    <row r="214" spans="2:14" x14ac:dyDescent="0.2">
      <c r="B214" s="17">
        <v>40.07</v>
      </c>
      <c r="C214" s="17">
        <v>30.891666666666669</v>
      </c>
      <c r="D214" s="17"/>
      <c r="E214" s="45">
        <v>30.2925</v>
      </c>
      <c r="F214" s="45" t="e">
        <f t="shared" si="94"/>
        <v>#DIV/0!</v>
      </c>
      <c r="G214" s="12" t="e">
        <f t="shared" si="97"/>
        <v>#DIV/0!</v>
      </c>
      <c r="H214" s="12" t="e">
        <f t="shared" si="95"/>
        <v>#DIV/0!</v>
      </c>
      <c r="I214" s="12" t="e">
        <f t="shared" si="96"/>
        <v>#DIV/0!</v>
      </c>
      <c r="K214" s="115"/>
      <c r="M214" s="131"/>
      <c r="N214" s="132"/>
    </row>
    <row r="215" spans="2:14" x14ac:dyDescent="0.2">
      <c r="B215" s="17">
        <v>40.32</v>
      </c>
      <c r="C215" s="17">
        <v>30.866129032258076</v>
      </c>
      <c r="D215" s="17"/>
      <c r="E215" s="45">
        <v>30.48</v>
      </c>
      <c r="F215" s="45" t="e">
        <f t="shared" si="94"/>
        <v>#DIV/0!</v>
      </c>
      <c r="G215" s="12" t="e">
        <f t="shared" si="97"/>
        <v>#DIV/0!</v>
      </c>
      <c r="H215" s="12" t="e">
        <f t="shared" si="95"/>
        <v>#DIV/0!</v>
      </c>
      <c r="I215" s="12" t="e">
        <f t="shared" si="96"/>
        <v>#DIV/0!</v>
      </c>
      <c r="K215" s="115"/>
      <c r="M215" s="131"/>
      <c r="N215" s="132"/>
    </row>
    <row r="216" spans="2:14" x14ac:dyDescent="0.2">
      <c r="B216" s="17">
        <v>36.35</v>
      </c>
      <c r="C216" s="17">
        <v>29.0741935483871</v>
      </c>
      <c r="D216" s="17"/>
      <c r="E216" s="45">
        <v>27.375</v>
      </c>
      <c r="F216" s="45" t="e">
        <f t="shared" si="94"/>
        <v>#DIV/0!</v>
      </c>
      <c r="G216" s="12" t="e">
        <f t="shared" si="97"/>
        <v>#DIV/0!</v>
      </c>
      <c r="H216" s="12" t="e">
        <f t="shared" si="95"/>
        <v>#DIV/0!</v>
      </c>
      <c r="I216" s="12" t="e">
        <f t="shared" si="96"/>
        <v>#DIV/0!</v>
      </c>
      <c r="K216" s="115"/>
      <c r="M216" s="131"/>
      <c r="N216" s="132"/>
    </row>
    <row r="217" spans="2:14" x14ac:dyDescent="0.2">
      <c r="B217" s="17">
        <v>35.85</v>
      </c>
      <c r="C217" s="17">
        <v>27.192857142857143</v>
      </c>
      <c r="D217" s="17"/>
      <c r="E217" s="45">
        <v>26.625</v>
      </c>
      <c r="F217" s="45" t="e">
        <f t="shared" si="94"/>
        <v>#DIV/0!</v>
      </c>
      <c r="G217" s="12" t="e">
        <f t="shared" si="97"/>
        <v>#DIV/0!</v>
      </c>
      <c r="H217" s="12" t="e">
        <f t="shared" si="95"/>
        <v>#DIV/0!</v>
      </c>
      <c r="I217" s="12" t="e">
        <f t="shared" si="96"/>
        <v>#DIV/0!</v>
      </c>
      <c r="K217" s="115"/>
      <c r="M217" s="131"/>
      <c r="N217" s="132"/>
    </row>
    <row r="218" spans="2:14" x14ac:dyDescent="0.2">
      <c r="B218" s="17">
        <v>33.307499999999997</v>
      </c>
      <c r="C218" s="17">
        <v>26.162903225806456</v>
      </c>
      <c r="D218" s="17"/>
      <c r="E218" s="45">
        <v>25.078125</v>
      </c>
      <c r="F218" s="45" t="e">
        <f t="shared" si="94"/>
        <v>#DIV/0!</v>
      </c>
      <c r="G218" s="12" t="e">
        <f t="shared" si="97"/>
        <v>#DIV/0!</v>
      </c>
      <c r="H218" s="12" t="e">
        <f t="shared" si="95"/>
        <v>#DIV/0!</v>
      </c>
      <c r="I218" s="12" t="e">
        <f t="shared" si="96"/>
        <v>#DIV/0!</v>
      </c>
      <c r="K218" s="115"/>
      <c r="M218" s="131"/>
      <c r="N218" s="132"/>
    </row>
    <row r="219" spans="2:14" x14ac:dyDescent="0.2">
      <c r="B219" s="17">
        <v>30.914999999999999</v>
      </c>
      <c r="C219" s="17">
        <v>23.25416666666667</v>
      </c>
      <c r="D219" s="17"/>
      <c r="E219" s="45">
        <v>23.23875</v>
      </c>
      <c r="F219" s="45" t="e">
        <f t="shared" si="94"/>
        <v>#DIV/0!</v>
      </c>
      <c r="G219" s="12" t="e">
        <f t="shared" si="97"/>
        <v>#DIV/0!</v>
      </c>
      <c r="H219" s="12" t="e">
        <f t="shared" si="95"/>
        <v>#DIV/0!</v>
      </c>
      <c r="I219" s="12" t="e">
        <f t="shared" si="96"/>
        <v>#DIV/0!</v>
      </c>
      <c r="K219" s="115"/>
      <c r="M219" s="131"/>
      <c r="N219" s="132"/>
    </row>
    <row r="220" spans="2:14" x14ac:dyDescent="0.2">
      <c r="B220" s="17">
        <v>29.664999999999999</v>
      </c>
      <c r="C220" s="17">
        <v>12.641935483870972</v>
      </c>
      <c r="D220" s="17"/>
      <c r="E220" s="45">
        <v>21.813749999999999</v>
      </c>
      <c r="F220" s="45" t="e">
        <f t="shared" si="94"/>
        <v>#DIV/0!</v>
      </c>
      <c r="G220" s="12" t="e">
        <f t="shared" si="97"/>
        <v>#DIV/0!</v>
      </c>
      <c r="H220" s="12" t="e">
        <f t="shared" si="95"/>
        <v>#DIV/0!</v>
      </c>
      <c r="I220" s="12" t="e">
        <f t="shared" si="96"/>
        <v>#DIV/0!</v>
      </c>
      <c r="K220" s="115"/>
      <c r="M220" s="131"/>
      <c r="N220" s="132"/>
    </row>
    <row r="221" spans="2:14" x14ac:dyDescent="0.2">
      <c r="B221" s="17">
        <v>29.914999999999999</v>
      </c>
      <c r="C221" s="17">
        <v>12.666666666666671</v>
      </c>
      <c r="D221" s="17"/>
      <c r="E221" s="45">
        <v>22.48875</v>
      </c>
      <c r="F221" s="45" t="e">
        <f t="shared" si="94"/>
        <v>#DIV/0!</v>
      </c>
      <c r="G221" s="12" t="e">
        <f t="shared" si="97"/>
        <v>#DIV/0!</v>
      </c>
      <c r="H221" s="12" t="e">
        <f t="shared" si="95"/>
        <v>#DIV/0!</v>
      </c>
      <c r="I221" s="12" t="e">
        <f t="shared" si="96"/>
        <v>#DIV/0!</v>
      </c>
      <c r="K221" s="115"/>
      <c r="M221" s="131"/>
      <c r="N221" s="132"/>
    </row>
    <row r="222" spans="2:14" x14ac:dyDescent="0.2">
      <c r="B222" s="17">
        <v>50.04</v>
      </c>
      <c r="C222" s="17">
        <v>26.295161290322589</v>
      </c>
      <c r="D222" s="17"/>
      <c r="E222" s="45">
        <v>37.770000000000003</v>
      </c>
      <c r="F222" s="45" t="e">
        <f t="shared" si="94"/>
        <v>#DIV/0!</v>
      </c>
      <c r="G222" s="12" t="e">
        <f t="shared" si="97"/>
        <v>#DIV/0!</v>
      </c>
      <c r="H222" s="12" t="e">
        <f t="shared" si="95"/>
        <v>#DIV/0!</v>
      </c>
      <c r="I222" s="12" t="e">
        <f t="shared" si="96"/>
        <v>#DIV/0!</v>
      </c>
      <c r="K222" s="115"/>
      <c r="M222" s="131"/>
      <c r="N222" s="132"/>
    </row>
    <row r="223" spans="2:14" x14ac:dyDescent="0.2">
      <c r="B223" s="17">
        <v>67.540000000000006</v>
      </c>
      <c r="C223" s="17">
        <v>28.262903225806461</v>
      </c>
      <c r="D223" s="17"/>
      <c r="E223" s="45">
        <v>51.645000000000003</v>
      </c>
      <c r="F223" s="45" t="e">
        <f t="shared" si="94"/>
        <v>#DIV/0!</v>
      </c>
      <c r="G223" s="12" t="e">
        <f t="shared" si="97"/>
        <v>#DIV/0!</v>
      </c>
      <c r="H223" s="12" t="e">
        <f t="shared" si="95"/>
        <v>#DIV/0!</v>
      </c>
      <c r="I223" s="12" t="e">
        <f t="shared" si="96"/>
        <v>#DIV/0!</v>
      </c>
      <c r="K223" s="115"/>
      <c r="M223" s="131"/>
      <c r="N223" s="132"/>
    </row>
    <row r="224" spans="2:14" x14ac:dyDescent="0.2">
      <c r="B224" s="17">
        <v>64.665000000000006</v>
      </c>
      <c r="C224" s="17">
        <v>26.45</v>
      </c>
      <c r="D224" s="17"/>
      <c r="E224" s="45">
        <v>47.801250000000003</v>
      </c>
      <c r="F224" s="45" t="e">
        <f t="shared" si="94"/>
        <v>#DIV/0!</v>
      </c>
      <c r="G224" s="12" t="e">
        <f t="shared" si="97"/>
        <v>#DIV/0!</v>
      </c>
      <c r="H224" s="12" t="e">
        <f t="shared" si="95"/>
        <v>#DIV/0!</v>
      </c>
      <c r="I224" s="12" t="e">
        <f t="shared" si="96"/>
        <v>#DIV/0!</v>
      </c>
      <c r="K224" s="115"/>
      <c r="M224" s="131"/>
      <c r="N224" s="132"/>
    </row>
    <row r="225" spans="2:14" x14ac:dyDescent="0.2">
      <c r="B225" s="17">
        <v>41.164999999999999</v>
      </c>
      <c r="C225" s="17">
        <v>32.88387096774192</v>
      </c>
      <c r="D225" s="17"/>
      <c r="E225" s="45">
        <v>31.30125</v>
      </c>
      <c r="K225" s="115"/>
      <c r="M225" s="131"/>
      <c r="N225" s="132"/>
    </row>
    <row r="226" spans="2:14" x14ac:dyDescent="0.2">
      <c r="B226" s="17">
        <v>40.164999999999999</v>
      </c>
      <c r="C226" s="17">
        <v>30.94166666666667</v>
      </c>
      <c r="D226" s="17"/>
      <c r="E226" s="45">
        <v>30.36375</v>
      </c>
      <c r="K226" s="115"/>
      <c r="M226" s="131"/>
      <c r="N226" s="132"/>
    </row>
    <row r="227" spans="2:14" x14ac:dyDescent="0.2">
      <c r="B227" s="17">
        <v>40.414999999999999</v>
      </c>
      <c r="C227" s="17">
        <v>30.916129032258077</v>
      </c>
      <c r="D227" s="17"/>
      <c r="E227" s="45">
        <v>30.55125</v>
      </c>
      <c r="K227" s="115"/>
      <c r="M227" s="131"/>
      <c r="N227" s="132"/>
    </row>
    <row r="228" spans="2:14" x14ac:dyDescent="0.2">
      <c r="B228" s="17">
        <v>36.450000000000003</v>
      </c>
      <c r="C228" s="17">
        <v>29.124193548387101</v>
      </c>
      <c r="D228" s="17"/>
      <c r="E228" s="45">
        <v>27.45</v>
      </c>
      <c r="K228" s="115"/>
      <c r="M228" s="131"/>
      <c r="N228" s="132"/>
    </row>
    <row r="229" spans="2:14" x14ac:dyDescent="0.2">
      <c r="B229" s="17">
        <v>35.950000000000003</v>
      </c>
      <c r="C229" s="17">
        <v>27.242857142857144</v>
      </c>
      <c r="D229" s="17"/>
      <c r="E229" s="45">
        <v>26.7</v>
      </c>
      <c r="K229" s="115"/>
      <c r="M229" s="131"/>
      <c r="N229" s="132"/>
    </row>
    <row r="230" spans="2:14" x14ac:dyDescent="0.2">
      <c r="B230" s="17">
        <v>33.402500000000003</v>
      </c>
      <c r="C230" s="17">
        <v>26.212903225806457</v>
      </c>
      <c r="D230" s="17"/>
      <c r="E230" s="45">
        <v>25.149374999999999</v>
      </c>
      <c r="K230" s="115"/>
      <c r="M230" s="131"/>
      <c r="N230" s="132"/>
    </row>
    <row r="231" spans="2:14" x14ac:dyDescent="0.2">
      <c r="B231" s="17">
        <v>31.01</v>
      </c>
      <c r="C231" s="17">
        <v>23.304166666666671</v>
      </c>
      <c r="D231" s="17"/>
      <c r="E231" s="45">
        <v>23.31</v>
      </c>
      <c r="K231" s="115"/>
      <c r="M231" s="131"/>
      <c r="N231" s="132"/>
    </row>
    <row r="232" spans="2:14" x14ac:dyDescent="0.2">
      <c r="B232" s="17">
        <v>29.76</v>
      </c>
      <c r="C232" s="17">
        <v>12.691935483870973</v>
      </c>
      <c r="D232" s="17"/>
      <c r="E232" s="45">
        <v>21.885000000000002</v>
      </c>
      <c r="K232" s="115"/>
      <c r="M232" s="131"/>
      <c r="N232" s="132"/>
    </row>
    <row r="233" spans="2:14" x14ac:dyDescent="0.2">
      <c r="B233" s="17">
        <v>30.01</v>
      </c>
      <c r="C233" s="17">
        <v>12.716666666666672</v>
      </c>
      <c r="D233" s="17"/>
      <c r="E233" s="45">
        <v>22.56</v>
      </c>
      <c r="K233" s="115"/>
      <c r="M233" s="131"/>
      <c r="N233" s="132"/>
    </row>
    <row r="234" spans="2:14" x14ac:dyDescent="0.2">
      <c r="B234" s="17">
        <v>50.26</v>
      </c>
      <c r="C234" s="17">
        <v>26.34516129032259</v>
      </c>
      <c r="D234" s="17"/>
      <c r="E234" s="45">
        <v>37.935000000000002</v>
      </c>
      <c r="K234" s="115"/>
      <c r="M234" s="131"/>
      <c r="N234" s="132"/>
    </row>
    <row r="235" spans="2:14" x14ac:dyDescent="0.2">
      <c r="B235" s="17">
        <v>67.760000000000005</v>
      </c>
      <c r="C235" s="17">
        <v>28.312903225806462</v>
      </c>
      <c r="D235" s="17"/>
      <c r="E235" s="45">
        <v>51.81</v>
      </c>
      <c r="K235" s="115"/>
      <c r="M235" s="131"/>
      <c r="N235" s="132"/>
    </row>
    <row r="236" spans="2:14" x14ac:dyDescent="0.2">
      <c r="B236" s="17">
        <v>64.760000000000005</v>
      </c>
      <c r="C236" s="17">
        <v>26.5</v>
      </c>
      <c r="D236" s="17"/>
      <c r="E236" s="45">
        <v>47.872500000000002</v>
      </c>
      <c r="K236" s="115"/>
      <c r="M236" s="131"/>
      <c r="N236" s="132"/>
    </row>
    <row r="237" spans="2:14" x14ac:dyDescent="0.2">
      <c r="B237" s="17">
        <v>41.26</v>
      </c>
      <c r="C237" s="17">
        <v>32.933870967741917</v>
      </c>
      <c r="D237" s="17"/>
      <c r="E237" s="45">
        <v>31.372499999999999</v>
      </c>
      <c r="K237" s="115"/>
      <c r="M237" s="131"/>
      <c r="N237" s="132"/>
    </row>
    <row r="238" spans="2:14" x14ac:dyDescent="0.2">
      <c r="B238" s="17">
        <v>40.26</v>
      </c>
      <c r="C238" s="17">
        <v>30.991666666666671</v>
      </c>
      <c r="D238" s="17"/>
      <c r="E238" s="45">
        <v>30.434999999999999</v>
      </c>
      <c r="K238" s="115"/>
      <c r="M238" s="131"/>
      <c r="N238" s="132"/>
    </row>
    <row r="239" spans="2:14" x14ac:dyDescent="0.2">
      <c r="B239" s="17">
        <v>40.51</v>
      </c>
      <c r="C239" s="17">
        <v>30.966129032258078</v>
      </c>
      <c r="D239" s="17"/>
      <c r="E239" s="45">
        <v>30.622499999999999</v>
      </c>
      <c r="K239" s="115"/>
      <c r="M239" s="131"/>
      <c r="N239" s="132"/>
    </row>
    <row r="240" spans="2:14" x14ac:dyDescent="0.2">
      <c r="B240" s="17">
        <v>36.549999999999997</v>
      </c>
      <c r="C240" s="17">
        <v>29.174193548387102</v>
      </c>
      <c r="D240" s="17"/>
      <c r="E240" s="45">
        <v>27.524999999999999</v>
      </c>
      <c r="K240" s="115"/>
      <c r="M240" s="131"/>
      <c r="N240" s="132"/>
    </row>
    <row r="241" spans="2:14" x14ac:dyDescent="0.2">
      <c r="B241" s="17">
        <v>36.049999999999997</v>
      </c>
      <c r="C241" s="17">
        <v>27.292857142857144</v>
      </c>
      <c r="D241" s="17"/>
      <c r="E241" s="45">
        <v>26.774999999999999</v>
      </c>
      <c r="K241" s="115"/>
      <c r="M241" s="131"/>
      <c r="N241" s="132"/>
    </row>
    <row r="242" spans="2:14" x14ac:dyDescent="0.2">
      <c r="B242" s="17">
        <v>33.497500000000002</v>
      </c>
      <c r="C242" s="17">
        <v>26.262903225806458</v>
      </c>
      <c r="D242" s="17"/>
      <c r="E242" s="45">
        <v>25.220624999999998</v>
      </c>
      <c r="K242" s="115"/>
      <c r="M242" s="131"/>
      <c r="N242" s="132"/>
    </row>
    <row r="243" spans="2:14" x14ac:dyDescent="0.2">
      <c r="B243" s="17">
        <v>31.105</v>
      </c>
      <c r="C243" s="17">
        <v>23.354166666666671</v>
      </c>
      <c r="D243" s="17"/>
      <c r="E243" s="45">
        <v>23.381250000000001</v>
      </c>
      <c r="K243" s="115"/>
      <c r="M243" s="131"/>
      <c r="N243" s="132"/>
    </row>
    <row r="244" spans="2:14" x14ac:dyDescent="0.2">
      <c r="B244" s="17">
        <v>29.855</v>
      </c>
      <c r="C244" s="17">
        <v>12.741935483870973</v>
      </c>
      <c r="D244" s="17"/>
      <c r="E244" s="45">
        <v>21.956250000000001</v>
      </c>
      <c r="K244" s="115"/>
      <c r="M244" s="131"/>
      <c r="N244" s="132"/>
    </row>
    <row r="245" spans="2:14" x14ac:dyDescent="0.2">
      <c r="B245" s="17">
        <v>30.105</v>
      </c>
      <c r="C245" s="17">
        <v>12.766666666666673</v>
      </c>
      <c r="D245" s="17"/>
      <c r="E245" s="45">
        <v>22.631250000000001</v>
      </c>
      <c r="K245" s="115"/>
      <c r="M245" s="131"/>
      <c r="N245" s="132"/>
    </row>
    <row r="246" spans="2:14" x14ac:dyDescent="0.2">
      <c r="B246" s="17">
        <v>50.48</v>
      </c>
      <c r="C246" s="17">
        <v>26.395161290322591</v>
      </c>
      <c r="D246" s="17"/>
      <c r="E246" s="45">
        <v>38.1</v>
      </c>
      <c r="K246" s="115"/>
      <c r="M246" s="131"/>
      <c r="N246" s="132"/>
    </row>
    <row r="247" spans="2:14" x14ac:dyDescent="0.2">
      <c r="B247" s="17">
        <v>67.98</v>
      </c>
      <c r="C247" s="17">
        <v>28.362903225806463</v>
      </c>
      <c r="D247" s="17"/>
      <c r="E247" s="45">
        <v>51.975000000000001</v>
      </c>
      <c r="K247" s="115"/>
      <c r="M247" s="131"/>
      <c r="N247" s="132"/>
    </row>
    <row r="248" spans="2:14" x14ac:dyDescent="0.2">
      <c r="B248" s="17">
        <v>64.855000000000004</v>
      </c>
      <c r="C248" s="17">
        <v>26.55</v>
      </c>
      <c r="D248" s="17"/>
      <c r="E248" s="45">
        <v>47.943750000000001</v>
      </c>
      <c r="K248" s="115"/>
      <c r="M248" s="131"/>
      <c r="N248" s="132"/>
    </row>
    <row r="249" spans="2:14" x14ac:dyDescent="0.2">
      <c r="B249" s="17">
        <v>41.354999999999997</v>
      </c>
      <c r="C249" s="17">
        <v>32.983870967741915</v>
      </c>
      <c r="D249" s="17"/>
      <c r="E249" s="45">
        <v>31.443750000000001</v>
      </c>
      <c r="K249" s="115"/>
      <c r="M249" s="131"/>
      <c r="N249" s="132"/>
    </row>
    <row r="250" spans="2:14" x14ac:dyDescent="0.2">
      <c r="B250" s="17">
        <v>40.354999999999997</v>
      </c>
      <c r="C250" s="17">
        <v>31.041666666666671</v>
      </c>
      <c r="D250" s="17"/>
      <c r="E250" s="45">
        <v>30.506250000000001</v>
      </c>
      <c r="K250" s="115"/>
      <c r="M250" s="131"/>
      <c r="N250" s="132"/>
    </row>
    <row r="251" spans="2:14" x14ac:dyDescent="0.2">
      <c r="B251" s="17">
        <v>40.604999999999997</v>
      </c>
      <c r="C251" s="17">
        <v>31.016129032258078</v>
      </c>
      <c r="D251" s="17"/>
      <c r="E251" s="45">
        <v>30.693750000000001</v>
      </c>
      <c r="K251" s="115"/>
      <c r="M251" s="131"/>
      <c r="N251" s="132"/>
    </row>
    <row r="252" spans="2:14" x14ac:dyDescent="0.2">
      <c r="B252" s="17">
        <v>36.65</v>
      </c>
      <c r="C252" s="17">
        <v>29.224193548387102</v>
      </c>
      <c r="D252" s="17"/>
      <c r="E252" s="45">
        <v>27.6</v>
      </c>
      <c r="K252" s="115"/>
      <c r="M252" s="131"/>
      <c r="N252" s="132"/>
    </row>
    <row r="253" spans="2:14" x14ac:dyDescent="0.2">
      <c r="B253" s="17">
        <v>36.15</v>
      </c>
      <c r="C253" s="17">
        <v>27.342857142857145</v>
      </c>
      <c r="D253" s="17"/>
      <c r="E253" s="45">
        <v>26.85</v>
      </c>
      <c r="K253" s="115"/>
      <c r="M253" s="131"/>
      <c r="N253" s="132"/>
    </row>
    <row r="254" spans="2:14" x14ac:dyDescent="0.2">
      <c r="B254" s="17">
        <v>33.592500000000001</v>
      </c>
      <c r="C254" s="17">
        <v>26.312903225806458</v>
      </c>
      <c r="D254" s="17"/>
      <c r="E254" s="45">
        <v>25.291875000000001</v>
      </c>
      <c r="K254" s="115"/>
      <c r="M254" s="131"/>
      <c r="N254" s="132"/>
    </row>
    <row r="255" spans="2:14" x14ac:dyDescent="0.2">
      <c r="B255" s="17">
        <v>31.2</v>
      </c>
      <c r="C255" s="17">
        <v>23.404166666666672</v>
      </c>
      <c r="D255" s="17"/>
      <c r="E255" s="45">
        <v>23.452500000000001</v>
      </c>
      <c r="K255" s="115"/>
      <c r="M255" s="131"/>
      <c r="N255" s="132"/>
    </row>
    <row r="256" spans="2:14" x14ac:dyDescent="0.2">
      <c r="B256" s="17">
        <v>29.95</v>
      </c>
      <c r="C256" s="17">
        <v>12.791935483870974</v>
      </c>
      <c r="D256" s="17"/>
      <c r="E256" s="45">
        <v>22.0275</v>
      </c>
      <c r="K256" s="115"/>
      <c r="M256" s="131"/>
      <c r="N256" s="132"/>
    </row>
    <row r="257" spans="2:14" x14ac:dyDescent="0.2">
      <c r="B257" s="17">
        <v>30.2</v>
      </c>
      <c r="C257" s="17">
        <v>12.816666666666674</v>
      </c>
      <c r="D257" s="17"/>
      <c r="E257" s="45">
        <v>22.702500000000001</v>
      </c>
      <c r="K257" s="115"/>
      <c r="M257" s="131"/>
      <c r="N257" s="132"/>
    </row>
    <row r="258" spans="2:14" x14ac:dyDescent="0.2">
      <c r="B258" s="17">
        <v>50.7</v>
      </c>
      <c r="C258" s="17">
        <v>26.445161290322591</v>
      </c>
      <c r="D258" s="17"/>
      <c r="E258" s="45">
        <v>38.265000000000001</v>
      </c>
      <c r="K258" s="115"/>
      <c r="M258" s="131"/>
      <c r="N258" s="132"/>
    </row>
    <row r="259" spans="2:14" x14ac:dyDescent="0.2">
      <c r="B259" s="17">
        <v>68.2</v>
      </c>
      <c r="C259" s="17">
        <v>28.412903225806463</v>
      </c>
      <c r="D259" s="17"/>
      <c r="E259" s="45">
        <v>52.14</v>
      </c>
      <c r="K259" s="115"/>
      <c r="M259" s="131"/>
      <c r="N259" s="132"/>
    </row>
    <row r="260" spans="2:14" x14ac:dyDescent="0.2">
      <c r="B260" s="17">
        <v>64.95</v>
      </c>
      <c r="C260" s="17">
        <v>26.6</v>
      </c>
      <c r="D260" s="17"/>
      <c r="E260" s="45">
        <v>48.015000000000001</v>
      </c>
      <c r="K260" s="115"/>
      <c r="M260" s="131"/>
      <c r="N260" s="132"/>
    </row>
    <row r="261" spans="2:14" x14ac:dyDescent="0.2">
      <c r="B261" s="17">
        <v>41.45</v>
      </c>
      <c r="C261" s="17">
        <v>33.033870967741912</v>
      </c>
      <c r="D261" s="17"/>
      <c r="E261" s="45">
        <v>31.515000000000001</v>
      </c>
      <c r="K261" s="115"/>
      <c r="M261" s="131"/>
      <c r="N261" s="132"/>
    </row>
    <row r="262" spans="2:14" x14ac:dyDescent="0.2">
      <c r="B262" s="17">
        <v>40.450000000000003</v>
      </c>
      <c r="C262" s="17">
        <v>31.091666666666672</v>
      </c>
      <c r="D262" s="17"/>
      <c r="E262" s="45">
        <v>30.577500000000001</v>
      </c>
      <c r="K262" s="115"/>
      <c r="M262" s="131"/>
      <c r="N262" s="132"/>
    </row>
    <row r="263" spans="2:14" x14ac:dyDescent="0.2">
      <c r="B263" s="17">
        <v>40.700000000000003</v>
      </c>
      <c r="C263" s="17">
        <v>31.066129032258079</v>
      </c>
      <c r="D263" s="17"/>
      <c r="E263" s="45">
        <v>30.765000000000001</v>
      </c>
      <c r="K263" s="115"/>
      <c r="M263" s="131"/>
      <c r="N263" s="132"/>
    </row>
    <row r="264" spans="2:14" x14ac:dyDescent="0.2">
      <c r="B264" s="17">
        <v>36.75</v>
      </c>
      <c r="C264" s="17">
        <v>29.274193548387103</v>
      </c>
      <c r="D264" s="17"/>
      <c r="E264" s="45">
        <v>27.675000000000001</v>
      </c>
      <c r="K264" s="115"/>
      <c r="M264" s="131"/>
      <c r="N264" s="132"/>
    </row>
    <row r="265" spans="2:14" x14ac:dyDescent="0.2">
      <c r="B265" s="17">
        <v>36.25</v>
      </c>
      <c r="C265" s="17">
        <v>27.392857142857146</v>
      </c>
      <c r="D265" s="17"/>
      <c r="E265" s="45">
        <v>26.925000000000001</v>
      </c>
      <c r="K265" s="115"/>
      <c r="M265" s="131"/>
      <c r="N265" s="132"/>
    </row>
    <row r="266" spans="2:14" x14ac:dyDescent="0.2">
      <c r="B266" s="17">
        <v>33.6875</v>
      </c>
      <c r="C266" s="17">
        <v>26.362903225806459</v>
      </c>
      <c r="D266" s="17"/>
      <c r="E266" s="45">
        <v>25.363125</v>
      </c>
      <c r="K266" s="115"/>
      <c r="M266" s="131"/>
      <c r="N266" s="132"/>
    </row>
    <row r="267" spans="2:14" x14ac:dyDescent="0.2">
      <c r="B267" s="17">
        <v>31.295000000000002</v>
      </c>
      <c r="C267" s="17">
        <v>23.454166666666673</v>
      </c>
      <c r="D267" s="17"/>
      <c r="E267" s="45">
        <v>23.52375</v>
      </c>
      <c r="K267" s="115"/>
      <c r="M267" s="131"/>
      <c r="N267" s="132"/>
    </row>
    <row r="268" spans="2:14" x14ac:dyDescent="0.2">
      <c r="B268" s="17">
        <v>30.045000000000002</v>
      </c>
      <c r="C268" s="17">
        <v>12.841935483870975</v>
      </c>
      <c r="D268" s="17"/>
      <c r="E268" s="45">
        <v>22.098749999999999</v>
      </c>
      <c r="K268" s="115"/>
      <c r="M268" s="131"/>
      <c r="N268" s="132"/>
    </row>
    <row r="269" spans="2:14" x14ac:dyDescent="0.2">
      <c r="B269" s="17">
        <v>30.295000000000002</v>
      </c>
      <c r="C269" s="17">
        <v>12.866666666666674</v>
      </c>
      <c r="D269" s="17"/>
      <c r="E269" s="45">
        <v>22.77375</v>
      </c>
      <c r="K269" s="115"/>
      <c r="M269" s="131"/>
      <c r="N269" s="132"/>
    </row>
    <row r="270" spans="2:14" x14ac:dyDescent="0.2">
      <c r="B270" s="17">
        <v>50.92</v>
      </c>
      <c r="C270" s="17">
        <v>26.495161290322592</v>
      </c>
      <c r="D270" s="17"/>
      <c r="E270" s="45">
        <v>38.43</v>
      </c>
      <c r="K270" s="115"/>
      <c r="M270" s="131"/>
      <c r="N270" s="132"/>
    </row>
    <row r="271" spans="2:14" x14ac:dyDescent="0.2">
      <c r="B271" s="17">
        <v>68.42</v>
      </c>
      <c r="C271" s="17">
        <v>28.462903225806464</v>
      </c>
      <c r="D271" s="17"/>
      <c r="E271" s="45">
        <v>52.305</v>
      </c>
      <c r="K271" s="115"/>
      <c r="M271" s="131"/>
      <c r="N271" s="132"/>
    </row>
    <row r="272" spans="2:14" x14ac:dyDescent="0.2">
      <c r="B272" s="17">
        <v>65.045000000000002</v>
      </c>
      <c r="C272" s="17">
        <v>26.65</v>
      </c>
      <c r="D272" s="17"/>
      <c r="E272" s="45">
        <v>48.08625</v>
      </c>
      <c r="K272" s="115"/>
      <c r="M272" s="131"/>
      <c r="N272" s="132"/>
    </row>
    <row r="273" spans="2:14" x14ac:dyDescent="0.2">
      <c r="B273" s="17">
        <v>41.545000000000002</v>
      </c>
      <c r="C273" s="17">
        <v>33.083870967741909</v>
      </c>
      <c r="D273" s="17"/>
      <c r="E273" s="45">
        <v>31.58625</v>
      </c>
      <c r="K273" s="115"/>
      <c r="M273" s="131"/>
      <c r="N273" s="132"/>
    </row>
    <row r="274" spans="2:14" x14ac:dyDescent="0.2">
      <c r="B274" s="17">
        <v>40.545000000000002</v>
      </c>
      <c r="C274" s="17">
        <v>31.141666666666673</v>
      </c>
      <c r="D274" s="17"/>
      <c r="E274" s="45">
        <v>30.64875</v>
      </c>
      <c r="K274" s="115"/>
      <c r="M274" s="131"/>
      <c r="N274" s="132"/>
    </row>
    <row r="275" spans="2:14" x14ac:dyDescent="0.2">
      <c r="B275" s="17">
        <v>40.795000000000002</v>
      </c>
      <c r="C275" s="17">
        <v>31.11612903225808</v>
      </c>
      <c r="D275" s="17"/>
      <c r="E275" s="45">
        <v>30.83625</v>
      </c>
      <c r="K275" s="115"/>
      <c r="M275" s="131"/>
      <c r="N275" s="132"/>
    </row>
    <row r="276" spans="2:14" x14ac:dyDescent="0.2">
      <c r="B276" s="17">
        <v>36.85</v>
      </c>
      <c r="C276" s="17">
        <v>29.324193548387104</v>
      </c>
      <c r="D276" s="17"/>
      <c r="E276" s="45">
        <v>27.75</v>
      </c>
      <c r="K276" s="115"/>
      <c r="M276" s="131"/>
      <c r="N276" s="132"/>
    </row>
    <row r="277" spans="2:14" x14ac:dyDescent="0.2">
      <c r="B277" s="17">
        <v>36.35</v>
      </c>
      <c r="C277" s="17">
        <v>27.442857142857147</v>
      </c>
      <c r="D277" s="17"/>
      <c r="E277" s="45">
        <v>27</v>
      </c>
      <c r="K277" s="115"/>
      <c r="M277" s="131"/>
      <c r="N277" s="132"/>
    </row>
    <row r="278" spans="2:14" x14ac:dyDescent="0.2">
      <c r="B278" s="17">
        <v>33.782499999999999</v>
      </c>
      <c r="C278" s="17">
        <v>26.41290322580646</v>
      </c>
      <c r="D278" s="17"/>
      <c r="E278" s="45">
        <v>25.434374999999999</v>
      </c>
      <c r="K278" s="115"/>
      <c r="M278" s="131"/>
      <c r="N278" s="132"/>
    </row>
    <row r="279" spans="2:14" x14ac:dyDescent="0.2">
      <c r="B279" s="17">
        <v>31.39</v>
      </c>
      <c r="C279" s="17">
        <v>23.504166666666674</v>
      </c>
      <c r="D279" s="17"/>
      <c r="E279" s="45">
        <v>23.594999999999999</v>
      </c>
      <c r="K279" s="115"/>
      <c r="M279" s="131"/>
      <c r="N279" s="132"/>
    </row>
    <row r="280" spans="2:14" x14ac:dyDescent="0.2">
      <c r="B280" s="17">
        <v>30.14</v>
      </c>
      <c r="C280" s="17">
        <v>12.891935483870975</v>
      </c>
      <c r="D280" s="17"/>
      <c r="E280" s="45">
        <v>22.17</v>
      </c>
      <c r="K280" s="115"/>
      <c r="M280" s="131"/>
      <c r="N280" s="132"/>
    </row>
    <row r="281" spans="2:14" x14ac:dyDescent="0.2">
      <c r="B281" s="17">
        <v>30.39</v>
      </c>
      <c r="C281" s="17">
        <v>12.916666666666675</v>
      </c>
      <c r="D281" s="17"/>
      <c r="E281" s="45">
        <v>22.844999999999999</v>
      </c>
      <c r="K281" s="115"/>
      <c r="M281" s="131"/>
      <c r="N281" s="132"/>
    </row>
    <row r="282" spans="2:14" x14ac:dyDescent="0.2">
      <c r="B282" s="17">
        <v>51.14</v>
      </c>
      <c r="C282" s="17">
        <v>26.545161290322593</v>
      </c>
      <c r="D282" s="17"/>
      <c r="E282" s="45">
        <v>38.594999999999999</v>
      </c>
      <c r="K282" s="115"/>
      <c r="M282" s="131"/>
      <c r="N282" s="132"/>
    </row>
    <row r="283" spans="2:14" x14ac:dyDescent="0.2">
      <c r="B283" s="17">
        <v>68.64</v>
      </c>
      <c r="C283" s="17">
        <v>28.512903225806465</v>
      </c>
      <c r="D283" s="17"/>
      <c r="E283" s="45">
        <v>52.47</v>
      </c>
      <c r="K283" s="115"/>
      <c r="M283" s="131"/>
      <c r="N283" s="132"/>
    </row>
    <row r="284" spans="2:14" x14ac:dyDescent="0.2">
      <c r="B284" s="17">
        <v>65.14</v>
      </c>
      <c r="C284" s="17">
        <v>26.7</v>
      </c>
      <c r="D284" s="17"/>
      <c r="E284" s="45">
        <v>48.157499999999999</v>
      </c>
      <c r="K284" s="115"/>
      <c r="M284" s="131"/>
      <c r="N284" s="132"/>
    </row>
    <row r="285" spans="2:14" x14ac:dyDescent="0.2">
      <c r="B285" s="17">
        <v>41.64</v>
      </c>
      <c r="C285" s="17">
        <v>33.133870967741906</v>
      </c>
      <c r="D285" s="17"/>
      <c r="E285" s="45">
        <v>31.657499999999999</v>
      </c>
      <c r="K285" s="115"/>
      <c r="M285" s="131"/>
      <c r="N285" s="132"/>
    </row>
    <row r="286" spans="2:14" x14ac:dyDescent="0.2">
      <c r="B286" s="17">
        <v>40.64</v>
      </c>
      <c r="C286" s="17">
        <v>31.191666666666674</v>
      </c>
      <c r="D286" s="17"/>
      <c r="E286" s="45">
        <v>30.72</v>
      </c>
      <c r="K286" s="115"/>
      <c r="M286" s="131"/>
      <c r="N286" s="132"/>
    </row>
    <row r="287" spans="2:14" x14ac:dyDescent="0.2">
      <c r="B287" s="17">
        <v>40.89</v>
      </c>
      <c r="C287" s="17">
        <v>31.16612903225808</v>
      </c>
      <c r="D287" s="17"/>
      <c r="E287" s="45">
        <v>30.907499999999999</v>
      </c>
      <c r="K287" s="115"/>
      <c r="M287" s="131"/>
      <c r="N287" s="132"/>
    </row>
    <row r="288" spans="2:14" x14ac:dyDescent="0.2">
      <c r="B288" s="17">
        <v>36.950000000000003</v>
      </c>
      <c r="C288" s="17">
        <v>29.374193548387105</v>
      </c>
      <c r="D288" s="17"/>
      <c r="E288" s="45">
        <v>27.824999999999999</v>
      </c>
      <c r="K288" s="115"/>
      <c r="M288" s="131"/>
      <c r="N288" s="132"/>
    </row>
    <row r="289" spans="2:14" x14ac:dyDescent="0.2">
      <c r="B289" s="17">
        <v>36.450000000000003</v>
      </c>
      <c r="C289" s="17">
        <v>27.492857142857147</v>
      </c>
      <c r="D289" s="17"/>
      <c r="E289" s="45">
        <v>27.074999999999999</v>
      </c>
      <c r="K289" s="115"/>
      <c r="M289" s="131"/>
      <c r="N289" s="132"/>
    </row>
    <row r="290" spans="2:14" x14ac:dyDescent="0.2">
      <c r="B290" s="17">
        <v>33.877499999999998</v>
      </c>
      <c r="C290" s="17">
        <v>26.46290322580646</v>
      </c>
      <c r="D290" s="17"/>
      <c r="E290" s="45">
        <v>25.505624999999998</v>
      </c>
      <c r="K290" s="115"/>
      <c r="M290" s="131"/>
      <c r="N290" s="132"/>
    </row>
    <row r="291" spans="2:14" x14ac:dyDescent="0.2">
      <c r="B291" s="17">
        <v>31.484999999999999</v>
      </c>
      <c r="C291" s="17">
        <v>23.554166666666674</v>
      </c>
      <c r="D291" s="17"/>
      <c r="E291" s="45">
        <v>23.666250000000002</v>
      </c>
      <c r="K291" s="115"/>
      <c r="M291" s="131"/>
      <c r="N291" s="132"/>
    </row>
    <row r="292" spans="2:14" x14ac:dyDescent="0.2">
      <c r="B292" s="17">
        <v>30.234999999999999</v>
      </c>
      <c r="C292" s="17">
        <v>12.941935483870976</v>
      </c>
      <c r="D292" s="17"/>
      <c r="E292" s="45">
        <v>22.241250000000001</v>
      </c>
      <c r="K292" s="115"/>
      <c r="M292" s="131"/>
      <c r="N292" s="132"/>
    </row>
    <row r="293" spans="2:14" x14ac:dyDescent="0.2">
      <c r="B293" s="17">
        <v>30.484999999999999</v>
      </c>
      <c r="C293" s="17">
        <v>12.966666666666676</v>
      </c>
      <c r="D293" s="17"/>
      <c r="E293" s="45">
        <v>22.916250000000002</v>
      </c>
      <c r="K293" s="115"/>
      <c r="M293" s="131"/>
      <c r="N293" s="132"/>
    </row>
    <row r="294" spans="2:14" x14ac:dyDescent="0.2">
      <c r="K294" s="115"/>
      <c r="M294" s="131"/>
      <c r="N294" s="132"/>
    </row>
    <row r="295" spans="2:14" x14ac:dyDescent="0.2">
      <c r="K295" s="115"/>
      <c r="M295" s="131"/>
      <c r="N295" s="132"/>
    </row>
    <row r="296" spans="2:14" x14ac:dyDescent="0.2">
      <c r="K296" s="115"/>
      <c r="M296" s="131"/>
      <c r="N296" s="132"/>
    </row>
    <row r="297" spans="2:14" x14ac:dyDescent="0.2">
      <c r="K297" s="115"/>
      <c r="M297" s="131"/>
      <c r="N297" s="132"/>
    </row>
    <row r="298" spans="2:14" x14ac:dyDescent="0.2">
      <c r="K298" s="115"/>
      <c r="M298" s="131"/>
      <c r="N298" s="132"/>
    </row>
    <row r="299" spans="2:14" x14ac:dyDescent="0.2">
      <c r="K299" s="115"/>
      <c r="M299" s="131"/>
      <c r="N299" s="132"/>
    </row>
    <row r="300" spans="2:14" x14ac:dyDescent="0.2">
      <c r="K300" s="115"/>
      <c r="M300" s="131"/>
      <c r="N300" s="132"/>
    </row>
    <row r="301" spans="2:14" x14ac:dyDescent="0.2">
      <c r="K301" s="115"/>
      <c r="M301" s="131"/>
      <c r="N301" s="132"/>
    </row>
    <row r="302" spans="2:14" x14ac:dyDescent="0.2">
      <c r="K302" s="115"/>
      <c r="M302" s="131"/>
      <c r="N302" s="132"/>
    </row>
    <row r="303" spans="2:14" x14ac:dyDescent="0.2">
      <c r="K303" s="115"/>
      <c r="M303" s="131"/>
      <c r="N303" s="132"/>
    </row>
    <row r="304" spans="2:14" x14ac:dyDescent="0.2">
      <c r="K304" s="115"/>
      <c r="M304" s="131"/>
      <c r="N304" s="132"/>
    </row>
    <row r="305" spans="11:14" x14ac:dyDescent="0.2">
      <c r="K305" s="115"/>
      <c r="M305" s="131"/>
      <c r="N305" s="132"/>
    </row>
    <row r="306" spans="11:14" x14ac:dyDescent="0.2">
      <c r="K306" s="115"/>
      <c r="M306" s="131"/>
      <c r="N306" s="132"/>
    </row>
    <row r="307" spans="11:14" x14ac:dyDescent="0.2">
      <c r="K307" s="115"/>
      <c r="M307" s="131"/>
      <c r="N307" s="132"/>
    </row>
    <row r="308" spans="11:14" x14ac:dyDescent="0.2">
      <c r="K308" s="115"/>
      <c r="M308" s="131"/>
      <c r="N308" s="132"/>
    </row>
    <row r="309" spans="11:14" x14ac:dyDescent="0.2">
      <c r="K309" s="115"/>
      <c r="M309" s="131"/>
      <c r="N309" s="132"/>
    </row>
    <row r="310" spans="11:14" x14ac:dyDescent="0.2">
      <c r="K310" s="115"/>
      <c r="M310" s="131"/>
      <c r="N310" s="132"/>
    </row>
    <row r="311" spans="11:14" x14ac:dyDescent="0.2">
      <c r="K311" s="115"/>
      <c r="M311" s="131"/>
      <c r="N311" s="132"/>
    </row>
    <row r="312" spans="11:14" x14ac:dyDescent="0.2">
      <c r="K312" s="115"/>
      <c r="M312" s="131"/>
      <c r="N312" s="132"/>
    </row>
    <row r="313" spans="11:14" x14ac:dyDescent="0.2">
      <c r="K313" s="115"/>
      <c r="M313" s="131"/>
      <c r="N313" s="132"/>
    </row>
    <row r="314" spans="11:14" x14ac:dyDescent="0.2">
      <c r="K314" s="115"/>
      <c r="M314" s="131"/>
      <c r="N314" s="132"/>
    </row>
    <row r="315" spans="11:14" x14ac:dyDescent="0.2">
      <c r="K315" s="115"/>
      <c r="M315" s="131"/>
      <c r="N315" s="132"/>
    </row>
    <row r="316" spans="11:14" x14ac:dyDescent="0.2">
      <c r="K316" s="115"/>
      <c r="M316" s="131"/>
      <c r="N316" s="132"/>
    </row>
    <row r="317" spans="11:14" x14ac:dyDescent="0.2">
      <c r="K317" s="115"/>
      <c r="M317" s="131"/>
      <c r="N317" s="132"/>
    </row>
    <row r="318" spans="11:14" x14ac:dyDescent="0.2">
      <c r="K318" s="115"/>
      <c r="M318" s="131"/>
      <c r="N318" s="132"/>
    </row>
    <row r="319" spans="11:14" x14ac:dyDescent="0.2">
      <c r="K319" s="115"/>
      <c r="M319" s="131"/>
      <c r="N319" s="132"/>
    </row>
    <row r="320" spans="11:14" x14ac:dyDescent="0.2">
      <c r="K320" s="115"/>
      <c r="M320" s="131"/>
      <c r="N320" s="132"/>
    </row>
    <row r="321" spans="11:14" x14ac:dyDescent="0.2">
      <c r="K321" s="115"/>
      <c r="M321" s="131"/>
      <c r="N321" s="132"/>
    </row>
    <row r="322" spans="11:14" x14ac:dyDescent="0.2">
      <c r="K322" s="115"/>
      <c r="M322" s="131"/>
      <c r="N322" s="132"/>
    </row>
    <row r="323" spans="11:14" x14ac:dyDescent="0.2">
      <c r="K323" s="115"/>
      <c r="M323" s="131"/>
      <c r="N323" s="132"/>
    </row>
    <row r="324" spans="11:14" x14ac:dyDescent="0.2">
      <c r="K324" s="115"/>
      <c r="M324" s="131"/>
      <c r="N324" s="132"/>
    </row>
    <row r="325" spans="11:14" x14ac:dyDescent="0.2">
      <c r="K325" s="115"/>
      <c r="M325" s="131"/>
      <c r="N325" s="132"/>
    </row>
    <row r="326" spans="11:14" x14ac:dyDescent="0.2">
      <c r="K326" s="115"/>
      <c r="M326" s="131"/>
      <c r="N326" s="132"/>
    </row>
    <row r="327" spans="11:14" x14ac:dyDescent="0.2">
      <c r="K327" s="115"/>
      <c r="M327" s="131"/>
      <c r="N327" s="132"/>
    </row>
    <row r="328" spans="11:14" x14ac:dyDescent="0.2">
      <c r="K328" s="115"/>
      <c r="M328" s="131"/>
      <c r="N328" s="132"/>
    </row>
    <row r="329" spans="11:14" x14ac:dyDescent="0.2">
      <c r="K329" s="115"/>
      <c r="M329" s="131"/>
      <c r="N329" s="132"/>
    </row>
    <row r="330" spans="11:14" x14ac:dyDescent="0.2">
      <c r="K330" s="115"/>
      <c r="M330" s="131"/>
      <c r="N330" s="132"/>
    </row>
    <row r="331" spans="11:14" x14ac:dyDescent="0.2">
      <c r="K331" s="115"/>
      <c r="M331" s="131"/>
      <c r="N331" s="132"/>
    </row>
    <row r="332" spans="11:14" x14ac:dyDescent="0.2">
      <c r="K332" s="115"/>
      <c r="M332" s="131"/>
      <c r="N332" s="132"/>
    </row>
    <row r="333" spans="11:14" x14ac:dyDescent="0.2">
      <c r="K333" s="115"/>
      <c r="M333" s="131"/>
      <c r="N333" s="132"/>
    </row>
    <row r="334" spans="11:14" x14ac:dyDescent="0.2">
      <c r="K334" s="115"/>
      <c r="M334" s="131"/>
      <c r="N334" s="132"/>
    </row>
    <row r="335" spans="11:14" x14ac:dyDescent="0.2">
      <c r="K335" s="115"/>
      <c r="M335" s="131"/>
      <c r="N335" s="132"/>
    </row>
    <row r="336" spans="11:14" x14ac:dyDescent="0.2">
      <c r="K336" s="115"/>
      <c r="M336" s="131"/>
      <c r="N336" s="132"/>
    </row>
    <row r="337" spans="11:14" x14ac:dyDescent="0.2">
      <c r="K337" s="115"/>
      <c r="M337" s="131"/>
      <c r="N337" s="132"/>
    </row>
    <row r="338" spans="11:14" x14ac:dyDescent="0.2">
      <c r="K338" s="115"/>
      <c r="M338" s="131"/>
      <c r="N338" s="132"/>
    </row>
    <row r="339" spans="11:14" x14ac:dyDescent="0.2">
      <c r="K339" s="115"/>
      <c r="M339" s="131"/>
      <c r="N339" s="132"/>
    </row>
    <row r="340" spans="11:14" x14ac:dyDescent="0.2">
      <c r="K340" s="115"/>
      <c r="M340" s="131"/>
      <c r="N340" s="132"/>
    </row>
    <row r="341" spans="11:14" x14ac:dyDescent="0.2">
      <c r="K341" s="115"/>
      <c r="M341" s="131"/>
      <c r="N341" s="132"/>
    </row>
    <row r="342" spans="11:14" x14ac:dyDescent="0.2">
      <c r="K342" s="115"/>
      <c r="M342" s="131"/>
      <c r="N342" s="132"/>
    </row>
    <row r="343" spans="11:14" x14ac:dyDescent="0.2">
      <c r="K343" s="115"/>
      <c r="M343" s="131"/>
      <c r="N343" s="132"/>
    </row>
    <row r="344" spans="11:14" x14ac:dyDescent="0.2">
      <c r="K344" s="115"/>
      <c r="M344" s="131"/>
      <c r="N344" s="132"/>
    </row>
    <row r="345" spans="11:14" x14ac:dyDescent="0.2">
      <c r="K345" s="115"/>
      <c r="M345" s="131"/>
      <c r="N345" s="132"/>
    </row>
    <row r="346" spans="11:14" x14ac:dyDescent="0.2">
      <c r="K346" s="115"/>
      <c r="M346" s="131"/>
      <c r="N346" s="132"/>
    </row>
    <row r="347" spans="11:14" x14ac:dyDescent="0.2">
      <c r="K347" s="115"/>
      <c r="M347" s="131"/>
      <c r="N347" s="132"/>
    </row>
    <row r="348" spans="11:14" x14ac:dyDescent="0.2">
      <c r="K348" s="115"/>
      <c r="M348" s="131"/>
      <c r="N348" s="132"/>
    </row>
    <row r="349" spans="11:14" x14ac:dyDescent="0.2">
      <c r="K349" s="115"/>
      <c r="M349" s="131"/>
      <c r="N349" s="132"/>
    </row>
    <row r="350" spans="11:14" x14ac:dyDescent="0.2">
      <c r="K350" s="115"/>
      <c r="M350" s="131"/>
      <c r="N350" s="132"/>
    </row>
    <row r="351" spans="11:14" x14ac:dyDescent="0.2">
      <c r="K351" s="115"/>
      <c r="M351" s="131"/>
      <c r="N351" s="132"/>
    </row>
    <row r="352" spans="11:14" x14ac:dyDescent="0.2">
      <c r="K352" s="115"/>
      <c r="M352" s="131"/>
      <c r="N352" s="132"/>
    </row>
    <row r="353" spans="11:14" x14ac:dyDescent="0.2">
      <c r="K353" s="115"/>
      <c r="M353" s="131"/>
      <c r="N353" s="132"/>
    </row>
    <row r="354" spans="11:14" x14ac:dyDescent="0.2">
      <c r="K354" s="115"/>
      <c r="M354" s="131"/>
      <c r="N354" s="132"/>
    </row>
    <row r="355" spans="11:14" x14ac:dyDescent="0.2">
      <c r="K355" s="115"/>
      <c r="M355" s="131"/>
      <c r="N355" s="132"/>
    </row>
    <row r="356" spans="11:14" x14ac:dyDescent="0.2">
      <c r="K356" s="115"/>
      <c r="M356" s="131"/>
      <c r="N356" s="132"/>
    </row>
    <row r="357" spans="11:14" x14ac:dyDescent="0.2">
      <c r="K357" s="115"/>
      <c r="M357" s="131"/>
      <c r="N357" s="132"/>
    </row>
    <row r="358" spans="11:14" x14ac:dyDescent="0.2">
      <c r="K358" s="115"/>
      <c r="M358" s="131"/>
      <c r="N358" s="132"/>
    </row>
    <row r="359" spans="11:14" x14ac:dyDescent="0.2">
      <c r="K359" s="115"/>
      <c r="M359" s="131"/>
      <c r="N359" s="132"/>
    </row>
    <row r="360" spans="11:14" x14ac:dyDescent="0.2">
      <c r="K360" s="115"/>
      <c r="M360" s="131"/>
      <c r="N360" s="132"/>
    </row>
    <row r="361" spans="11:14" x14ac:dyDescent="0.2">
      <c r="K361" s="115"/>
      <c r="M361" s="131"/>
      <c r="N361" s="132"/>
    </row>
    <row r="362" spans="11:14" x14ac:dyDescent="0.2">
      <c r="K362" s="115"/>
      <c r="M362" s="131"/>
      <c r="N362" s="132"/>
    </row>
    <row r="363" spans="11:14" x14ac:dyDescent="0.2">
      <c r="K363" s="115"/>
      <c r="M363" s="131"/>
      <c r="N363" s="132"/>
    </row>
    <row r="364" spans="11:14" x14ac:dyDescent="0.2">
      <c r="K364" s="115"/>
      <c r="M364" s="131"/>
      <c r="N364" s="132"/>
    </row>
    <row r="365" spans="11:14" x14ac:dyDescent="0.2">
      <c r="K365" s="115"/>
      <c r="M365" s="131"/>
      <c r="N365" s="132"/>
    </row>
    <row r="366" spans="11:14" x14ac:dyDescent="0.2">
      <c r="K366" s="115"/>
      <c r="M366" s="131"/>
      <c r="N366" s="132"/>
    </row>
    <row r="367" spans="11:14" x14ac:dyDescent="0.2">
      <c r="K367" s="115"/>
      <c r="M367" s="131"/>
      <c r="N367" s="132"/>
    </row>
    <row r="368" spans="11:14" x14ac:dyDescent="0.2">
      <c r="K368" s="115"/>
      <c r="M368" s="131"/>
      <c r="N368" s="132"/>
    </row>
    <row r="369" spans="11:14" x14ac:dyDescent="0.2">
      <c r="K369" s="115"/>
      <c r="M369" s="131"/>
      <c r="N369" s="132"/>
    </row>
    <row r="370" spans="11:14" x14ac:dyDescent="0.2">
      <c r="K370" s="115"/>
      <c r="M370" s="131"/>
      <c r="N370" s="132"/>
    </row>
    <row r="371" spans="11:14" x14ac:dyDescent="0.2">
      <c r="K371" s="115"/>
      <c r="M371" s="131"/>
      <c r="N371" s="132"/>
    </row>
    <row r="372" spans="11:14" x14ac:dyDescent="0.2">
      <c r="K372" s="115"/>
      <c r="M372" s="131"/>
      <c r="N372" s="132"/>
    </row>
    <row r="373" spans="11:14" x14ac:dyDescent="0.2">
      <c r="K373" s="115"/>
      <c r="M373" s="131"/>
      <c r="N373" s="132"/>
    </row>
    <row r="374" spans="11:14" x14ac:dyDescent="0.2">
      <c r="K374" s="115"/>
      <c r="M374" s="131"/>
      <c r="N374" s="132"/>
    </row>
    <row r="375" spans="11:14" x14ac:dyDescent="0.2">
      <c r="K375" s="116"/>
      <c r="M375" s="133"/>
      <c r="N375" s="134"/>
    </row>
    <row r="376" spans="11:14" x14ac:dyDescent="0.2">
      <c r="K376" s="116"/>
      <c r="M376" s="133"/>
      <c r="N376" s="134"/>
    </row>
    <row r="377" spans="11:14" x14ac:dyDescent="0.2">
      <c r="K377" s="116"/>
      <c r="M377" s="133"/>
      <c r="N377" s="134"/>
    </row>
    <row r="378" spans="11:14" x14ac:dyDescent="0.2">
      <c r="K378" s="116"/>
      <c r="M378" s="133"/>
      <c r="N378" s="134"/>
    </row>
    <row r="379" spans="11:14" x14ac:dyDescent="0.2">
      <c r="K379" s="116"/>
      <c r="M379" s="133"/>
      <c r="N379" s="134"/>
    </row>
    <row r="380" spans="11:14" x14ac:dyDescent="0.2">
      <c r="K380" s="116"/>
      <c r="M380" s="133"/>
      <c r="N380" s="134"/>
    </row>
    <row r="381" spans="11:14" x14ac:dyDescent="0.2">
      <c r="K381" s="116"/>
      <c r="M381" s="133"/>
      <c r="N381" s="134"/>
    </row>
    <row r="382" spans="11:14" x14ac:dyDescent="0.2">
      <c r="K382" s="116"/>
      <c r="M382" s="133"/>
      <c r="N382" s="134"/>
    </row>
    <row r="383" spans="11:14" x14ac:dyDescent="0.2">
      <c r="K383" s="116"/>
      <c r="M383" s="133"/>
      <c r="N383" s="134"/>
    </row>
    <row r="384" spans="11:14" x14ac:dyDescent="0.2">
      <c r="K384" s="116"/>
      <c r="M384" s="133"/>
      <c r="N384" s="134"/>
    </row>
    <row r="385" spans="11:14" x14ac:dyDescent="0.2">
      <c r="K385" s="116"/>
      <c r="M385" s="133"/>
      <c r="N385" s="134"/>
    </row>
    <row r="386" spans="11:14" x14ac:dyDescent="0.2">
      <c r="K386" s="116"/>
      <c r="M386" s="133"/>
      <c r="N386" s="134"/>
    </row>
    <row r="387" spans="11:14" x14ac:dyDescent="0.2">
      <c r="K387" s="116"/>
      <c r="M387" s="133"/>
      <c r="N387" s="134"/>
    </row>
    <row r="388" spans="11:14" x14ac:dyDescent="0.2">
      <c r="K388" s="116"/>
      <c r="M388" s="133"/>
      <c r="N388" s="134"/>
    </row>
    <row r="389" spans="11:14" x14ac:dyDescent="0.2">
      <c r="K389" s="116"/>
      <c r="M389" s="133"/>
      <c r="N389" s="134"/>
    </row>
    <row r="390" spans="11:14" x14ac:dyDescent="0.2">
      <c r="K390" s="116"/>
      <c r="M390" s="133"/>
      <c r="N390" s="134"/>
    </row>
    <row r="391" spans="11:14" x14ac:dyDescent="0.2">
      <c r="K391" s="116"/>
      <c r="M391" s="133"/>
      <c r="N391" s="134"/>
    </row>
    <row r="392" spans="11:14" x14ac:dyDescent="0.2">
      <c r="K392" s="116"/>
      <c r="M392" s="133"/>
      <c r="N392" s="134"/>
    </row>
    <row r="393" spans="11:14" x14ac:dyDescent="0.2">
      <c r="K393" s="116"/>
      <c r="M393" s="133"/>
      <c r="N393" s="134"/>
    </row>
    <row r="394" spans="11:14" x14ac:dyDescent="0.2">
      <c r="K394" s="116"/>
      <c r="M394" s="133"/>
      <c r="N394" s="134"/>
    </row>
    <row r="395" spans="11:14" x14ac:dyDescent="0.2">
      <c r="K395" s="116"/>
      <c r="M395" s="133"/>
      <c r="N395" s="134"/>
    </row>
    <row r="396" spans="11:14" x14ac:dyDescent="0.2">
      <c r="K396" s="116"/>
      <c r="M396" s="133"/>
      <c r="N396" s="134"/>
    </row>
    <row r="397" spans="11:14" x14ac:dyDescent="0.2">
      <c r="K397" s="116"/>
      <c r="M397" s="133"/>
      <c r="N397" s="134"/>
    </row>
    <row r="398" spans="11:14" x14ac:dyDescent="0.2">
      <c r="K398" s="116"/>
      <c r="M398" s="133"/>
      <c r="N398" s="134"/>
    </row>
    <row r="399" spans="11:14" x14ac:dyDescent="0.2">
      <c r="K399" s="116"/>
      <c r="M399" s="133"/>
      <c r="N399" s="134"/>
    </row>
    <row r="400" spans="11:14" x14ac:dyDescent="0.2">
      <c r="K400" s="116"/>
      <c r="M400" s="133"/>
      <c r="N400" s="134"/>
    </row>
    <row r="401" spans="11:14" x14ac:dyDescent="0.2">
      <c r="K401" s="116"/>
      <c r="M401" s="133"/>
      <c r="N401" s="134"/>
    </row>
    <row r="402" spans="11:14" x14ac:dyDescent="0.2">
      <c r="K402" s="116"/>
      <c r="M402" s="133"/>
      <c r="N402" s="134"/>
    </row>
    <row r="403" spans="11:14" x14ac:dyDescent="0.2">
      <c r="K403" s="116"/>
      <c r="M403" s="133"/>
      <c r="N403" s="134"/>
    </row>
    <row r="404" spans="11:14" x14ac:dyDescent="0.2">
      <c r="K404" s="116"/>
      <c r="M404" s="133"/>
      <c r="N404" s="134"/>
    </row>
    <row r="405" spans="11:14" x14ac:dyDescent="0.2">
      <c r="K405" s="116"/>
      <c r="M405" s="133"/>
      <c r="N405" s="134"/>
    </row>
    <row r="406" spans="11:14" x14ac:dyDescent="0.2">
      <c r="K406" s="116"/>
      <c r="M406" s="133"/>
      <c r="N406" s="134"/>
    </row>
    <row r="407" spans="11:14" x14ac:dyDescent="0.2">
      <c r="K407" s="116"/>
      <c r="M407" s="133"/>
      <c r="N407" s="134"/>
    </row>
    <row r="408" spans="11:14" x14ac:dyDescent="0.2">
      <c r="K408" s="116"/>
      <c r="M408" s="133"/>
      <c r="N408" s="134"/>
    </row>
    <row r="409" spans="11:14" x14ac:dyDescent="0.2">
      <c r="K409" s="116"/>
      <c r="M409" s="133"/>
      <c r="N409" s="134"/>
    </row>
    <row r="410" spans="11:14" x14ac:dyDescent="0.2">
      <c r="K410" s="116"/>
      <c r="M410" s="133"/>
      <c r="N410" s="134"/>
    </row>
    <row r="411" spans="11:14" x14ac:dyDescent="0.2">
      <c r="K411" s="116"/>
      <c r="M411" s="133"/>
      <c r="N411" s="134"/>
    </row>
    <row r="412" spans="11:14" x14ac:dyDescent="0.2">
      <c r="K412" s="116"/>
      <c r="M412" s="133"/>
      <c r="N412" s="134"/>
    </row>
    <row r="413" spans="11:14" x14ac:dyDescent="0.2">
      <c r="K413" s="116"/>
      <c r="M413" s="133"/>
      <c r="N413" s="134"/>
    </row>
    <row r="414" spans="11:14" x14ac:dyDescent="0.2">
      <c r="K414" s="116"/>
      <c r="M414" s="133"/>
      <c r="N414" s="134"/>
    </row>
    <row r="415" spans="11:14" x14ac:dyDescent="0.2">
      <c r="K415" s="116"/>
      <c r="M415" s="133"/>
      <c r="N415" s="134"/>
    </row>
    <row r="416" spans="11:14" x14ac:dyDescent="0.2">
      <c r="K416" s="116"/>
      <c r="M416" s="133"/>
      <c r="N416" s="134"/>
    </row>
    <row r="417" spans="11:14" x14ac:dyDescent="0.2">
      <c r="K417" s="116"/>
      <c r="M417" s="133"/>
      <c r="N417" s="134"/>
    </row>
    <row r="418" spans="11:14" x14ac:dyDescent="0.2">
      <c r="K418" s="116"/>
      <c r="M418" s="133"/>
      <c r="N418" s="134"/>
    </row>
    <row r="419" spans="11:14" x14ac:dyDescent="0.2">
      <c r="K419" s="116"/>
      <c r="M419" s="133"/>
      <c r="N419" s="134"/>
    </row>
    <row r="420" spans="11:14" x14ac:dyDescent="0.2">
      <c r="K420" s="116"/>
      <c r="M420" s="133"/>
      <c r="N420" s="134"/>
    </row>
    <row r="421" spans="11:14" x14ac:dyDescent="0.2">
      <c r="K421" s="116"/>
      <c r="M421" s="133"/>
      <c r="N421" s="134"/>
    </row>
    <row r="422" spans="11:14" x14ac:dyDescent="0.2">
      <c r="K422" s="116"/>
      <c r="M422" s="133"/>
      <c r="N422" s="134"/>
    </row>
    <row r="423" spans="11:14" x14ac:dyDescent="0.2">
      <c r="K423" s="116"/>
      <c r="M423" s="133"/>
      <c r="N423" s="134"/>
    </row>
    <row r="424" spans="11:14" x14ac:dyDescent="0.2">
      <c r="K424" s="116"/>
      <c r="M424" s="133"/>
      <c r="N424" s="134"/>
    </row>
    <row r="425" spans="11:14" x14ac:dyDescent="0.2">
      <c r="K425" s="116"/>
      <c r="M425" s="133"/>
      <c r="N425" s="134"/>
    </row>
    <row r="426" spans="11:14" x14ac:dyDescent="0.2">
      <c r="K426" s="116"/>
      <c r="M426" s="133"/>
      <c r="N426" s="134"/>
    </row>
    <row r="427" spans="11:14" x14ac:dyDescent="0.2">
      <c r="K427" s="116"/>
      <c r="M427" s="133"/>
      <c r="N427" s="134"/>
    </row>
    <row r="428" spans="11:14" x14ac:dyDescent="0.2">
      <c r="K428" s="116"/>
      <c r="M428" s="133"/>
      <c r="N428" s="134"/>
    </row>
    <row r="429" spans="11:14" x14ac:dyDescent="0.2">
      <c r="K429" s="116"/>
      <c r="M429" s="133"/>
      <c r="N429" s="134"/>
    </row>
    <row r="430" spans="11:14" x14ac:dyDescent="0.2">
      <c r="K430" s="116"/>
      <c r="M430" s="133"/>
      <c r="N430" s="134"/>
    </row>
    <row r="431" spans="11:14" x14ac:dyDescent="0.2">
      <c r="K431" s="116"/>
      <c r="M431" s="133"/>
      <c r="N431" s="134"/>
    </row>
    <row r="432" spans="11:14" x14ac:dyDescent="0.2">
      <c r="K432" s="116"/>
      <c r="M432" s="133"/>
      <c r="N432" s="134"/>
    </row>
    <row r="433" spans="11:14" x14ac:dyDescent="0.2">
      <c r="K433" s="116"/>
      <c r="M433" s="133"/>
      <c r="N433" s="134"/>
    </row>
    <row r="434" spans="11:14" x14ac:dyDescent="0.2">
      <c r="K434" s="116"/>
      <c r="M434" s="133"/>
      <c r="N434" s="134"/>
    </row>
    <row r="435" spans="11:14" x14ac:dyDescent="0.2">
      <c r="K435" s="116"/>
      <c r="M435" s="133"/>
      <c r="N435" s="134"/>
    </row>
    <row r="436" spans="11:14" x14ac:dyDescent="0.2">
      <c r="K436" s="116"/>
      <c r="M436" s="133"/>
      <c r="N436" s="134"/>
    </row>
    <row r="437" spans="11:14" x14ac:dyDescent="0.2">
      <c r="K437" s="116"/>
      <c r="M437" s="133"/>
      <c r="N437" s="134"/>
    </row>
    <row r="438" spans="11:14" x14ac:dyDescent="0.2">
      <c r="K438" s="116"/>
      <c r="M438" s="133"/>
      <c r="N438" s="134"/>
    </row>
    <row r="439" spans="11:14" x14ac:dyDescent="0.2">
      <c r="K439" s="116"/>
      <c r="M439" s="133"/>
      <c r="N439" s="134"/>
    </row>
    <row r="440" spans="11:14" x14ac:dyDescent="0.2">
      <c r="K440" s="116"/>
      <c r="M440" s="133"/>
      <c r="N440" s="134"/>
    </row>
    <row r="441" spans="11:14" x14ac:dyDescent="0.2">
      <c r="K441" s="116"/>
      <c r="M441" s="133"/>
      <c r="N441" s="134"/>
    </row>
    <row r="442" spans="11:14" x14ac:dyDescent="0.2">
      <c r="K442" s="116"/>
      <c r="M442" s="133"/>
      <c r="N442" s="134"/>
    </row>
    <row r="443" spans="11:14" x14ac:dyDescent="0.2">
      <c r="K443" s="116"/>
      <c r="M443" s="133"/>
      <c r="N443" s="134"/>
    </row>
    <row r="444" spans="11:14" x14ac:dyDescent="0.2">
      <c r="K444" s="116"/>
      <c r="M444" s="133"/>
      <c r="N444" s="134"/>
    </row>
    <row r="445" spans="11:14" x14ac:dyDescent="0.2">
      <c r="K445" s="116"/>
      <c r="M445" s="133"/>
      <c r="N445" s="134"/>
    </row>
    <row r="446" spans="11:14" x14ac:dyDescent="0.2">
      <c r="K446" s="116"/>
      <c r="M446" s="133"/>
      <c r="N446" s="134"/>
    </row>
    <row r="447" spans="11:14" x14ac:dyDescent="0.2">
      <c r="K447" s="116"/>
      <c r="M447" s="133"/>
      <c r="N447" s="134"/>
    </row>
    <row r="448" spans="11:14" x14ac:dyDescent="0.2">
      <c r="K448" s="116"/>
      <c r="M448" s="133"/>
      <c r="N448" s="134"/>
    </row>
    <row r="449" spans="11:14" x14ac:dyDescent="0.2">
      <c r="K449" s="116"/>
      <c r="M449" s="133"/>
      <c r="N449" s="134"/>
    </row>
    <row r="450" spans="11:14" x14ac:dyDescent="0.2">
      <c r="K450" s="116"/>
      <c r="M450" s="133"/>
      <c r="N450" s="134"/>
    </row>
    <row r="451" spans="11:14" x14ac:dyDescent="0.2">
      <c r="K451" s="116"/>
      <c r="M451" s="133"/>
      <c r="N451" s="134"/>
    </row>
    <row r="452" spans="11:14" x14ac:dyDescent="0.2">
      <c r="K452" s="116"/>
      <c r="M452" s="133"/>
      <c r="N452" s="134"/>
    </row>
    <row r="453" spans="11:14" x14ac:dyDescent="0.2">
      <c r="K453" s="116"/>
      <c r="M453" s="133"/>
      <c r="N453" s="134"/>
    </row>
    <row r="454" spans="11:14" x14ac:dyDescent="0.2">
      <c r="K454" s="116"/>
      <c r="M454" s="133"/>
      <c r="N454" s="134"/>
    </row>
    <row r="455" spans="11:14" x14ac:dyDescent="0.2">
      <c r="K455" s="116"/>
      <c r="M455" s="133"/>
      <c r="N455" s="134"/>
    </row>
    <row r="456" spans="11:14" x14ac:dyDescent="0.2">
      <c r="K456" s="116"/>
      <c r="M456" s="133"/>
      <c r="N456" s="134"/>
    </row>
    <row r="457" spans="11:14" x14ac:dyDescent="0.2">
      <c r="K457" s="116"/>
      <c r="M457" s="133"/>
      <c r="N457" s="134"/>
    </row>
    <row r="458" spans="11:14" x14ac:dyDescent="0.2">
      <c r="K458" s="116"/>
      <c r="M458" s="133"/>
      <c r="N458" s="134"/>
    </row>
    <row r="459" spans="11:14" x14ac:dyDescent="0.2">
      <c r="K459" s="116"/>
      <c r="M459" s="133"/>
      <c r="N459" s="134"/>
    </row>
    <row r="460" spans="11:14" x14ac:dyDescent="0.2">
      <c r="K460" s="116"/>
      <c r="M460" s="133"/>
      <c r="N460" s="134"/>
    </row>
    <row r="461" spans="11:14" x14ac:dyDescent="0.2">
      <c r="K461" s="116"/>
      <c r="M461" s="133"/>
      <c r="N461" s="134"/>
    </row>
    <row r="462" spans="11:14" x14ac:dyDescent="0.2">
      <c r="K462" s="116"/>
      <c r="M462" s="133"/>
      <c r="N462" s="134"/>
    </row>
    <row r="463" spans="11:14" x14ac:dyDescent="0.2">
      <c r="K463" s="116"/>
      <c r="M463" s="133"/>
      <c r="N463" s="134"/>
    </row>
    <row r="464" spans="11:14" x14ac:dyDescent="0.2">
      <c r="K464" s="116"/>
      <c r="M464" s="133"/>
      <c r="N464" s="134"/>
    </row>
    <row r="465" spans="11:14" x14ac:dyDescent="0.2">
      <c r="K465" s="116"/>
      <c r="M465" s="133"/>
      <c r="N465" s="134"/>
    </row>
    <row r="466" spans="11:14" x14ac:dyDescent="0.2">
      <c r="K466" s="116"/>
      <c r="M466" s="133"/>
      <c r="N466" s="134"/>
    </row>
    <row r="467" spans="11:14" x14ac:dyDescent="0.2">
      <c r="K467" s="116"/>
      <c r="M467" s="133"/>
      <c r="N467" s="134"/>
    </row>
    <row r="468" spans="11:14" x14ac:dyDescent="0.2">
      <c r="K468" s="116"/>
      <c r="M468" s="133"/>
      <c r="N468" s="134"/>
    </row>
    <row r="469" spans="11:14" x14ac:dyDescent="0.2">
      <c r="K469" s="116"/>
      <c r="M469" s="133"/>
      <c r="N469" s="134"/>
    </row>
    <row r="470" spans="11:14" x14ac:dyDescent="0.2">
      <c r="K470" s="116"/>
      <c r="M470" s="133"/>
      <c r="N470" s="134"/>
    </row>
    <row r="471" spans="11:14" x14ac:dyDescent="0.2">
      <c r="K471" s="116"/>
      <c r="M471" s="133"/>
      <c r="N471" s="134"/>
    </row>
    <row r="472" spans="11:14" x14ac:dyDescent="0.2">
      <c r="K472" s="116"/>
      <c r="M472" s="133"/>
      <c r="N472" s="134"/>
    </row>
    <row r="473" spans="11:14" x14ac:dyDescent="0.2">
      <c r="K473" s="116"/>
      <c r="M473" s="133"/>
      <c r="N473" s="134"/>
    </row>
    <row r="474" spans="11:14" x14ac:dyDescent="0.2">
      <c r="K474" s="116"/>
      <c r="M474" s="133"/>
      <c r="N474" s="134"/>
    </row>
    <row r="475" spans="11:14" x14ac:dyDescent="0.2">
      <c r="K475" s="116"/>
      <c r="M475" s="133"/>
      <c r="N475" s="134"/>
    </row>
    <row r="476" spans="11:14" x14ac:dyDescent="0.2">
      <c r="K476" s="116"/>
      <c r="M476" s="133"/>
      <c r="N476" s="134"/>
    </row>
    <row r="477" spans="11:14" x14ac:dyDescent="0.2">
      <c r="K477" s="116"/>
      <c r="M477" s="133"/>
      <c r="N477" s="134"/>
    </row>
    <row r="478" spans="11:14" x14ac:dyDescent="0.2">
      <c r="K478" s="116"/>
      <c r="M478" s="133"/>
      <c r="N478" s="134"/>
    </row>
    <row r="479" spans="11:14" x14ac:dyDescent="0.2">
      <c r="K479" s="116"/>
      <c r="M479" s="133"/>
      <c r="N479" s="134"/>
    </row>
    <row r="480" spans="11:14" x14ac:dyDescent="0.2">
      <c r="K480" s="116"/>
      <c r="M480" s="133"/>
      <c r="N480" s="134"/>
    </row>
    <row r="481" spans="11:14" x14ac:dyDescent="0.2">
      <c r="K481" s="116"/>
      <c r="M481" s="133"/>
      <c r="N481" s="134"/>
    </row>
    <row r="482" spans="11:14" x14ac:dyDescent="0.2">
      <c r="K482" s="116"/>
      <c r="M482" s="133"/>
      <c r="N482" s="134"/>
    </row>
    <row r="483" spans="11:14" x14ac:dyDescent="0.2">
      <c r="K483" s="116"/>
      <c r="M483" s="133"/>
      <c r="N483" s="134"/>
    </row>
    <row r="484" spans="11:14" x14ac:dyDescent="0.2">
      <c r="K484" s="116"/>
      <c r="M484" s="133"/>
      <c r="N484" s="134"/>
    </row>
    <row r="485" spans="11:14" x14ac:dyDescent="0.2">
      <c r="K485" s="116"/>
      <c r="M485" s="133"/>
      <c r="N485" s="134"/>
    </row>
    <row r="486" spans="11:14" x14ac:dyDescent="0.2">
      <c r="K486" s="116"/>
      <c r="M486" s="133"/>
      <c r="N486" s="134"/>
    </row>
    <row r="487" spans="11:14" x14ac:dyDescent="0.2">
      <c r="K487" s="116"/>
      <c r="M487" s="133"/>
      <c r="N487" s="134"/>
    </row>
    <row r="488" spans="11:14" x14ac:dyDescent="0.2">
      <c r="K488" s="116"/>
      <c r="M488" s="133"/>
      <c r="N488" s="134"/>
    </row>
    <row r="489" spans="11:14" x14ac:dyDescent="0.2">
      <c r="K489" s="116"/>
      <c r="M489" s="133"/>
      <c r="N489" s="134"/>
    </row>
    <row r="490" spans="11:14" x14ac:dyDescent="0.2">
      <c r="K490" s="116"/>
      <c r="M490" s="133"/>
      <c r="N490" s="134"/>
    </row>
    <row r="491" spans="11:14" x14ac:dyDescent="0.2">
      <c r="K491" s="116"/>
      <c r="M491" s="133"/>
      <c r="N491" s="134"/>
    </row>
    <row r="492" spans="11:14" x14ac:dyDescent="0.2">
      <c r="K492" s="116"/>
      <c r="M492" s="133"/>
      <c r="N492" s="134"/>
    </row>
    <row r="493" spans="11:14" x14ac:dyDescent="0.2">
      <c r="K493" s="116"/>
      <c r="M493" s="133"/>
      <c r="N493" s="134"/>
    </row>
    <row r="494" spans="11:14" x14ac:dyDescent="0.2">
      <c r="K494" s="116"/>
      <c r="M494" s="133"/>
      <c r="N494" s="134"/>
    </row>
    <row r="495" spans="11:14" x14ac:dyDescent="0.2">
      <c r="K495" s="116"/>
      <c r="M495" s="133"/>
      <c r="N495" s="134"/>
    </row>
    <row r="496" spans="11:14" x14ac:dyDescent="0.2">
      <c r="K496" s="116"/>
      <c r="M496" s="133"/>
      <c r="N496" s="134"/>
    </row>
    <row r="497" spans="11:14" x14ac:dyDescent="0.2">
      <c r="K497" s="116"/>
      <c r="M497" s="133"/>
      <c r="N497" s="134"/>
    </row>
    <row r="498" spans="11:14" x14ac:dyDescent="0.2">
      <c r="K498" s="116"/>
      <c r="M498" s="133"/>
      <c r="N498" s="134"/>
    </row>
    <row r="499" spans="11:14" x14ac:dyDescent="0.2">
      <c r="K499" s="116"/>
      <c r="M499" s="133"/>
      <c r="N499" s="134"/>
    </row>
    <row r="500" spans="11:14" x14ac:dyDescent="0.2">
      <c r="K500" s="116"/>
      <c r="M500" s="133"/>
      <c r="N500" s="134"/>
    </row>
    <row r="501" spans="11:14" x14ac:dyDescent="0.2">
      <c r="K501" s="116"/>
      <c r="M501" s="133"/>
      <c r="N501" s="134"/>
    </row>
    <row r="502" spans="11:14" x14ac:dyDescent="0.2">
      <c r="K502" s="116"/>
      <c r="M502" s="133"/>
      <c r="N502" s="134"/>
    </row>
    <row r="503" spans="11:14" x14ac:dyDescent="0.2">
      <c r="K503" s="116"/>
      <c r="M503" s="133"/>
      <c r="N503" s="134"/>
    </row>
    <row r="504" spans="11:14" x14ac:dyDescent="0.2">
      <c r="K504" s="116"/>
      <c r="M504" s="133"/>
      <c r="N504" s="134"/>
    </row>
    <row r="505" spans="11:14" x14ac:dyDescent="0.2">
      <c r="K505" s="116"/>
      <c r="M505" s="133"/>
      <c r="N505" s="134"/>
    </row>
    <row r="506" spans="11:14" x14ac:dyDescent="0.2">
      <c r="K506" s="116"/>
      <c r="M506" s="133"/>
      <c r="N506" s="134"/>
    </row>
    <row r="507" spans="11:14" x14ac:dyDescent="0.2">
      <c r="K507" s="116"/>
      <c r="M507" s="133"/>
      <c r="N507" s="134"/>
    </row>
    <row r="508" spans="11:14" x14ac:dyDescent="0.2">
      <c r="K508" s="116"/>
      <c r="M508" s="133"/>
      <c r="N508" s="134"/>
    </row>
    <row r="509" spans="11:14" x14ac:dyDescent="0.2">
      <c r="K509" s="116"/>
      <c r="M509" s="133"/>
      <c r="N509" s="134"/>
    </row>
    <row r="510" spans="11:14" x14ac:dyDescent="0.2">
      <c r="K510" s="116"/>
      <c r="M510" s="133"/>
      <c r="N510" s="134"/>
    </row>
    <row r="511" spans="11:14" x14ac:dyDescent="0.2">
      <c r="K511" s="116"/>
      <c r="M511" s="133"/>
      <c r="N511" s="134"/>
    </row>
    <row r="512" spans="11:14" x14ac:dyDescent="0.2">
      <c r="K512" s="116"/>
      <c r="M512" s="133"/>
      <c r="N512" s="134"/>
    </row>
    <row r="513" spans="11:14" x14ac:dyDescent="0.2">
      <c r="K513" s="116"/>
      <c r="M513" s="133"/>
      <c r="N513" s="134"/>
    </row>
    <row r="514" spans="11:14" x14ac:dyDescent="0.2">
      <c r="K514" s="116"/>
      <c r="M514" s="133"/>
      <c r="N514" s="134"/>
    </row>
    <row r="515" spans="11:14" x14ac:dyDescent="0.2">
      <c r="K515" s="116"/>
      <c r="M515" s="133"/>
      <c r="N515" s="134"/>
    </row>
    <row r="516" spans="11:14" x14ac:dyDescent="0.2">
      <c r="K516" s="116"/>
      <c r="M516" s="133"/>
      <c r="N516" s="134"/>
    </row>
    <row r="517" spans="11:14" x14ac:dyDescent="0.2">
      <c r="K517" s="116"/>
      <c r="M517" s="133"/>
      <c r="N517" s="134"/>
    </row>
    <row r="518" spans="11:14" x14ac:dyDescent="0.2">
      <c r="K518" s="116"/>
      <c r="M518" s="133"/>
      <c r="N518" s="134"/>
    </row>
    <row r="519" spans="11:14" x14ac:dyDescent="0.2">
      <c r="K519" s="116"/>
      <c r="M519" s="133"/>
      <c r="N519" s="134"/>
    </row>
    <row r="520" spans="11:14" x14ac:dyDescent="0.2">
      <c r="K520" s="116"/>
      <c r="M520" s="133"/>
      <c r="N520" s="134"/>
    </row>
    <row r="521" spans="11:14" x14ac:dyDescent="0.2">
      <c r="K521" s="116"/>
      <c r="M521" s="133"/>
      <c r="N521" s="134"/>
    </row>
    <row r="522" spans="11:14" x14ac:dyDescent="0.2">
      <c r="K522" s="116"/>
      <c r="M522" s="133"/>
      <c r="N522" s="134"/>
    </row>
    <row r="523" spans="11:14" x14ac:dyDescent="0.2">
      <c r="K523" s="116"/>
      <c r="M523" s="133"/>
      <c r="N523" s="134"/>
    </row>
    <row r="524" spans="11:14" x14ac:dyDescent="0.2">
      <c r="K524" s="116"/>
      <c r="M524" s="133"/>
      <c r="N524" s="134"/>
    </row>
    <row r="525" spans="11:14" x14ac:dyDescent="0.2">
      <c r="K525" s="116"/>
      <c r="M525" s="133"/>
      <c r="N525" s="134"/>
    </row>
    <row r="526" spans="11:14" x14ac:dyDescent="0.2">
      <c r="K526" s="116"/>
      <c r="M526" s="133"/>
      <c r="N526" s="134"/>
    </row>
    <row r="527" spans="11:14" x14ac:dyDescent="0.2">
      <c r="K527" s="116"/>
      <c r="M527" s="133"/>
      <c r="N527" s="134"/>
    </row>
    <row r="528" spans="11:14" x14ac:dyDescent="0.2">
      <c r="K528" s="116"/>
      <c r="M528" s="133"/>
      <c r="N528" s="134"/>
    </row>
    <row r="529" spans="11:14" x14ac:dyDescent="0.2">
      <c r="K529" s="116"/>
      <c r="M529" s="133"/>
      <c r="N529" s="134"/>
    </row>
    <row r="530" spans="11:14" x14ac:dyDescent="0.2">
      <c r="K530" s="116"/>
      <c r="M530" s="133"/>
      <c r="N530" s="134"/>
    </row>
    <row r="531" spans="11:14" x14ac:dyDescent="0.2">
      <c r="K531" s="116"/>
      <c r="M531" s="133"/>
      <c r="N531" s="134"/>
    </row>
    <row r="532" spans="11:14" x14ac:dyDescent="0.2">
      <c r="K532" s="116"/>
      <c r="M532" s="133"/>
      <c r="N532" s="134"/>
    </row>
    <row r="533" spans="11:14" x14ac:dyDescent="0.2">
      <c r="K533" s="116"/>
      <c r="M533" s="133"/>
      <c r="N533" s="134"/>
    </row>
    <row r="534" spans="11:14" x14ac:dyDescent="0.2">
      <c r="K534" s="116"/>
      <c r="M534" s="133"/>
      <c r="N534" s="134"/>
    </row>
    <row r="535" spans="11:14" x14ac:dyDescent="0.2">
      <c r="K535" s="116"/>
      <c r="M535" s="133"/>
      <c r="N535" s="134"/>
    </row>
    <row r="536" spans="11:14" x14ac:dyDescent="0.2">
      <c r="K536" s="116"/>
      <c r="M536" s="133"/>
      <c r="N536" s="134"/>
    </row>
    <row r="537" spans="11:14" x14ac:dyDescent="0.2">
      <c r="K537" s="116"/>
      <c r="M537" s="133"/>
      <c r="N537" s="134"/>
    </row>
    <row r="538" spans="11:14" x14ac:dyDescent="0.2">
      <c r="K538" s="116"/>
      <c r="M538" s="133"/>
      <c r="N538" s="134"/>
    </row>
    <row r="539" spans="11:14" x14ac:dyDescent="0.2">
      <c r="K539" s="116"/>
      <c r="M539" s="133"/>
      <c r="N539" s="134"/>
    </row>
    <row r="540" spans="11:14" x14ac:dyDescent="0.2">
      <c r="K540" s="116"/>
      <c r="M540" s="133"/>
      <c r="N540" s="134"/>
    </row>
    <row r="541" spans="11:14" x14ac:dyDescent="0.2">
      <c r="K541" s="116"/>
      <c r="M541" s="133"/>
      <c r="N541" s="134"/>
    </row>
    <row r="542" spans="11:14" x14ac:dyDescent="0.2">
      <c r="K542" s="116"/>
      <c r="M542" s="133"/>
      <c r="N542" s="134"/>
    </row>
    <row r="543" spans="11:14" x14ac:dyDescent="0.2">
      <c r="K543" s="116"/>
      <c r="M543" s="133"/>
      <c r="N543" s="134"/>
    </row>
    <row r="544" spans="11:14" x14ac:dyDescent="0.2">
      <c r="K544" s="116"/>
      <c r="M544" s="133"/>
      <c r="N544" s="134"/>
    </row>
    <row r="545" spans="11:14" x14ac:dyDescent="0.2">
      <c r="K545" s="116"/>
      <c r="M545" s="133"/>
      <c r="N545" s="134"/>
    </row>
    <row r="546" spans="11:14" x14ac:dyDescent="0.2">
      <c r="K546" s="116"/>
      <c r="M546" s="133"/>
      <c r="N546" s="134"/>
    </row>
    <row r="547" spans="11:14" x14ac:dyDescent="0.2">
      <c r="K547" s="116"/>
      <c r="M547" s="133"/>
      <c r="N547" s="134"/>
    </row>
    <row r="548" spans="11:14" x14ac:dyDescent="0.2">
      <c r="K548" s="116"/>
      <c r="M548" s="133"/>
      <c r="N548" s="134"/>
    </row>
    <row r="549" spans="11:14" x14ac:dyDescent="0.2">
      <c r="K549" s="116"/>
      <c r="M549" s="133"/>
      <c r="N549" s="134"/>
    </row>
    <row r="550" spans="11:14" x14ac:dyDescent="0.2">
      <c r="K550" s="116"/>
      <c r="M550" s="133"/>
      <c r="N550" s="134"/>
    </row>
    <row r="551" spans="11:14" x14ac:dyDescent="0.2">
      <c r="K551" s="116"/>
      <c r="M551" s="133"/>
      <c r="N551" s="134"/>
    </row>
    <row r="552" spans="11:14" x14ac:dyDescent="0.2">
      <c r="K552" s="116"/>
      <c r="M552" s="133"/>
      <c r="N552" s="134"/>
    </row>
    <row r="553" spans="11:14" x14ac:dyDescent="0.2">
      <c r="K553" s="116"/>
      <c r="M553" s="133"/>
      <c r="N553" s="134"/>
    </row>
    <row r="554" spans="11:14" x14ac:dyDescent="0.2">
      <c r="K554" s="116"/>
      <c r="M554" s="133"/>
      <c r="N554" s="134"/>
    </row>
    <row r="555" spans="11:14" x14ac:dyDescent="0.2">
      <c r="K555" s="116"/>
      <c r="M555" s="133"/>
      <c r="N555" s="134"/>
    </row>
    <row r="556" spans="11:14" x14ac:dyDescent="0.2">
      <c r="K556" s="116"/>
      <c r="M556" s="133"/>
      <c r="N556" s="134"/>
    </row>
    <row r="557" spans="11:14" x14ac:dyDescent="0.2">
      <c r="K557" s="116"/>
      <c r="M557" s="133"/>
      <c r="N557" s="134"/>
    </row>
    <row r="558" spans="11:14" x14ac:dyDescent="0.2">
      <c r="K558" s="116"/>
      <c r="M558" s="133"/>
      <c r="N558" s="134"/>
    </row>
    <row r="559" spans="11:14" x14ac:dyDescent="0.2">
      <c r="K559" s="116"/>
      <c r="M559" s="133"/>
      <c r="N559" s="134"/>
    </row>
    <row r="560" spans="11:14" x14ac:dyDescent="0.2">
      <c r="K560" s="116"/>
      <c r="M560" s="133"/>
      <c r="N560" s="134"/>
    </row>
    <row r="561" spans="11:14" x14ac:dyDescent="0.2">
      <c r="K561" s="116"/>
      <c r="M561" s="133"/>
      <c r="N561" s="134"/>
    </row>
    <row r="562" spans="11:14" x14ac:dyDescent="0.2">
      <c r="K562" s="116"/>
      <c r="M562" s="133"/>
      <c r="N562" s="134"/>
    </row>
    <row r="563" spans="11:14" x14ac:dyDescent="0.2">
      <c r="K563" s="116"/>
      <c r="M563" s="133"/>
      <c r="N563" s="134"/>
    </row>
    <row r="564" spans="11:14" x14ac:dyDescent="0.2">
      <c r="K564" s="116"/>
      <c r="M564" s="133"/>
      <c r="N564" s="134"/>
    </row>
    <row r="565" spans="11:14" x14ac:dyDescent="0.2">
      <c r="K565" s="116"/>
      <c r="M565" s="133"/>
      <c r="N565" s="134"/>
    </row>
    <row r="566" spans="11:14" x14ac:dyDescent="0.2">
      <c r="K566" s="116"/>
      <c r="M566" s="133"/>
      <c r="N566" s="134"/>
    </row>
    <row r="567" spans="11:14" x14ac:dyDescent="0.2">
      <c r="K567" s="116"/>
      <c r="M567" s="133"/>
      <c r="N567" s="134"/>
    </row>
    <row r="568" spans="11:14" x14ac:dyDescent="0.2">
      <c r="K568" s="116"/>
      <c r="M568" s="133"/>
      <c r="N568" s="134"/>
    </row>
    <row r="569" spans="11:14" x14ac:dyDescent="0.2">
      <c r="K569" s="116"/>
      <c r="M569" s="133"/>
      <c r="N569" s="134"/>
    </row>
    <row r="570" spans="11:14" x14ac:dyDescent="0.2">
      <c r="K570" s="116"/>
      <c r="M570" s="133"/>
      <c r="N570" s="134"/>
    </row>
    <row r="571" spans="11:14" x14ac:dyDescent="0.2">
      <c r="K571" s="116"/>
      <c r="M571" s="133"/>
      <c r="N571" s="134"/>
    </row>
    <row r="572" spans="11:14" x14ac:dyDescent="0.2">
      <c r="K572" s="116"/>
      <c r="M572" s="133"/>
      <c r="N572" s="134"/>
    </row>
    <row r="573" spans="11:14" x14ac:dyDescent="0.2">
      <c r="K573" s="116"/>
      <c r="M573" s="133"/>
      <c r="N573" s="134"/>
    </row>
    <row r="574" spans="11:14" x14ac:dyDescent="0.2">
      <c r="K574" s="116"/>
      <c r="M574" s="133"/>
      <c r="N574" s="134"/>
    </row>
    <row r="575" spans="11:14" x14ac:dyDescent="0.2">
      <c r="K575" s="116"/>
      <c r="M575" s="133"/>
      <c r="N575" s="134"/>
    </row>
    <row r="576" spans="11:14" x14ac:dyDescent="0.2">
      <c r="K576" s="116"/>
      <c r="M576" s="133"/>
      <c r="N576" s="134"/>
    </row>
    <row r="577" spans="11:14" x14ac:dyDescent="0.2">
      <c r="K577" s="116"/>
      <c r="M577" s="133"/>
      <c r="N577" s="134"/>
    </row>
    <row r="578" spans="11:14" x14ac:dyDescent="0.2">
      <c r="K578" s="116"/>
      <c r="M578" s="133"/>
      <c r="N578" s="134"/>
    </row>
    <row r="579" spans="11:14" x14ac:dyDescent="0.2">
      <c r="K579" s="116"/>
      <c r="M579" s="133"/>
      <c r="N579" s="134"/>
    </row>
    <row r="580" spans="11:14" x14ac:dyDescent="0.2">
      <c r="K580" s="116"/>
      <c r="M580" s="133"/>
      <c r="N580" s="134"/>
    </row>
    <row r="581" spans="11:14" x14ac:dyDescent="0.2">
      <c r="K581" s="116"/>
      <c r="M581" s="133"/>
      <c r="N581" s="134"/>
    </row>
    <row r="582" spans="11:14" x14ac:dyDescent="0.2">
      <c r="K582" s="116"/>
      <c r="M582" s="133"/>
      <c r="N582" s="134"/>
    </row>
    <row r="583" spans="11:14" x14ac:dyDescent="0.2">
      <c r="K583" s="116"/>
      <c r="M583" s="133"/>
      <c r="N583" s="134"/>
    </row>
    <row r="584" spans="11:14" x14ac:dyDescent="0.2">
      <c r="K584" s="116"/>
      <c r="M584" s="133"/>
      <c r="N584" s="134"/>
    </row>
    <row r="585" spans="11:14" x14ac:dyDescent="0.2">
      <c r="K585" s="116"/>
      <c r="M585" s="133"/>
      <c r="N585" s="134"/>
    </row>
    <row r="586" spans="11:14" x14ac:dyDescent="0.2">
      <c r="K586" s="116"/>
      <c r="M586" s="133"/>
      <c r="N586" s="134"/>
    </row>
    <row r="587" spans="11:14" x14ac:dyDescent="0.2">
      <c r="K587" s="116"/>
      <c r="M587" s="133"/>
      <c r="N587" s="134"/>
    </row>
    <row r="588" spans="11:14" x14ac:dyDescent="0.2">
      <c r="K588" s="116"/>
      <c r="M588" s="133"/>
      <c r="N588" s="134"/>
    </row>
    <row r="589" spans="11:14" x14ac:dyDescent="0.2">
      <c r="K589" s="116"/>
      <c r="M589" s="133"/>
      <c r="N589" s="134"/>
    </row>
    <row r="590" spans="11:14" x14ac:dyDescent="0.2">
      <c r="K590" s="116"/>
      <c r="M590" s="133"/>
      <c r="N590" s="134"/>
    </row>
    <row r="591" spans="11:14" x14ac:dyDescent="0.2">
      <c r="K591" s="116"/>
      <c r="M591" s="133"/>
      <c r="N591" s="134"/>
    </row>
    <row r="592" spans="11:14" x14ac:dyDescent="0.2">
      <c r="K592" s="116"/>
      <c r="M592" s="133"/>
      <c r="N592" s="134"/>
    </row>
    <row r="593" spans="11:14" x14ac:dyDescent="0.2">
      <c r="K593" s="116"/>
      <c r="M593" s="133"/>
      <c r="N593" s="134"/>
    </row>
    <row r="594" spans="11:14" x14ac:dyDescent="0.2">
      <c r="K594" s="116"/>
      <c r="M594" s="133"/>
      <c r="N594" s="134"/>
    </row>
    <row r="595" spans="11:14" x14ac:dyDescent="0.2">
      <c r="K595" s="116"/>
      <c r="M595" s="133"/>
      <c r="N595" s="134"/>
    </row>
    <row r="596" spans="11:14" x14ac:dyDescent="0.2">
      <c r="K596" s="116"/>
      <c r="M596" s="133"/>
      <c r="N596" s="134"/>
    </row>
    <row r="597" spans="11:14" x14ac:dyDescent="0.2">
      <c r="K597" s="116"/>
      <c r="M597" s="133"/>
      <c r="N597" s="134"/>
    </row>
    <row r="598" spans="11:14" x14ac:dyDescent="0.2">
      <c r="K598" s="116"/>
      <c r="M598" s="133"/>
      <c r="N598" s="134"/>
    </row>
    <row r="599" spans="11:14" x14ac:dyDescent="0.2">
      <c r="K599" s="116"/>
      <c r="M599" s="133"/>
      <c r="N599" s="134"/>
    </row>
    <row r="600" spans="11:14" x14ac:dyDescent="0.2">
      <c r="K600" s="116"/>
      <c r="M600" s="133"/>
      <c r="N600" s="134"/>
    </row>
    <row r="601" spans="11:14" x14ac:dyDescent="0.2">
      <c r="K601" s="116"/>
      <c r="M601" s="133"/>
      <c r="N601" s="134"/>
    </row>
    <row r="602" spans="11:14" x14ac:dyDescent="0.2">
      <c r="K602" s="116"/>
      <c r="M602" s="133"/>
      <c r="N602" s="134"/>
    </row>
    <row r="603" spans="11:14" x14ac:dyDescent="0.2">
      <c r="K603" s="116"/>
      <c r="M603" s="133"/>
      <c r="N603" s="134"/>
    </row>
    <row r="604" spans="11:14" x14ac:dyDescent="0.2">
      <c r="K604" s="116"/>
      <c r="M604" s="133"/>
      <c r="N604" s="134"/>
    </row>
    <row r="605" spans="11:14" x14ac:dyDescent="0.2">
      <c r="K605" s="116"/>
      <c r="M605" s="133"/>
      <c r="N605" s="134"/>
    </row>
    <row r="606" spans="11:14" x14ac:dyDescent="0.2">
      <c r="K606" s="116"/>
      <c r="M606" s="133"/>
      <c r="N606" s="134"/>
    </row>
    <row r="607" spans="11:14" x14ac:dyDescent="0.2">
      <c r="K607" s="116"/>
      <c r="M607" s="133"/>
      <c r="N607" s="134"/>
    </row>
    <row r="608" spans="11:14" x14ac:dyDescent="0.2">
      <c r="K608" s="116"/>
      <c r="M608" s="133"/>
      <c r="N608" s="134"/>
    </row>
    <row r="609" spans="11:14" x14ac:dyDescent="0.2">
      <c r="K609" s="116"/>
      <c r="M609" s="133"/>
      <c r="N609" s="134"/>
    </row>
    <row r="610" spans="11:14" x14ac:dyDescent="0.2">
      <c r="K610" s="116"/>
      <c r="M610" s="133"/>
      <c r="N610" s="134"/>
    </row>
    <row r="611" spans="11:14" x14ac:dyDescent="0.2">
      <c r="K611" s="116"/>
      <c r="M611" s="133"/>
      <c r="N611" s="134"/>
    </row>
    <row r="612" spans="11:14" x14ac:dyDescent="0.2">
      <c r="K612" s="116"/>
      <c r="M612" s="133"/>
      <c r="N612" s="134"/>
    </row>
    <row r="613" spans="11:14" x14ac:dyDescent="0.2">
      <c r="K613" s="116"/>
      <c r="M613" s="133"/>
      <c r="N613" s="134"/>
    </row>
    <row r="614" spans="11:14" x14ac:dyDescent="0.2">
      <c r="K614" s="116"/>
      <c r="M614" s="133"/>
      <c r="N614" s="134"/>
    </row>
    <row r="615" spans="11:14" x14ac:dyDescent="0.2">
      <c r="K615" s="116"/>
      <c r="M615" s="133"/>
      <c r="N615" s="134"/>
    </row>
    <row r="616" spans="11:14" x14ac:dyDescent="0.2">
      <c r="K616" s="116"/>
      <c r="M616" s="133"/>
      <c r="N616" s="134"/>
    </row>
    <row r="617" spans="11:14" x14ac:dyDescent="0.2">
      <c r="K617" s="116"/>
      <c r="M617" s="133"/>
      <c r="N617" s="134"/>
    </row>
    <row r="618" spans="11:14" x14ac:dyDescent="0.2">
      <c r="K618" s="116"/>
      <c r="M618" s="133"/>
      <c r="N618" s="134"/>
    </row>
    <row r="619" spans="11:14" x14ac:dyDescent="0.2">
      <c r="K619" s="116"/>
      <c r="M619" s="133"/>
      <c r="N619" s="134"/>
    </row>
    <row r="620" spans="11:14" x14ac:dyDescent="0.2">
      <c r="K620" s="116"/>
      <c r="M620" s="133"/>
      <c r="N620" s="134"/>
    </row>
    <row r="621" spans="11:14" x14ac:dyDescent="0.2">
      <c r="K621" s="116"/>
      <c r="M621" s="133"/>
      <c r="N621" s="134"/>
    </row>
    <row r="622" spans="11:14" x14ac:dyDescent="0.2">
      <c r="K622" s="116"/>
      <c r="M622" s="133"/>
      <c r="N622" s="134"/>
    </row>
    <row r="623" spans="11:14" x14ac:dyDescent="0.2">
      <c r="K623" s="116"/>
      <c r="M623" s="133"/>
      <c r="N623" s="134"/>
    </row>
    <row r="624" spans="11:14" x14ac:dyDescent="0.2">
      <c r="K624" s="116"/>
      <c r="M624" s="133"/>
      <c r="N624" s="134"/>
    </row>
    <row r="625" spans="11:14" x14ac:dyDescent="0.2">
      <c r="K625" s="116"/>
      <c r="M625" s="133"/>
      <c r="N625" s="134"/>
    </row>
    <row r="626" spans="11:14" x14ac:dyDescent="0.2">
      <c r="K626" s="116"/>
      <c r="M626" s="133"/>
      <c r="N626" s="134"/>
    </row>
    <row r="627" spans="11:14" x14ac:dyDescent="0.2">
      <c r="K627" s="116"/>
      <c r="M627" s="133"/>
      <c r="N627" s="134"/>
    </row>
    <row r="628" spans="11:14" x14ac:dyDescent="0.2">
      <c r="K628" s="116"/>
      <c r="M628" s="133"/>
      <c r="N628" s="134"/>
    </row>
    <row r="629" spans="11:14" x14ac:dyDescent="0.2">
      <c r="K629" s="116"/>
      <c r="M629" s="133"/>
      <c r="N629" s="134"/>
    </row>
    <row r="630" spans="11:14" x14ac:dyDescent="0.2">
      <c r="K630" s="116"/>
      <c r="M630" s="133"/>
      <c r="N630" s="134"/>
    </row>
    <row r="631" spans="11:14" x14ac:dyDescent="0.2">
      <c r="K631" s="116"/>
      <c r="M631" s="133"/>
      <c r="N631" s="134"/>
    </row>
    <row r="632" spans="11:14" x14ac:dyDescent="0.2">
      <c r="K632" s="116"/>
      <c r="M632" s="133"/>
      <c r="N632" s="134"/>
    </row>
    <row r="633" spans="11:14" x14ac:dyDescent="0.2">
      <c r="K633" s="116"/>
      <c r="M633" s="133"/>
      <c r="N633" s="134"/>
    </row>
    <row r="634" spans="11:14" x14ac:dyDescent="0.2">
      <c r="K634" s="116"/>
      <c r="M634" s="133"/>
      <c r="N634" s="134"/>
    </row>
    <row r="635" spans="11:14" x14ac:dyDescent="0.2">
      <c r="K635" s="116"/>
      <c r="M635" s="133"/>
      <c r="N635" s="134"/>
    </row>
    <row r="636" spans="11:14" x14ac:dyDescent="0.2">
      <c r="K636" s="116"/>
      <c r="M636" s="133"/>
      <c r="N636" s="134"/>
    </row>
    <row r="637" spans="11:14" x14ac:dyDescent="0.2">
      <c r="K637" s="116"/>
      <c r="M637" s="133"/>
      <c r="N637" s="134"/>
    </row>
    <row r="638" spans="11:14" x14ac:dyDescent="0.2">
      <c r="K638" s="116"/>
      <c r="M638" s="133"/>
      <c r="N638" s="134"/>
    </row>
    <row r="639" spans="11:14" x14ac:dyDescent="0.2">
      <c r="K639" s="116"/>
      <c r="M639" s="133"/>
      <c r="N639" s="134"/>
    </row>
    <row r="640" spans="11:14" x14ac:dyDescent="0.2">
      <c r="K640" s="116"/>
      <c r="M640" s="133"/>
      <c r="N640" s="134"/>
    </row>
    <row r="641" spans="11:14" x14ac:dyDescent="0.2">
      <c r="K641" s="116"/>
      <c r="M641" s="133"/>
      <c r="N641" s="134"/>
    </row>
    <row r="642" spans="11:14" x14ac:dyDescent="0.2">
      <c r="K642" s="116"/>
      <c r="M642" s="133"/>
      <c r="N642" s="134"/>
    </row>
    <row r="643" spans="11:14" x14ac:dyDescent="0.2">
      <c r="K643" s="116"/>
      <c r="M643" s="133"/>
      <c r="N643" s="134"/>
    </row>
    <row r="644" spans="11:14" x14ac:dyDescent="0.2">
      <c r="K644" s="116"/>
      <c r="M644" s="133"/>
      <c r="N644" s="134"/>
    </row>
    <row r="645" spans="11:14" x14ac:dyDescent="0.2">
      <c r="K645" s="116"/>
      <c r="M645" s="133"/>
      <c r="N645" s="134"/>
    </row>
    <row r="646" spans="11:14" x14ac:dyDescent="0.2">
      <c r="K646" s="116"/>
      <c r="M646" s="133"/>
      <c r="N646" s="134"/>
    </row>
    <row r="647" spans="11:14" x14ac:dyDescent="0.2">
      <c r="K647" s="116"/>
      <c r="M647" s="133"/>
      <c r="N647" s="134"/>
    </row>
    <row r="648" spans="11:14" x14ac:dyDescent="0.2">
      <c r="K648" s="116"/>
      <c r="M648" s="133"/>
      <c r="N648" s="134"/>
    </row>
    <row r="649" spans="11:14" x14ac:dyDescent="0.2">
      <c r="K649" s="116"/>
      <c r="M649" s="133"/>
      <c r="N649" s="134"/>
    </row>
    <row r="650" spans="11:14" x14ac:dyDescent="0.2">
      <c r="K650" s="116"/>
      <c r="M650" s="133"/>
      <c r="N650" s="134"/>
    </row>
    <row r="651" spans="11:14" x14ac:dyDescent="0.2">
      <c r="K651" s="116"/>
      <c r="M651" s="133"/>
      <c r="N651" s="134"/>
    </row>
    <row r="652" spans="11:14" x14ac:dyDescent="0.2">
      <c r="K652" s="116"/>
      <c r="M652" s="133"/>
      <c r="N652" s="134"/>
    </row>
    <row r="653" spans="11:14" x14ac:dyDescent="0.2">
      <c r="K653" s="116"/>
      <c r="M653" s="133"/>
      <c r="N653" s="134"/>
    </row>
    <row r="654" spans="11:14" x14ac:dyDescent="0.2">
      <c r="K654" s="116"/>
      <c r="M654" s="133"/>
      <c r="N654" s="134"/>
    </row>
    <row r="655" spans="11:14" x14ac:dyDescent="0.2">
      <c r="K655" s="116"/>
      <c r="M655" s="133"/>
      <c r="N655" s="134"/>
    </row>
    <row r="656" spans="11:14" x14ac:dyDescent="0.2">
      <c r="K656" s="116"/>
      <c r="M656" s="133"/>
      <c r="N656" s="134"/>
    </row>
    <row r="657" spans="11:14" x14ac:dyDescent="0.2">
      <c r="K657" s="116"/>
      <c r="M657" s="133"/>
      <c r="N657" s="134"/>
    </row>
    <row r="658" spans="11:14" x14ac:dyDescent="0.2">
      <c r="K658" s="116"/>
      <c r="M658" s="133"/>
      <c r="N658" s="134"/>
    </row>
    <row r="659" spans="11:14" x14ac:dyDescent="0.2">
      <c r="K659" s="116"/>
      <c r="M659" s="133"/>
      <c r="N659" s="134"/>
    </row>
    <row r="660" spans="11:14" x14ac:dyDescent="0.2">
      <c r="K660" s="116"/>
      <c r="M660" s="133"/>
      <c r="N660" s="134"/>
    </row>
    <row r="661" spans="11:14" x14ac:dyDescent="0.2">
      <c r="K661" s="116"/>
      <c r="M661" s="133"/>
      <c r="N661" s="134"/>
    </row>
    <row r="662" spans="11:14" x14ac:dyDescent="0.2">
      <c r="K662" s="116"/>
      <c r="M662" s="133"/>
      <c r="N662" s="134"/>
    </row>
    <row r="663" spans="11:14" x14ac:dyDescent="0.2">
      <c r="K663" s="116"/>
      <c r="M663" s="133"/>
      <c r="N663" s="134"/>
    </row>
    <row r="664" spans="11:14" x14ac:dyDescent="0.2">
      <c r="K664" s="116"/>
      <c r="M664" s="133"/>
      <c r="N664" s="134"/>
    </row>
    <row r="665" spans="11:14" x14ac:dyDescent="0.2">
      <c r="K665" s="116"/>
      <c r="M665" s="133"/>
      <c r="N665" s="134"/>
    </row>
    <row r="666" spans="11:14" x14ac:dyDescent="0.2">
      <c r="K666" s="116"/>
      <c r="M666" s="133"/>
      <c r="N666" s="134"/>
    </row>
    <row r="667" spans="11:14" x14ac:dyDescent="0.2">
      <c r="K667" s="116"/>
      <c r="M667" s="133"/>
      <c r="N667" s="134"/>
    </row>
    <row r="668" spans="11:14" x14ac:dyDescent="0.2">
      <c r="K668" s="116"/>
      <c r="M668" s="133"/>
      <c r="N668" s="134"/>
    </row>
    <row r="669" spans="11:14" x14ac:dyDescent="0.2">
      <c r="K669" s="116"/>
      <c r="M669" s="133"/>
      <c r="N669" s="134"/>
    </row>
    <row r="670" spans="11:14" x14ac:dyDescent="0.2">
      <c r="K670" s="116"/>
      <c r="M670" s="133"/>
      <c r="N670" s="134"/>
    </row>
    <row r="671" spans="11:14" x14ac:dyDescent="0.2">
      <c r="K671" s="116"/>
      <c r="M671" s="133"/>
      <c r="N671" s="134"/>
    </row>
    <row r="672" spans="11:14" x14ac:dyDescent="0.2">
      <c r="K672" s="116"/>
      <c r="M672" s="133"/>
      <c r="N672" s="134"/>
    </row>
    <row r="673" spans="11:14" x14ac:dyDescent="0.2">
      <c r="K673" s="116"/>
      <c r="M673" s="133"/>
      <c r="N673" s="134"/>
    </row>
    <row r="674" spans="11:14" x14ac:dyDescent="0.2">
      <c r="K674" s="116"/>
      <c r="M674" s="133"/>
      <c r="N674" s="134"/>
    </row>
    <row r="675" spans="11:14" x14ac:dyDescent="0.2">
      <c r="K675" s="116"/>
      <c r="M675" s="133"/>
      <c r="N675" s="134"/>
    </row>
    <row r="676" spans="11:14" x14ac:dyDescent="0.2">
      <c r="K676" s="116"/>
      <c r="M676" s="133"/>
      <c r="N676" s="134"/>
    </row>
    <row r="677" spans="11:14" x14ac:dyDescent="0.2">
      <c r="K677" s="116"/>
      <c r="M677" s="133"/>
      <c r="N677" s="134"/>
    </row>
    <row r="678" spans="11:14" x14ac:dyDescent="0.2">
      <c r="K678" s="116"/>
      <c r="M678" s="133"/>
      <c r="N678" s="134"/>
    </row>
    <row r="679" spans="11:14" x14ac:dyDescent="0.2">
      <c r="K679" s="116"/>
      <c r="M679" s="133"/>
      <c r="N679" s="134"/>
    </row>
    <row r="680" spans="11:14" x14ac:dyDescent="0.2">
      <c r="K680" s="116"/>
      <c r="M680" s="133"/>
      <c r="N680" s="134"/>
    </row>
    <row r="681" spans="11:14" x14ac:dyDescent="0.2">
      <c r="K681" s="116"/>
      <c r="M681" s="133"/>
      <c r="N681" s="134"/>
    </row>
    <row r="682" spans="11:14" x14ac:dyDescent="0.2">
      <c r="K682" s="116"/>
      <c r="M682" s="133"/>
      <c r="N682" s="134"/>
    </row>
    <row r="683" spans="11:14" x14ac:dyDescent="0.2">
      <c r="K683" s="116"/>
      <c r="M683" s="133"/>
      <c r="N683" s="134"/>
    </row>
    <row r="684" spans="11:14" x14ac:dyDescent="0.2">
      <c r="K684" s="116"/>
      <c r="M684" s="133"/>
      <c r="N684" s="134"/>
    </row>
    <row r="685" spans="11:14" x14ac:dyDescent="0.2">
      <c r="K685" s="116"/>
      <c r="M685" s="133"/>
      <c r="N685" s="134"/>
    </row>
    <row r="686" spans="11:14" x14ac:dyDescent="0.2">
      <c r="K686" s="116"/>
      <c r="M686" s="133"/>
      <c r="N686" s="134"/>
    </row>
    <row r="687" spans="11:14" x14ac:dyDescent="0.2">
      <c r="K687" s="116"/>
      <c r="M687" s="133"/>
      <c r="N687" s="134"/>
    </row>
    <row r="688" spans="11:14" x14ac:dyDescent="0.2">
      <c r="K688" s="116"/>
      <c r="M688" s="133"/>
      <c r="N688" s="134"/>
    </row>
    <row r="689" spans="11:14" x14ac:dyDescent="0.2">
      <c r="K689" s="116"/>
      <c r="M689" s="133"/>
      <c r="N689" s="134"/>
    </row>
    <row r="690" spans="11:14" x14ac:dyDescent="0.2">
      <c r="K690" s="116"/>
      <c r="M690" s="133"/>
      <c r="N690" s="134"/>
    </row>
    <row r="691" spans="11:14" x14ac:dyDescent="0.2">
      <c r="K691" s="116"/>
      <c r="M691" s="133"/>
      <c r="N691" s="134"/>
    </row>
    <row r="692" spans="11:14" x14ac:dyDescent="0.2">
      <c r="K692" s="116"/>
      <c r="M692" s="133"/>
      <c r="N692" s="134"/>
    </row>
    <row r="693" spans="11:14" x14ac:dyDescent="0.2">
      <c r="K693" s="116"/>
      <c r="M693" s="133"/>
      <c r="N693" s="134"/>
    </row>
    <row r="694" spans="11:14" x14ac:dyDescent="0.2">
      <c r="K694" s="116"/>
      <c r="M694" s="133"/>
      <c r="N694" s="134"/>
    </row>
    <row r="695" spans="11:14" x14ac:dyDescent="0.2">
      <c r="K695" s="116"/>
      <c r="M695" s="133"/>
      <c r="N695" s="134"/>
    </row>
    <row r="696" spans="11:14" x14ac:dyDescent="0.2">
      <c r="K696" s="116"/>
      <c r="M696" s="133"/>
      <c r="N696" s="134"/>
    </row>
    <row r="697" spans="11:14" x14ac:dyDescent="0.2">
      <c r="K697" s="116"/>
      <c r="M697" s="133"/>
      <c r="N697" s="134"/>
    </row>
    <row r="698" spans="11:14" x14ac:dyDescent="0.2">
      <c r="K698" s="116"/>
      <c r="M698" s="133"/>
      <c r="N698" s="134"/>
    </row>
    <row r="699" spans="11:14" x14ac:dyDescent="0.2">
      <c r="K699" s="116"/>
      <c r="M699" s="133"/>
      <c r="N699" s="134"/>
    </row>
    <row r="700" spans="11:14" x14ac:dyDescent="0.2">
      <c r="K700" s="116"/>
      <c r="M700" s="133"/>
      <c r="N700" s="134"/>
    </row>
    <row r="701" spans="11:14" x14ac:dyDescent="0.2">
      <c r="K701" s="116"/>
      <c r="M701" s="133"/>
      <c r="N701" s="134"/>
    </row>
    <row r="702" spans="11:14" x14ac:dyDescent="0.2">
      <c r="K702" s="116"/>
      <c r="M702" s="133"/>
      <c r="N702" s="134"/>
    </row>
    <row r="703" spans="11:14" x14ac:dyDescent="0.2">
      <c r="K703" s="116"/>
      <c r="M703" s="133"/>
      <c r="N703" s="134"/>
    </row>
    <row r="704" spans="11:14" x14ac:dyDescent="0.2">
      <c r="K704" s="116"/>
      <c r="M704" s="133"/>
      <c r="N704" s="134"/>
    </row>
    <row r="705" spans="11:14" x14ac:dyDescent="0.2">
      <c r="K705" s="116"/>
      <c r="M705" s="133"/>
      <c r="N705" s="134"/>
    </row>
    <row r="706" spans="11:14" x14ac:dyDescent="0.2">
      <c r="K706" s="116"/>
      <c r="M706" s="133"/>
      <c r="N706" s="134"/>
    </row>
    <row r="707" spans="11:14" x14ac:dyDescent="0.2">
      <c r="K707" s="116"/>
      <c r="M707" s="133"/>
      <c r="N707" s="134"/>
    </row>
    <row r="708" spans="11:14" x14ac:dyDescent="0.2">
      <c r="K708" s="116"/>
      <c r="M708" s="133"/>
      <c r="N708" s="134"/>
    </row>
    <row r="709" spans="11:14" x14ac:dyDescent="0.2">
      <c r="K709" s="116"/>
      <c r="M709" s="133"/>
      <c r="N709" s="134"/>
    </row>
    <row r="710" spans="11:14" x14ac:dyDescent="0.2">
      <c r="K710" s="116"/>
      <c r="M710" s="133"/>
      <c r="N710" s="134"/>
    </row>
    <row r="711" spans="11:14" x14ac:dyDescent="0.2">
      <c r="K711" s="116"/>
      <c r="M711" s="133"/>
      <c r="N711" s="134"/>
    </row>
    <row r="712" spans="11:14" x14ac:dyDescent="0.2">
      <c r="K712" s="116"/>
      <c r="M712" s="133"/>
      <c r="N712" s="134"/>
    </row>
    <row r="713" spans="11:14" x14ac:dyDescent="0.2">
      <c r="K713" s="116"/>
      <c r="M713" s="133"/>
      <c r="N713" s="134"/>
    </row>
    <row r="714" spans="11:14" x14ac:dyDescent="0.2">
      <c r="K714" s="116"/>
      <c r="M714" s="133"/>
      <c r="N714" s="134"/>
    </row>
    <row r="715" spans="11:14" x14ac:dyDescent="0.2">
      <c r="K715" s="116"/>
      <c r="M715" s="133"/>
      <c r="N715" s="134"/>
    </row>
    <row r="716" spans="11:14" x14ac:dyDescent="0.2">
      <c r="K716" s="116"/>
      <c r="M716" s="133"/>
      <c r="N716" s="134"/>
    </row>
    <row r="717" spans="11:14" x14ac:dyDescent="0.2">
      <c r="K717" s="116"/>
      <c r="M717" s="133"/>
      <c r="N717" s="134"/>
    </row>
    <row r="718" spans="11:14" x14ac:dyDescent="0.2">
      <c r="K718" s="116"/>
      <c r="M718" s="133"/>
      <c r="N718" s="134"/>
    </row>
    <row r="719" spans="11:14" x14ac:dyDescent="0.2">
      <c r="K719" s="116"/>
      <c r="M719" s="133"/>
      <c r="N719" s="134"/>
    </row>
    <row r="720" spans="11:14" x14ac:dyDescent="0.2">
      <c r="K720" s="116"/>
      <c r="M720" s="133"/>
      <c r="N720" s="134"/>
    </row>
    <row r="721" spans="11:14" x14ac:dyDescent="0.2">
      <c r="K721" s="116"/>
      <c r="M721" s="133"/>
      <c r="N721" s="134"/>
    </row>
    <row r="722" spans="11:14" x14ac:dyDescent="0.2">
      <c r="K722" s="116"/>
      <c r="M722" s="133"/>
      <c r="N722" s="134"/>
    </row>
    <row r="723" spans="11:14" x14ac:dyDescent="0.2">
      <c r="K723" s="116"/>
      <c r="M723" s="133"/>
      <c r="N723" s="134"/>
    </row>
    <row r="724" spans="11:14" x14ac:dyDescent="0.2">
      <c r="K724" s="116"/>
      <c r="M724" s="133"/>
      <c r="N724" s="134"/>
    </row>
    <row r="725" spans="11:14" x14ac:dyDescent="0.2">
      <c r="K725" s="116"/>
      <c r="M725" s="133"/>
      <c r="N725" s="134"/>
    </row>
    <row r="726" spans="11:14" x14ac:dyDescent="0.2">
      <c r="K726" s="116"/>
      <c r="M726" s="133"/>
      <c r="N726" s="134"/>
    </row>
    <row r="727" spans="11:14" x14ac:dyDescent="0.2">
      <c r="K727" s="116"/>
      <c r="M727" s="133"/>
      <c r="N727" s="134"/>
    </row>
    <row r="728" spans="11:14" x14ac:dyDescent="0.2">
      <c r="K728" s="116"/>
      <c r="M728" s="133"/>
      <c r="N728" s="134"/>
    </row>
    <row r="729" spans="11:14" x14ac:dyDescent="0.2">
      <c r="K729" s="116"/>
      <c r="M729" s="133"/>
      <c r="N729" s="134"/>
    </row>
    <row r="730" spans="11:14" x14ac:dyDescent="0.2">
      <c r="K730" s="116"/>
      <c r="M730" s="133"/>
      <c r="N730" s="134"/>
    </row>
    <row r="731" spans="11:14" x14ac:dyDescent="0.2">
      <c r="K731" s="116"/>
      <c r="M731" s="133"/>
      <c r="N731" s="134"/>
    </row>
    <row r="732" spans="11:14" x14ac:dyDescent="0.2">
      <c r="K732" s="116"/>
      <c r="M732" s="133"/>
      <c r="N732" s="134"/>
    </row>
    <row r="733" spans="11:14" x14ac:dyDescent="0.2">
      <c r="K733" s="116"/>
      <c r="M733" s="133"/>
      <c r="N733" s="134"/>
    </row>
    <row r="734" spans="11:14" x14ac:dyDescent="0.2">
      <c r="K734" s="116"/>
      <c r="M734" s="133"/>
      <c r="N734" s="134"/>
    </row>
    <row r="735" spans="11:14" x14ac:dyDescent="0.2">
      <c r="K735" s="116"/>
      <c r="M735" s="133"/>
      <c r="N735" s="134"/>
    </row>
    <row r="736" spans="11:14" x14ac:dyDescent="0.2">
      <c r="K736" s="116"/>
      <c r="M736" s="133"/>
      <c r="N736" s="134"/>
    </row>
    <row r="737" spans="11:14" x14ac:dyDescent="0.2">
      <c r="K737" s="116"/>
      <c r="M737" s="133"/>
      <c r="N737" s="134"/>
    </row>
    <row r="738" spans="11:14" x14ac:dyDescent="0.2">
      <c r="K738" s="116"/>
      <c r="M738" s="133"/>
      <c r="N738" s="134"/>
    </row>
    <row r="739" spans="11:14" x14ac:dyDescent="0.2">
      <c r="K739" s="116"/>
      <c r="M739" s="133"/>
      <c r="N739" s="134"/>
    </row>
    <row r="740" spans="11:14" x14ac:dyDescent="0.2">
      <c r="K740" s="116"/>
      <c r="M740" s="133"/>
      <c r="N740" s="134"/>
    </row>
    <row r="741" spans="11:14" x14ac:dyDescent="0.2">
      <c r="K741" s="116"/>
      <c r="M741" s="133"/>
      <c r="N741" s="134"/>
    </row>
    <row r="742" spans="11:14" x14ac:dyDescent="0.2">
      <c r="K742" s="116"/>
      <c r="M742" s="133"/>
      <c r="N742" s="134"/>
    </row>
    <row r="743" spans="11:14" x14ac:dyDescent="0.2">
      <c r="K743" s="116"/>
      <c r="M743" s="133"/>
      <c r="N743" s="134"/>
    </row>
    <row r="744" spans="11:14" x14ac:dyDescent="0.2">
      <c r="K744" s="116"/>
      <c r="M744" s="133"/>
      <c r="N744" s="134"/>
    </row>
    <row r="745" spans="11:14" x14ac:dyDescent="0.2">
      <c r="K745" s="116"/>
      <c r="M745" s="133"/>
      <c r="N745" s="134"/>
    </row>
    <row r="746" spans="11:14" x14ac:dyDescent="0.2">
      <c r="K746" s="116"/>
      <c r="M746" s="133"/>
      <c r="N746" s="134"/>
    </row>
    <row r="747" spans="11:14" x14ac:dyDescent="0.2">
      <c r="K747" s="116"/>
      <c r="M747" s="133"/>
      <c r="N747" s="134"/>
    </row>
    <row r="748" spans="11:14" x14ac:dyDescent="0.2">
      <c r="K748" s="116"/>
      <c r="M748" s="133"/>
      <c r="N748" s="134"/>
    </row>
    <row r="749" spans="11:14" x14ac:dyDescent="0.2">
      <c r="K749" s="116"/>
      <c r="M749" s="133"/>
      <c r="N749" s="134"/>
    </row>
    <row r="750" spans="11:14" x14ac:dyDescent="0.2">
      <c r="K750" s="116"/>
      <c r="M750" s="133"/>
      <c r="N750" s="134"/>
    </row>
    <row r="751" spans="11:14" x14ac:dyDescent="0.2">
      <c r="K751" s="116"/>
      <c r="M751" s="133"/>
      <c r="N751" s="134"/>
    </row>
    <row r="752" spans="11:14" x14ac:dyDescent="0.2">
      <c r="K752" s="116"/>
      <c r="M752" s="133"/>
      <c r="N752" s="134"/>
    </row>
    <row r="753" spans="11:14" x14ac:dyDescent="0.2">
      <c r="K753" s="116"/>
      <c r="M753" s="133"/>
      <c r="N753" s="134"/>
    </row>
    <row r="754" spans="11:14" x14ac:dyDescent="0.2">
      <c r="K754" s="116"/>
      <c r="M754" s="133"/>
      <c r="N754" s="134"/>
    </row>
    <row r="755" spans="11:14" x14ac:dyDescent="0.2">
      <c r="K755" s="116"/>
      <c r="M755" s="133"/>
      <c r="N755" s="134"/>
    </row>
    <row r="756" spans="11:14" x14ac:dyDescent="0.2">
      <c r="K756" s="116"/>
      <c r="M756" s="133"/>
      <c r="N756" s="134"/>
    </row>
    <row r="757" spans="11:14" x14ac:dyDescent="0.2">
      <c r="K757" s="116"/>
      <c r="M757" s="133"/>
      <c r="N757" s="134"/>
    </row>
    <row r="758" spans="11:14" x14ac:dyDescent="0.2">
      <c r="K758" s="116"/>
      <c r="M758" s="133"/>
      <c r="N758" s="134"/>
    </row>
    <row r="759" spans="11:14" x14ac:dyDescent="0.2">
      <c r="K759" s="116"/>
      <c r="M759" s="133"/>
      <c r="N759" s="134"/>
    </row>
    <row r="760" spans="11:14" x14ac:dyDescent="0.2">
      <c r="K760" s="116"/>
      <c r="M760" s="133"/>
      <c r="N760" s="134"/>
    </row>
    <row r="761" spans="11:14" x14ac:dyDescent="0.2">
      <c r="K761" s="116"/>
      <c r="M761" s="133"/>
      <c r="N761" s="134"/>
    </row>
    <row r="762" spans="11:14" x14ac:dyDescent="0.2">
      <c r="K762" s="116"/>
      <c r="M762" s="133"/>
      <c r="N762" s="134"/>
    </row>
    <row r="763" spans="11:14" x14ac:dyDescent="0.2">
      <c r="K763" s="116"/>
      <c r="M763" s="133"/>
      <c r="N763" s="134"/>
    </row>
    <row r="764" spans="11:14" x14ac:dyDescent="0.2">
      <c r="K764" s="116"/>
      <c r="M764" s="133"/>
      <c r="N764" s="134"/>
    </row>
    <row r="765" spans="11:14" x14ac:dyDescent="0.2">
      <c r="K765" s="116"/>
      <c r="M765" s="133"/>
      <c r="N765" s="134"/>
    </row>
    <row r="766" spans="11:14" x14ac:dyDescent="0.2">
      <c r="K766" s="116"/>
      <c r="M766" s="133"/>
      <c r="N766" s="134"/>
    </row>
    <row r="767" spans="11:14" x14ac:dyDescent="0.2">
      <c r="K767" s="116"/>
      <c r="M767" s="133"/>
      <c r="N767" s="134"/>
    </row>
    <row r="768" spans="11:14" x14ac:dyDescent="0.2">
      <c r="K768" s="116"/>
      <c r="M768" s="133"/>
      <c r="N768" s="134"/>
    </row>
    <row r="769" spans="11:14" x14ac:dyDescent="0.2">
      <c r="K769" s="116"/>
      <c r="M769" s="133"/>
      <c r="N769" s="134"/>
    </row>
    <row r="770" spans="11:14" x14ac:dyDescent="0.2">
      <c r="K770" s="116"/>
      <c r="M770" s="133"/>
      <c r="N770" s="134"/>
    </row>
    <row r="771" spans="11:14" x14ac:dyDescent="0.2">
      <c r="K771" s="116"/>
      <c r="M771" s="133"/>
      <c r="N771" s="134"/>
    </row>
    <row r="772" spans="11:14" x14ac:dyDescent="0.2">
      <c r="K772" s="116"/>
      <c r="M772" s="133"/>
      <c r="N772" s="134"/>
    </row>
    <row r="773" spans="11:14" x14ac:dyDescent="0.2">
      <c r="K773" s="116"/>
      <c r="M773" s="133"/>
      <c r="N773" s="134"/>
    </row>
    <row r="774" spans="11:14" x14ac:dyDescent="0.2">
      <c r="K774" s="116"/>
      <c r="M774" s="133"/>
      <c r="N774" s="134"/>
    </row>
    <row r="775" spans="11:14" x14ac:dyDescent="0.2">
      <c r="K775" s="116"/>
      <c r="M775" s="133"/>
      <c r="N775" s="134"/>
    </row>
    <row r="776" spans="11:14" x14ac:dyDescent="0.2">
      <c r="K776" s="116"/>
      <c r="M776" s="133"/>
      <c r="N776" s="134"/>
    </row>
    <row r="777" spans="11:14" x14ac:dyDescent="0.2">
      <c r="K777" s="116"/>
      <c r="M777" s="133"/>
      <c r="N777" s="134"/>
    </row>
    <row r="778" spans="11:14" x14ac:dyDescent="0.2">
      <c r="K778" s="116"/>
      <c r="M778" s="133"/>
      <c r="N778" s="134"/>
    </row>
    <row r="779" spans="11:14" x14ac:dyDescent="0.2">
      <c r="K779" s="116"/>
      <c r="M779" s="133"/>
      <c r="N779" s="134"/>
    </row>
    <row r="780" spans="11:14" x14ac:dyDescent="0.2">
      <c r="K780" s="116"/>
      <c r="M780" s="133"/>
      <c r="N780" s="134"/>
    </row>
    <row r="781" spans="11:14" x14ac:dyDescent="0.2">
      <c r="K781" s="116"/>
      <c r="M781" s="133"/>
      <c r="N781" s="134"/>
    </row>
    <row r="782" spans="11:14" x14ac:dyDescent="0.2">
      <c r="K782" s="116"/>
      <c r="M782" s="133"/>
      <c r="N782" s="134"/>
    </row>
    <row r="783" spans="11:14" x14ac:dyDescent="0.2">
      <c r="K783" s="116"/>
      <c r="M783" s="133"/>
      <c r="N783" s="134"/>
    </row>
    <row r="784" spans="11:14" x14ac:dyDescent="0.2">
      <c r="K784" s="116"/>
      <c r="M784" s="133"/>
      <c r="N784" s="134"/>
    </row>
    <row r="785" spans="11:14" x14ac:dyDescent="0.2">
      <c r="K785" s="116"/>
      <c r="M785" s="133"/>
      <c r="N785" s="134"/>
    </row>
    <row r="786" spans="11:14" x14ac:dyDescent="0.2">
      <c r="K786" s="116"/>
      <c r="M786" s="133"/>
      <c r="N786" s="134"/>
    </row>
    <row r="787" spans="11:14" x14ac:dyDescent="0.2">
      <c r="K787" s="116"/>
      <c r="M787" s="133"/>
      <c r="N787" s="134"/>
    </row>
    <row r="788" spans="11:14" x14ac:dyDescent="0.2">
      <c r="K788" s="116"/>
      <c r="M788" s="133"/>
      <c r="N788" s="134"/>
    </row>
    <row r="789" spans="11:14" x14ac:dyDescent="0.2">
      <c r="K789" s="116"/>
      <c r="M789" s="133"/>
      <c r="N789" s="134"/>
    </row>
    <row r="790" spans="11:14" x14ac:dyDescent="0.2">
      <c r="K790" s="116"/>
      <c r="M790" s="133"/>
      <c r="N790" s="134"/>
    </row>
    <row r="791" spans="11:14" x14ac:dyDescent="0.2">
      <c r="K791" s="116"/>
      <c r="M791" s="133"/>
      <c r="N791" s="134"/>
    </row>
    <row r="792" spans="11:14" x14ac:dyDescent="0.2">
      <c r="K792" s="116"/>
      <c r="M792" s="133"/>
      <c r="N792" s="134"/>
    </row>
    <row r="793" spans="11:14" x14ac:dyDescent="0.2">
      <c r="K793" s="116"/>
      <c r="M793" s="133"/>
      <c r="N793" s="134"/>
    </row>
    <row r="794" spans="11:14" x14ac:dyDescent="0.2">
      <c r="K794" s="116"/>
      <c r="M794" s="133"/>
      <c r="N794" s="134"/>
    </row>
    <row r="795" spans="11:14" x14ac:dyDescent="0.2">
      <c r="K795" s="116"/>
      <c r="M795" s="133"/>
      <c r="N795" s="134"/>
    </row>
    <row r="796" spans="11:14" x14ac:dyDescent="0.2">
      <c r="K796" s="116"/>
      <c r="M796" s="133"/>
      <c r="N796" s="134"/>
    </row>
    <row r="797" spans="11:14" x14ac:dyDescent="0.2">
      <c r="K797" s="116"/>
      <c r="M797" s="133"/>
      <c r="N797" s="134"/>
    </row>
    <row r="798" spans="11:14" x14ac:dyDescent="0.2">
      <c r="K798" s="116"/>
      <c r="M798" s="133"/>
      <c r="N798" s="134"/>
    </row>
    <row r="799" spans="11:14" x14ac:dyDescent="0.2">
      <c r="K799" s="116"/>
      <c r="M799" s="133"/>
      <c r="N799" s="134"/>
    </row>
    <row r="800" spans="11:14" x14ac:dyDescent="0.2">
      <c r="K800" s="116"/>
      <c r="M800" s="133"/>
      <c r="N800" s="134"/>
    </row>
    <row r="801" spans="11:14" x14ac:dyDescent="0.2">
      <c r="K801" s="116"/>
      <c r="M801" s="133"/>
      <c r="N801" s="134"/>
    </row>
    <row r="802" spans="11:14" x14ac:dyDescent="0.2">
      <c r="K802" s="116"/>
      <c r="M802" s="133"/>
      <c r="N802" s="134"/>
    </row>
    <row r="803" spans="11:14" x14ac:dyDescent="0.2">
      <c r="K803" s="116"/>
      <c r="M803" s="133"/>
      <c r="N803" s="134"/>
    </row>
    <row r="804" spans="11:14" x14ac:dyDescent="0.2">
      <c r="K804" s="116"/>
      <c r="M804" s="133"/>
      <c r="N804" s="134"/>
    </row>
    <row r="805" spans="11:14" x14ac:dyDescent="0.2">
      <c r="K805" s="116"/>
      <c r="M805" s="133"/>
      <c r="N805" s="134"/>
    </row>
    <row r="806" spans="11:14" x14ac:dyDescent="0.2">
      <c r="K806" s="116"/>
      <c r="M806" s="133"/>
      <c r="N806" s="134"/>
    </row>
    <row r="807" spans="11:14" x14ac:dyDescent="0.2">
      <c r="K807" s="116"/>
      <c r="M807" s="133"/>
      <c r="N807" s="134"/>
    </row>
    <row r="808" spans="11:14" x14ac:dyDescent="0.2">
      <c r="K808" s="116"/>
      <c r="M808" s="133"/>
      <c r="N808" s="134"/>
    </row>
    <row r="809" spans="11:14" x14ac:dyDescent="0.2">
      <c r="K809" s="116"/>
      <c r="M809" s="133"/>
      <c r="N809" s="134"/>
    </row>
    <row r="810" spans="11:14" x14ac:dyDescent="0.2">
      <c r="K810" s="116"/>
      <c r="M810" s="133"/>
      <c r="N810" s="134"/>
    </row>
    <row r="811" spans="11:14" x14ac:dyDescent="0.2">
      <c r="K811" s="116"/>
      <c r="M811" s="133"/>
      <c r="N811" s="134"/>
    </row>
    <row r="812" spans="11:14" x14ac:dyDescent="0.2">
      <c r="K812" s="116"/>
      <c r="M812" s="133"/>
      <c r="N812" s="134"/>
    </row>
    <row r="813" spans="11:14" x14ac:dyDescent="0.2">
      <c r="K813" s="116"/>
      <c r="M813" s="133"/>
      <c r="N813" s="134"/>
    </row>
    <row r="814" spans="11:14" x14ac:dyDescent="0.2">
      <c r="K814" s="116"/>
      <c r="M814" s="133"/>
      <c r="N814" s="134"/>
    </row>
    <row r="815" spans="11:14" x14ac:dyDescent="0.2">
      <c r="K815" s="116"/>
      <c r="M815" s="133"/>
      <c r="N815" s="134"/>
    </row>
    <row r="816" spans="11:14" x14ac:dyDescent="0.2">
      <c r="K816" s="116"/>
      <c r="M816" s="133"/>
      <c r="N816" s="134"/>
    </row>
    <row r="817" spans="11:14" x14ac:dyDescent="0.2">
      <c r="K817" s="116"/>
      <c r="M817" s="133"/>
      <c r="N817" s="134"/>
    </row>
    <row r="818" spans="11:14" x14ac:dyDescent="0.2">
      <c r="K818" s="116"/>
      <c r="M818" s="133"/>
      <c r="N818" s="134"/>
    </row>
    <row r="819" spans="11:14" x14ac:dyDescent="0.2">
      <c r="K819" s="116"/>
      <c r="M819" s="133"/>
      <c r="N819" s="134"/>
    </row>
    <row r="820" spans="11:14" x14ac:dyDescent="0.2">
      <c r="K820" s="116"/>
      <c r="M820" s="133"/>
      <c r="N820" s="134"/>
    </row>
    <row r="821" spans="11:14" x14ac:dyDescent="0.2">
      <c r="K821" s="116"/>
      <c r="M821" s="133"/>
      <c r="N821" s="134"/>
    </row>
    <row r="822" spans="11:14" x14ac:dyDescent="0.2">
      <c r="K822" s="116"/>
      <c r="M822" s="133"/>
      <c r="N822" s="134"/>
    </row>
    <row r="823" spans="11:14" x14ac:dyDescent="0.2">
      <c r="K823" s="116"/>
      <c r="M823" s="133"/>
      <c r="N823" s="134"/>
    </row>
    <row r="824" spans="11:14" x14ac:dyDescent="0.2">
      <c r="K824" s="116"/>
      <c r="M824" s="133"/>
      <c r="N824" s="134"/>
    </row>
    <row r="825" spans="11:14" x14ac:dyDescent="0.2">
      <c r="K825" s="116"/>
      <c r="M825" s="133"/>
      <c r="N825" s="134"/>
    </row>
    <row r="826" spans="11:14" x14ac:dyDescent="0.2">
      <c r="K826" s="116"/>
      <c r="M826" s="133"/>
      <c r="N826" s="134"/>
    </row>
    <row r="827" spans="11:14" x14ac:dyDescent="0.2">
      <c r="K827" s="116"/>
      <c r="M827" s="133"/>
      <c r="N827" s="134"/>
    </row>
    <row r="828" spans="11:14" x14ac:dyDescent="0.2">
      <c r="K828" s="116"/>
      <c r="M828" s="133"/>
      <c r="N828" s="134"/>
    </row>
    <row r="829" spans="11:14" x14ac:dyDescent="0.2">
      <c r="K829" s="116"/>
      <c r="M829" s="133"/>
      <c r="N829" s="134"/>
    </row>
    <row r="830" spans="11:14" x14ac:dyDescent="0.2">
      <c r="K830" s="116"/>
      <c r="M830" s="133"/>
      <c r="N830" s="134"/>
    </row>
    <row r="831" spans="11:14" x14ac:dyDescent="0.2">
      <c r="K831" s="116"/>
      <c r="M831" s="133"/>
      <c r="N831" s="134"/>
    </row>
    <row r="832" spans="11:14" x14ac:dyDescent="0.2">
      <c r="K832" s="116"/>
      <c r="M832" s="133"/>
      <c r="N832" s="134"/>
    </row>
    <row r="833" spans="11:14" x14ac:dyDescent="0.2">
      <c r="K833" s="116"/>
      <c r="M833" s="133"/>
      <c r="N833" s="134"/>
    </row>
    <row r="834" spans="11:14" x14ac:dyDescent="0.2">
      <c r="K834" s="116"/>
      <c r="M834" s="133"/>
      <c r="N834" s="134"/>
    </row>
    <row r="835" spans="11:14" x14ac:dyDescent="0.2">
      <c r="K835" s="116"/>
      <c r="M835" s="133"/>
      <c r="N835" s="134"/>
    </row>
    <row r="836" spans="11:14" x14ac:dyDescent="0.2">
      <c r="K836" s="116"/>
      <c r="M836" s="133"/>
      <c r="N836" s="134"/>
    </row>
    <row r="837" spans="11:14" x14ac:dyDescent="0.2">
      <c r="K837" s="116"/>
      <c r="M837" s="133"/>
      <c r="N837" s="134"/>
    </row>
    <row r="838" spans="11:14" x14ac:dyDescent="0.2">
      <c r="K838" s="116"/>
      <c r="M838" s="133"/>
      <c r="N838" s="134"/>
    </row>
    <row r="839" spans="11:14" x14ac:dyDescent="0.2">
      <c r="K839" s="116"/>
      <c r="M839" s="133"/>
      <c r="N839" s="134"/>
    </row>
    <row r="840" spans="11:14" x14ac:dyDescent="0.2">
      <c r="K840" s="116"/>
      <c r="M840" s="133"/>
      <c r="N840" s="134"/>
    </row>
    <row r="841" spans="11:14" x14ac:dyDescent="0.2">
      <c r="K841" s="116"/>
      <c r="M841" s="133"/>
      <c r="N841" s="134"/>
    </row>
    <row r="842" spans="11:14" x14ac:dyDescent="0.2">
      <c r="K842" s="116"/>
      <c r="M842" s="133"/>
      <c r="N842" s="134"/>
    </row>
    <row r="843" spans="11:14" x14ac:dyDescent="0.2">
      <c r="K843" s="116"/>
      <c r="M843" s="133"/>
      <c r="N843" s="134"/>
    </row>
    <row r="844" spans="11:14" x14ac:dyDescent="0.2">
      <c r="K844" s="116"/>
      <c r="M844" s="133"/>
      <c r="N844" s="134"/>
    </row>
    <row r="845" spans="11:14" x14ac:dyDescent="0.2">
      <c r="K845" s="116"/>
      <c r="M845" s="133"/>
      <c r="N845" s="134"/>
    </row>
    <row r="846" spans="11:14" x14ac:dyDescent="0.2">
      <c r="K846" s="116"/>
      <c r="M846" s="133"/>
      <c r="N846" s="134"/>
    </row>
    <row r="847" spans="11:14" x14ac:dyDescent="0.2">
      <c r="M847" s="133"/>
      <c r="N847" s="134"/>
    </row>
    <row r="848" spans="11:14" x14ac:dyDescent="0.2">
      <c r="M848" s="133"/>
      <c r="N848" s="134"/>
    </row>
    <row r="849" spans="13:14" x14ac:dyDescent="0.2">
      <c r="M849" s="133"/>
      <c r="N849" s="134"/>
    </row>
    <row r="850" spans="13:14" x14ac:dyDescent="0.2">
      <c r="M850" s="133"/>
      <c r="N850" s="134"/>
    </row>
    <row r="851" spans="13:14" x14ac:dyDescent="0.2">
      <c r="M851" s="133"/>
      <c r="N851" s="134"/>
    </row>
    <row r="852" spans="13:14" x14ac:dyDescent="0.2">
      <c r="M852" s="133"/>
      <c r="N852" s="134"/>
    </row>
    <row r="853" spans="13:14" x14ac:dyDescent="0.2">
      <c r="M853" s="133"/>
      <c r="N853" s="134"/>
    </row>
    <row r="854" spans="13:14" x14ac:dyDescent="0.2">
      <c r="M854" s="133"/>
      <c r="N854" s="134"/>
    </row>
    <row r="855" spans="13:14" x14ac:dyDescent="0.2">
      <c r="M855" s="133"/>
      <c r="N855" s="134"/>
    </row>
    <row r="856" spans="13:14" x14ac:dyDescent="0.2">
      <c r="M856" s="133"/>
      <c r="N856" s="134"/>
    </row>
    <row r="857" spans="13:14" x14ac:dyDescent="0.2">
      <c r="M857" s="133"/>
      <c r="N857" s="134"/>
    </row>
    <row r="858" spans="13:14" x14ac:dyDescent="0.2">
      <c r="M858" s="133"/>
      <c r="N858" s="134"/>
    </row>
    <row r="859" spans="13:14" x14ac:dyDescent="0.2">
      <c r="M859" s="133"/>
      <c r="N859" s="134"/>
    </row>
    <row r="860" spans="13:14" x14ac:dyDescent="0.2">
      <c r="M860" s="133"/>
      <c r="N860" s="134"/>
    </row>
    <row r="861" spans="13:14" x14ac:dyDescent="0.2">
      <c r="M861" s="133"/>
      <c r="N861" s="134"/>
    </row>
    <row r="862" spans="13:14" x14ac:dyDescent="0.2">
      <c r="M862" s="133"/>
      <c r="N862" s="134"/>
    </row>
    <row r="863" spans="13:14" x14ac:dyDescent="0.2">
      <c r="M863" s="133"/>
      <c r="N863" s="134"/>
    </row>
    <row r="864" spans="13:14" x14ac:dyDescent="0.2">
      <c r="M864" s="133"/>
      <c r="N864" s="134"/>
    </row>
    <row r="865" spans="13:14" x14ac:dyDescent="0.2">
      <c r="M865" s="133"/>
      <c r="N865" s="134"/>
    </row>
    <row r="866" spans="13:14" x14ac:dyDescent="0.2">
      <c r="M866" s="133"/>
      <c r="N866" s="134"/>
    </row>
    <row r="867" spans="13:14" x14ac:dyDescent="0.2">
      <c r="M867" s="133"/>
      <c r="N867" s="134"/>
    </row>
    <row r="868" spans="13:14" x14ac:dyDescent="0.2">
      <c r="M868" s="133"/>
      <c r="N868" s="134"/>
    </row>
    <row r="869" spans="13:14" x14ac:dyDescent="0.2">
      <c r="M869" s="133"/>
      <c r="N869" s="134"/>
    </row>
    <row r="870" spans="13:14" x14ac:dyDescent="0.2">
      <c r="M870" s="133"/>
      <c r="N870" s="134"/>
    </row>
    <row r="871" spans="13:14" x14ac:dyDescent="0.2">
      <c r="M871" s="133"/>
      <c r="N871" s="134"/>
    </row>
    <row r="872" spans="13:14" x14ac:dyDescent="0.2">
      <c r="M872" s="133"/>
      <c r="N872" s="134"/>
    </row>
    <row r="873" spans="13:14" x14ac:dyDescent="0.2">
      <c r="M873" s="133"/>
      <c r="N873" s="134"/>
    </row>
    <row r="874" spans="13:14" x14ac:dyDescent="0.2">
      <c r="M874" s="133"/>
      <c r="N874" s="134"/>
    </row>
    <row r="875" spans="13:14" x14ac:dyDescent="0.2">
      <c r="M875" s="133"/>
      <c r="N875" s="134"/>
    </row>
    <row r="876" spans="13:14" x14ac:dyDescent="0.2">
      <c r="M876" s="133"/>
      <c r="N876" s="134"/>
    </row>
    <row r="877" spans="13:14" x14ac:dyDescent="0.2">
      <c r="M877" s="133"/>
      <c r="N877" s="134"/>
    </row>
    <row r="878" spans="13:14" x14ac:dyDescent="0.2">
      <c r="M878" s="133"/>
      <c r="N878" s="134"/>
    </row>
    <row r="879" spans="13:14" x14ac:dyDescent="0.2">
      <c r="M879" s="133"/>
      <c r="N879" s="134"/>
    </row>
    <row r="880" spans="13:14" x14ac:dyDescent="0.2">
      <c r="M880" s="133"/>
      <c r="N880" s="134"/>
    </row>
    <row r="881" spans="13:14" x14ac:dyDescent="0.2">
      <c r="M881" s="133"/>
      <c r="N881" s="134"/>
    </row>
    <row r="882" spans="13:14" x14ac:dyDescent="0.2">
      <c r="M882" s="133"/>
      <c r="N882" s="134"/>
    </row>
    <row r="883" spans="13:14" x14ac:dyDescent="0.2">
      <c r="M883" s="133"/>
      <c r="N883" s="134"/>
    </row>
    <row r="884" spans="13:14" x14ac:dyDescent="0.2">
      <c r="M884" s="133"/>
      <c r="N884" s="134"/>
    </row>
    <row r="885" spans="13:14" x14ac:dyDescent="0.2">
      <c r="M885" s="133"/>
      <c r="N885" s="134"/>
    </row>
    <row r="886" spans="13:14" x14ac:dyDescent="0.2">
      <c r="M886" s="133"/>
      <c r="N886" s="134"/>
    </row>
    <row r="887" spans="13:14" x14ac:dyDescent="0.2">
      <c r="M887" s="133"/>
      <c r="N887" s="134"/>
    </row>
    <row r="888" spans="13:14" x14ac:dyDescent="0.2">
      <c r="M888" s="133"/>
      <c r="N888" s="134"/>
    </row>
    <row r="889" spans="13:14" x14ac:dyDescent="0.2">
      <c r="M889" s="133"/>
      <c r="N889" s="134"/>
    </row>
    <row r="890" spans="13:14" x14ac:dyDescent="0.2">
      <c r="M890" s="133"/>
      <c r="N890" s="134"/>
    </row>
    <row r="891" spans="13:14" x14ac:dyDescent="0.2">
      <c r="M891" s="133"/>
      <c r="N891" s="134"/>
    </row>
    <row r="892" spans="13:14" x14ac:dyDescent="0.2">
      <c r="M892" s="133"/>
      <c r="N892" s="134"/>
    </row>
    <row r="893" spans="13:14" x14ac:dyDescent="0.2">
      <c r="M893" s="133"/>
      <c r="N893" s="134"/>
    </row>
    <row r="894" spans="13:14" x14ac:dyDescent="0.2">
      <c r="M894" s="133"/>
      <c r="N894" s="134"/>
    </row>
    <row r="895" spans="13:14" x14ac:dyDescent="0.2">
      <c r="M895" s="133"/>
      <c r="N895" s="134"/>
    </row>
    <row r="896" spans="13:14" x14ac:dyDescent="0.2">
      <c r="M896" s="133"/>
      <c r="N896" s="134"/>
    </row>
    <row r="897" spans="13:14" x14ac:dyDescent="0.2">
      <c r="M897" s="133"/>
      <c r="N897" s="134"/>
    </row>
    <row r="898" spans="13:14" x14ac:dyDescent="0.2">
      <c r="M898" s="133"/>
      <c r="N898" s="134"/>
    </row>
    <row r="899" spans="13:14" x14ac:dyDescent="0.2">
      <c r="M899" s="133"/>
      <c r="N899" s="134"/>
    </row>
    <row r="900" spans="13:14" x14ac:dyDescent="0.2">
      <c r="M900" s="133"/>
      <c r="N900" s="134"/>
    </row>
    <row r="901" spans="13:14" x14ac:dyDescent="0.2">
      <c r="M901" s="133"/>
      <c r="N901" s="134"/>
    </row>
    <row r="902" spans="13:14" x14ac:dyDescent="0.2">
      <c r="M902" s="133"/>
      <c r="N902" s="134"/>
    </row>
    <row r="903" spans="13:14" x14ac:dyDescent="0.2">
      <c r="M903" s="133"/>
      <c r="N903" s="134"/>
    </row>
    <row r="904" spans="13:14" x14ac:dyDescent="0.2">
      <c r="M904" s="133"/>
      <c r="N904" s="134"/>
    </row>
    <row r="905" spans="13:14" x14ac:dyDescent="0.2">
      <c r="M905" s="133"/>
      <c r="N905" s="134"/>
    </row>
    <row r="906" spans="13:14" x14ac:dyDescent="0.2">
      <c r="M906" s="133"/>
      <c r="N906" s="134"/>
    </row>
    <row r="907" spans="13:14" x14ac:dyDescent="0.2">
      <c r="M907" s="133"/>
      <c r="N907" s="134"/>
    </row>
    <row r="908" spans="13:14" x14ac:dyDescent="0.2">
      <c r="M908" s="133"/>
      <c r="N908" s="134"/>
    </row>
    <row r="909" spans="13:14" x14ac:dyDescent="0.2">
      <c r="M909" s="133"/>
      <c r="N909" s="134"/>
    </row>
    <row r="910" spans="13:14" x14ac:dyDescent="0.2">
      <c r="M910" s="133"/>
      <c r="N910" s="134"/>
    </row>
    <row r="911" spans="13:14" x14ac:dyDescent="0.2">
      <c r="M911" s="133"/>
      <c r="N911" s="134"/>
    </row>
    <row r="912" spans="13:14" x14ac:dyDescent="0.2">
      <c r="M912" s="133"/>
      <c r="N912" s="134"/>
    </row>
    <row r="913" spans="13:14" x14ac:dyDescent="0.2">
      <c r="M913" s="133"/>
      <c r="N913" s="134"/>
    </row>
    <row r="914" spans="13:14" x14ac:dyDescent="0.2">
      <c r="M914" s="133"/>
      <c r="N914" s="134"/>
    </row>
    <row r="915" spans="13:14" x14ac:dyDescent="0.2">
      <c r="M915" s="133"/>
      <c r="N915" s="134"/>
    </row>
    <row r="916" spans="13:14" x14ac:dyDescent="0.2">
      <c r="M916" s="133"/>
      <c r="N916" s="134"/>
    </row>
    <row r="917" spans="13:14" x14ac:dyDescent="0.2">
      <c r="M917" s="133"/>
      <c r="N917" s="134"/>
    </row>
    <row r="918" spans="13:14" x14ac:dyDescent="0.2">
      <c r="M918" s="133"/>
      <c r="N918" s="134"/>
    </row>
    <row r="919" spans="13:14" x14ac:dyDescent="0.2">
      <c r="M919" s="133"/>
      <c r="N919" s="134"/>
    </row>
    <row r="920" spans="13:14" x14ac:dyDescent="0.2">
      <c r="M920" s="133"/>
      <c r="N920" s="134"/>
    </row>
    <row r="921" spans="13:14" x14ac:dyDescent="0.2">
      <c r="M921" s="133"/>
      <c r="N921" s="134"/>
    </row>
    <row r="922" spans="13:14" x14ac:dyDescent="0.2">
      <c r="M922" s="133"/>
      <c r="N922" s="134"/>
    </row>
    <row r="923" spans="13:14" x14ac:dyDescent="0.2">
      <c r="M923" s="133"/>
      <c r="N923" s="134"/>
    </row>
    <row r="924" spans="13:14" x14ac:dyDescent="0.2">
      <c r="M924" s="133"/>
      <c r="N924" s="134"/>
    </row>
    <row r="925" spans="13:14" x14ac:dyDescent="0.2">
      <c r="M925" s="133"/>
      <c r="N925" s="134"/>
    </row>
    <row r="926" spans="13:14" x14ac:dyDescent="0.2">
      <c r="M926" s="133"/>
      <c r="N926" s="134"/>
    </row>
    <row r="927" spans="13:14" x14ac:dyDescent="0.2">
      <c r="M927" s="133"/>
      <c r="N927" s="134"/>
    </row>
    <row r="928" spans="13:14" x14ac:dyDescent="0.2">
      <c r="M928" s="133"/>
      <c r="N928" s="134"/>
    </row>
    <row r="929" spans="13:14" x14ac:dyDescent="0.2">
      <c r="M929" s="133"/>
      <c r="N929" s="134"/>
    </row>
    <row r="930" spans="13:14" x14ac:dyDescent="0.2">
      <c r="M930" s="133"/>
      <c r="N930" s="134"/>
    </row>
    <row r="931" spans="13:14" x14ac:dyDescent="0.2">
      <c r="M931" s="133"/>
      <c r="N931" s="134"/>
    </row>
    <row r="932" spans="13:14" x14ac:dyDescent="0.2">
      <c r="M932" s="133"/>
      <c r="N932" s="134"/>
    </row>
    <row r="933" spans="13:14" x14ac:dyDescent="0.2">
      <c r="M933" s="133"/>
      <c r="N933" s="134"/>
    </row>
    <row r="934" spans="13:14" x14ac:dyDescent="0.2">
      <c r="M934" s="133"/>
      <c r="N934" s="134"/>
    </row>
    <row r="935" spans="13:14" x14ac:dyDescent="0.2">
      <c r="M935" s="133"/>
      <c r="N935" s="134"/>
    </row>
    <row r="936" spans="13:14" x14ac:dyDescent="0.2">
      <c r="M936" s="133"/>
      <c r="N936" s="134"/>
    </row>
    <row r="937" spans="13:14" x14ac:dyDescent="0.2">
      <c r="M937" s="133"/>
      <c r="N937" s="134"/>
    </row>
    <row r="938" spans="13:14" x14ac:dyDescent="0.2">
      <c r="M938" s="133"/>
      <c r="N938" s="134"/>
    </row>
    <row r="939" spans="13:14" x14ac:dyDescent="0.2">
      <c r="M939" s="133"/>
      <c r="N939" s="134"/>
    </row>
    <row r="940" spans="13:14" x14ac:dyDescent="0.2">
      <c r="M940" s="133"/>
      <c r="N940" s="134"/>
    </row>
    <row r="941" spans="13:14" x14ac:dyDescent="0.2">
      <c r="M941" s="133"/>
      <c r="N941" s="134"/>
    </row>
    <row r="942" spans="13:14" x14ac:dyDescent="0.2">
      <c r="M942" s="133"/>
      <c r="N942" s="134"/>
    </row>
    <row r="943" spans="13:14" x14ac:dyDescent="0.2">
      <c r="M943" s="133"/>
      <c r="N943" s="134"/>
    </row>
    <row r="944" spans="13:14" x14ac:dyDescent="0.2">
      <c r="M944" s="133"/>
      <c r="N944" s="134"/>
    </row>
    <row r="945" spans="13:14" x14ac:dyDescent="0.2">
      <c r="M945" s="133"/>
      <c r="N945" s="134"/>
    </row>
    <row r="946" spans="13:14" x14ac:dyDescent="0.2">
      <c r="M946" s="133"/>
      <c r="N946" s="134"/>
    </row>
    <row r="947" spans="13:14" x14ac:dyDescent="0.2">
      <c r="M947" s="133"/>
      <c r="N947" s="134"/>
    </row>
    <row r="948" spans="13:14" x14ac:dyDescent="0.2">
      <c r="M948" s="133"/>
      <c r="N948" s="134"/>
    </row>
    <row r="949" spans="13:14" x14ac:dyDescent="0.2">
      <c r="M949" s="133"/>
      <c r="N949" s="134"/>
    </row>
    <row r="950" spans="13:14" x14ac:dyDescent="0.2">
      <c r="M950" s="133"/>
      <c r="N950" s="134"/>
    </row>
    <row r="951" spans="13:14" x14ac:dyDescent="0.2">
      <c r="M951" s="133"/>
      <c r="N951" s="134"/>
    </row>
    <row r="952" spans="13:14" x14ac:dyDescent="0.2">
      <c r="M952" s="133"/>
      <c r="N952" s="134"/>
    </row>
    <row r="953" spans="13:14" x14ac:dyDescent="0.2">
      <c r="M953" s="133"/>
      <c r="N953" s="134"/>
    </row>
    <row r="954" spans="13:14" x14ac:dyDescent="0.2">
      <c r="M954" s="133"/>
      <c r="N954" s="134"/>
    </row>
    <row r="955" spans="13:14" x14ac:dyDescent="0.2">
      <c r="M955" s="133"/>
      <c r="N955" s="134"/>
    </row>
    <row r="956" spans="13:14" x14ac:dyDescent="0.2">
      <c r="M956" s="133"/>
      <c r="N956" s="134"/>
    </row>
    <row r="957" spans="13:14" x14ac:dyDescent="0.2">
      <c r="M957" s="133"/>
      <c r="N957" s="134"/>
    </row>
    <row r="958" spans="13:14" x14ac:dyDescent="0.2">
      <c r="M958" s="133"/>
      <c r="N958" s="134"/>
    </row>
    <row r="959" spans="13:14" x14ac:dyDescent="0.2">
      <c r="M959" s="133"/>
      <c r="N959" s="134"/>
    </row>
    <row r="960" spans="13:14" x14ac:dyDescent="0.2">
      <c r="M960" s="133"/>
      <c r="N960" s="134"/>
    </row>
    <row r="961" spans="13:14" x14ac:dyDescent="0.2">
      <c r="M961" s="133"/>
      <c r="N961" s="134"/>
    </row>
    <row r="962" spans="13:14" x14ac:dyDescent="0.2">
      <c r="M962" s="133"/>
      <c r="N962" s="134"/>
    </row>
    <row r="963" spans="13:14" x14ac:dyDescent="0.2">
      <c r="M963" s="133"/>
      <c r="N963" s="134"/>
    </row>
    <row r="964" spans="13:14" x14ac:dyDescent="0.2">
      <c r="M964" s="133"/>
      <c r="N964" s="134"/>
    </row>
    <row r="965" spans="13:14" x14ac:dyDescent="0.2">
      <c r="M965" s="133"/>
      <c r="N965" s="134"/>
    </row>
    <row r="966" spans="13:14" x14ac:dyDescent="0.2">
      <c r="M966" s="133"/>
      <c r="N966" s="134"/>
    </row>
    <row r="967" spans="13:14" x14ac:dyDescent="0.2">
      <c r="M967" s="133"/>
      <c r="N967" s="134"/>
    </row>
    <row r="968" spans="13:14" x14ac:dyDescent="0.2">
      <c r="M968" s="133"/>
      <c r="N968" s="134"/>
    </row>
    <row r="969" spans="13:14" x14ac:dyDescent="0.2">
      <c r="M969" s="133"/>
      <c r="N969" s="134"/>
    </row>
    <row r="970" spans="13:14" x14ac:dyDescent="0.2">
      <c r="M970" s="133"/>
      <c r="N970" s="134"/>
    </row>
    <row r="971" spans="13:14" x14ac:dyDescent="0.2">
      <c r="M971" s="133"/>
      <c r="N971" s="134"/>
    </row>
    <row r="972" spans="13:14" x14ac:dyDescent="0.2">
      <c r="M972" s="133"/>
      <c r="N972" s="134"/>
    </row>
    <row r="973" spans="13:14" x14ac:dyDescent="0.2">
      <c r="M973" s="133"/>
      <c r="N973" s="134"/>
    </row>
    <row r="974" spans="13:14" x14ac:dyDescent="0.2">
      <c r="M974" s="133"/>
      <c r="N974" s="134"/>
    </row>
    <row r="975" spans="13:14" x14ac:dyDescent="0.2">
      <c r="M975" s="133"/>
      <c r="N975" s="134"/>
    </row>
    <row r="976" spans="13:14" x14ac:dyDescent="0.2">
      <c r="M976" s="133"/>
      <c r="N976" s="134"/>
    </row>
    <row r="977" spans="13:14" x14ac:dyDescent="0.2">
      <c r="M977" s="133"/>
      <c r="N977" s="134"/>
    </row>
    <row r="978" spans="13:14" x14ac:dyDescent="0.2">
      <c r="M978" s="133"/>
      <c r="N978" s="134"/>
    </row>
    <row r="979" spans="13:14" x14ac:dyDescent="0.2">
      <c r="M979" s="133"/>
      <c r="N979" s="134"/>
    </row>
    <row r="980" spans="13:14" x14ac:dyDescent="0.2">
      <c r="M980" s="133"/>
      <c r="N980" s="134"/>
    </row>
    <row r="981" spans="13:14" x14ac:dyDescent="0.2">
      <c r="M981" s="133"/>
      <c r="N981" s="134"/>
    </row>
    <row r="982" spans="13:14" x14ac:dyDescent="0.2">
      <c r="M982" s="133"/>
      <c r="N982" s="134"/>
    </row>
    <row r="983" spans="13:14" x14ac:dyDescent="0.2">
      <c r="M983" s="133"/>
      <c r="N983" s="134"/>
    </row>
    <row r="984" spans="13:14" x14ac:dyDescent="0.2">
      <c r="M984" s="133"/>
      <c r="N984" s="134"/>
    </row>
    <row r="985" spans="13:14" x14ac:dyDescent="0.2">
      <c r="M985" s="133"/>
      <c r="N985" s="134"/>
    </row>
    <row r="986" spans="13:14" x14ac:dyDescent="0.2">
      <c r="M986" s="133"/>
      <c r="N986" s="134"/>
    </row>
    <row r="987" spans="13:14" x14ac:dyDescent="0.2">
      <c r="M987" s="133"/>
      <c r="N987" s="134"/>
    </row>
    <row r="988" spans="13:14" x14ac:dyDescent="0.2">
      <c r="M988" s="133"/>
      <c r="N988" s="134"/>
    </row>
    <row r="989" spans="13:14" x14ac:dyDescent="0.2">
      <c r="M989" s="133"/>
      <c r="N989" s="134"/>
    </row>
    <row r="990" spans="13:14" x14ac:dyDescent="0.2">
      <c r="M990" s="133"/>
      <c r="N990" s="134"/>
    </row>
    <row r="991" spans="13:14" x14ac:dyDescent="0.2">
      <c r="M991" s="133"/>
      <c r="N991" s="134"/>
    </row>
    <row r="992" spans="13:14" x14ac:dyDescent="0.2">
      <c r="M992" s="133"/>
      <c r="N992" s="134"/>
    </row>
    <row r="993" spans="13:14" x14ac:dyDescent="0.2">
      <c r="M993" s="133"/>
      <c r="N993" s="134"/>
    </row>
    <row r="994" spans="13:14" x14ac:dyDescent="0.2">
      <c r="M994" s="133"/>
      <c r="N994" s="134"/>
    </row>
    <row r="995" spans="13:14" x14ac:dyDescent="0.2">
      <c r="M995" s="133"/>
      <c r="N995" s="134"/>
    </row>
    <row r="996" spans="13:14" x14ac:dyDescent="0.2">
      <c r="M996" s="133"/>
      <c r="N996" s="134"/>
    </row>
    <row r="997" spans="13:14" x14ac:dyDescent="0.2">
      <c r="M997" s="133"/>
      <c r="N997" s="134"/>
    </row>
    <row r="998" spans="13:14" x14ac:dyDescent="0.2">
      <c r="M998" s="133"/>
      <c r="N998" s="134"/>
    </row>
    <row r="999" spans="13:14" x14ac:dyDescent="0.2">
      <c r="M999" s="133"/>
      <c r="N999" s="134"/>
    </row>
    <row r="1000" spans="13:14" x14ac:dyDescent="0.2">
      <c r="M1000" s="133"/>
      <c r="N1000" s="134"/>
    </row>
    <row r="1001" spans="13:14" x14ac:dyDescent="0.2">
      <c r="M1001" s="133"/>
      <c r="N1001" s="134"/>
    </row>
    <row r="1002" spans="13:14" x14ac:dyDescent="0.2">
      <c r="M1002" s="133"/>
      <c r="N1002" s="134"/>
    </row>
    <row r="1003" spans="13:14" x14ac:dyDescent="0.2">
      <c r="M1003" s="133"/>
      <c r="N1003" s="134"/>
    </row>
    <row r="1004" spans="13:14" x14ac:dyDescent="0.2">
      <c r="M1004" s="133"/>
      <c r="N1004" s="134"/>
    </row>
    <row r="1005" spans="13:14" x14ac:dyDescent="0.2">
      <c r="M1005" s="133"/>
      <c r="N1005" s="134"/>
    </row>
    <row r="1006" spans="13:14" x14ac:dyDescent="0.2">
      <c r="M1006" s="133"/>
      <c r="N1006" s="134"/>
    </row>
    <row r="1007" spans="13:14" x14ac:dyDescent="0.2">
      <c r="M1007" s="133"/>
      <c r="N1007" s="134"/>
    </row>
    <row r="1008" spans="13:14" x14ac:dyDescent="0.2">
      <c r="M1008" s="133"/>
      <c r="N1008" s="134"/>
    </row>
    <row r="1009" spans="13:14" x14ac:dyDescent="0.2">
      <c r="M1009" s="133"/>
      <c r="N1009" s="134"/>
    </row>
    <row r="1010" spans="13:14" x14ac:dyDescent="0.2">
      <c r="M1010" s="133"/>
      <c r="N1010" s="134"/>
    </row>
    <row r="1011" spans="13:14" x14ac:dyDescent="0.2">
      <c r="M1011" s="133"/>
      <c r="N1011" s="134"/>
    </row>
    <row r="1012" spans="13:14" x14ac:dyDescent="0.2">
      <c r="M1012" s="133"/>
      <c r="N1012" s="134"/>
    </row>
    <row r="1013" spans="13:14" x14ac:dyDescent="0.2">
      <c r="M1013" s="133"/>
      <c r="N1013" s="134"/>
    </row>
    <row r="1014" spans="13:14" x14ac:dyDescent="0.2">
      <c r="M1014" s="133"/>
      <c r="N1014" s="134"/>
    </row>
    <row r="1015" spans="13:14" x14ac:dyDescent="0.2">
      <c r="M1015" s="133"/>
      <c r="N1015" s="134"/>
    </row>
    <row r="1016" spans="13:14" x14ac:dyDescent="0.2">
      <c r="M1016" s="133"/>
      <c r="N1016" s="134"/>
    </row>
    <row r="1017" spans="13:14" x14ac:dyDescent="0.2">
      <c r="M1017" s="133"/>
      <c r="N1017" s="134"/>
    </row>
    <row r="1018" spans="13:14" x14ac:dyDescent="0.2">
      <c r="M1018" s="133"/>
      <c r="N1018" s="134"/>
    </row>
    <row r="1019" spans="13:14" x14ac:dyDescent="0.2">
      <c r="M1019" s="133"/>
      <c r="N1019" s="134"/>
    </row>
    <row r="1020" spans="13:14" x14ac:dyDescent="0.2">
      <c r="M1020" s="133"/>
      <c r="N1020" s="134"/>
    </row>
    <row r="1021" spans="13:14" x14ac:dyDescent="0.2">
      <c r="M1021" s="133"/>
      <c r="N1021" s="134"/>
    </row>
    <row r="1022" spans="13:14" x14ac:dyDescent="0.2">
      <c r="M1022" s="133"/>
      <c r="N1022" s="134"/>
    </row>
    <row r="1023" spans="13:14" x14ac:dyDescent="0.2">
      <c r="M1023" s="133"/>
      <c r="N1023" s="134"/>
    </row>
    <row r="1024" spans="13:14" x14ac:dyDescent="0.2">
      <c r="M1024" s="133"/>
      <c r="N1024" s="134"/>
    </row>
    <row r="1025" spans="13:14" x14ac:dyDescent="0.2">
      <c r="M1025" s="133"/>
      <c r="N1025" s="134"/>
    </row>
    <row r="1026" spans="13:14" x14ac:dyDescent="0.2">
      <c r="M1026" s="133"/>
      <c r="N1026" s="134"/>
    </row>
    <row r="1027" spans="13:14" x14ac:dyDescent="0.2">
      <c r="M1027" s="133"/>
      <c r="N1027" s="134"/>
    </row>
    <row r="1028" spans="13:14" x14ac:dyDescent="0.2">
      <c r="M1028" s="133"/>
      <c r="N1028" s="134"/>
    </row>
    <row r="1029" spans="13:14" x14ac:dyDescent="0.2">
      <c r="M1029" s="133"/>
      <c r="N1029" s="134"/>
    </row>
    <row r="1030" spans="13:14" x14ac:dyDescent="0.2">
      <c r="M1030" s="133"/>
      <c r="N1030" s="134"/>
    </row>
    <row r="1031" spans="13:14" x14ac:dyDescent="0.2">
      <c r="M1031" s="133"/>
      <c r="N1031" s="134"/>
    </row>
    <row r="1032" spans="13:14" x14ac:dyDescent="0.2">
      <c r="M1032" s="133"/>
      <c r="N1032" s="134"/>
    </row>
    <row r="1033" spans="13:14" x14ac:dyDescent="0.2">
      <c r="M1033" s="133"/>
      <c r="N1033" s="134"/>
    </row>
    <row r="1034" spans="13:14" x14ac:dyDescent="0.2">
      <c r="M1034" s="133"/>
      <c r="N1034" s="134"/>
    </row>
    <row r="1035" spans="13:14" x14ac:dyDescent="0.2">
      <c r="M1035" s="133"/>
      <c r="N1035" s="134"/>
    </row>
    <row r="1036" spans="13:14" x14ac:dyDescent="0.2">
      <c r="M1036" s="133"/>
      <c r="N1036" s="134"/>
    </row>
    <row r="1037" spans="13:14" x14ac:dyDescent="0.2">
      <c r="M1037" s="133"/>
      <c r="N1037" s="134"/>
    </row>
    <row r="1038" spans="13:14" x14ac:dyDescent="0.2">
      <c r="M1038" s="133"/>
      <c r="N1038" s="134"/>
    </row>
    <row r="1039" spans="13:14" x14ac:dyDescent="0.2">
      <c r="M1039" s="133"/>
      <c r="N1039" s="134"/>
    </row>
    <row r="1040" spans="13:14" x14ac:dyDescent="0.2">
      <c r="M1040" s="133"/>
      <c r="N1040" s="134"/>
    </row>
    <row r="1041" spans="13:14" x14ac:dyDescent="0.2">
      <c r="M1041" s="133"/>
      <c r="N1041" s="134"/>
    </row>
    <row r="1042" spans="13:14" x14ac:dyDescent="0.2">
      <c r="M1042" s="133"/>
      <c r="N1042" s="134"/>
    </row>
    <row r="1043" spans="13:14" x14ac:dyDescent="0.2">
      <c r="M1043" s="133"/>
      <c r="N1043" s="134"/>
    </row>
    <row r="1044" spans="13:14" x14ac:dyDescent="0.2">
      <c r="M1044" s="133"/>
      <c r="N1044" s="134"/>
    </row>
    <row r="1045" spans="13:14" x14ac:dyDescent="0.2">
      <c r="M1045" s="133"/>
      <c r="N1045" s="134"/>
    </row>
    <row r="1046" spans="13:14" x14ac:dyDescent="0.2">
      <c r="M1046" s="133"/>
      <c r="N1046" s="134"/>
    </row>
    <row r="1047" spans="13:14" x14ac:dyDescent="0.2">
      <c r="M1047" s="133"/>
      <c r="N1047" s="134"/>
    </row>
    <row r="1048" spans="13:14" x14ac:dyDescent="0.2">
      <c r="M1048" s="133"/>
      <c r="N1048" s="134"/>
    </row>
    <row r="1049" spans="13:14" x14ac:dyDescent="0.2">
      <c r="M1049" s="133"/>
      <c r="N1049" s="134"/>
    </row>
    <row r="1050" spans="13:14" x14ac:dyDescent="0.2">
      <c r="M1050" s="133"/>
      <c r="N1050" s="134"/>
    </row>
    <row r="1051" spans="13:14" x14ac:dyDescent="0.2">
      <c r="M1051" s="133"/>
      <c r="N1051" s="134"/>
    </row>
    <row r="1052" spans="13:14" x14ac:dyDescent="0.2">
      <c r="M1052" s="133"/>
      <c r="N1052" s="134"/>
    </row>
    <row r="1053" spans="13:14" x14ac:dyDescent="0.2">
      <c r="M1053" s="133"/>
      <c r="N1053" s="134"/>
    </row>
    <row r="1054" spans="13:14" x14ac:dyDescent="0.2">
      <c r="M1054" s="133"/>
      <c r="N1054" s="134"/>
    </row>
    <row r="1055" spans="13:14" x14ac:dyDescent="0.2">
      <c r="M1055" s="133"/>
      <c r="N1055" s="134"/>
    </row>
    <row r="1056" spans="13:14" x14ac:dyDescent="0.2">
      <c r="M1056" s="133"/>
      <c r="N1056" s="134"/>
    </row>
    <row r="1057" spans="13:14" x14ac:dyDescent="0.2">
      <c r="M1057" s="133"/>
      <c r="N1057" s="134"/>
    </row>
    <row r="1058" spans="13:14" x14ac:dyDescent="0.2">
      <c r="M1058" s="133"/>
      <c r="N1058" s="134"/>
    </row>
    <row r="1059" spans="13:14" x14ac:dyDescent="0.2">
      <c r="M1059" s="133"/>
      <c r="N1059" s="134"/>
    </row>
    <row r="1060" spans="13:14" x14ac:dyDescent="0.2">
      <c r="M1060" s="133"/>
      <c r="N1060" s="134"/>
    </row>
    <row r="1061" spans="13:14" x14ac:dyDescent="0.2">
      <c r="M1061" s="133"/>
      <c r="N1061" s="134"/>
    </row>
    <row r="1062" spans="13:14" x14ac:dyDescent="0.2">
      <c r="M1062" s="133"/>
      <c r="N1062" s="134"/>
    </row>
    <row r="1063" spans="13:14" x14ac:dyDescent="0.2">
      <c r="M1063" s="133"/>
      <c r="N1063" s="134"/>
    </row>
    <row r="1064" spans="13:14" x14ac:dyDescent="0.2">
      <c r="M1064" s="133"/>
      <c r="N1064" s="134"/>
    </row>
    <row r="1065" spans="13:14" x14ac:dyDescent="0.2">
      <c r="M1065" s="133"/>
      <c r="N1065" s="134"/>
    </row>
    <row r="1066" spans="13:14" x14ac:dyDescent="0.2">
      <c r="M1066" s="133"/>
      <c r="N1066" s="134"/>
    </row>
    <row r="1067" spans="13:14" x14ac:dyDescent="0.2">
      <c r="M1067" s="133"/>
      <c r="N1067" s="134"/>
    </row>
    <row r="1068" spans="13:14" x14ac:dyDescent="0.2">
      <c r="M1068" s="133"/>
      <c r="N1068" s="134"/>
    </row>
    <row r="1069" spans="13:14" x14ac:dyDescent="0.2">
      <c r="M1069" s="133"/>
      <c r="N1069" s="134"/>
    </row>
    <row r="1070" spans="13:14" x14ac:dyDescent="0.2">
      <c r="M1070" s="133"/>
      <c r="N1070" s="134"/>
    </row>
    <row r="1071" spans="13:14" x14ac:dyDescent="0.2">
      <c r="M1071" s="133"/>
      <c r="N1071" s="134"/>
    </row>
    <row r="1072" spans="13:14" x14ac:dyDescent="0.2">
      <c r="M1072" s="133"/>
      <c r="N1072" s="134"/>
    </row>
    <row r="1073" spans="13:14" x14ac:dyDescent="0.2">
      <c r="M1073" s="133"/>
      <c r="N1073" s="134"/>
    </row>
    <row r="1074" spans="13:14" x14ac:dyDescent="0.2">
      <c r="M1074" s="133"/>
      <c r="N1074" s="134"/>
    </row>
    <row r="1075" spans="13:14" x14ac:dyDescent="0.2">
      <c r="M1075" s="133"/>
      <c r="N1075" s="134"/>
    </row>
    <row r="1076" spans="13:14" x14ac:dyDescent="0.2">
      <c r="M1076" s="133"/>
      <c r="N1076" s="134"/>
    </row>
    <row r="1077" spans="13:14" x14ac:dyDescent="0.2">
      <c r="M1077" s="133"/>
      <c r="N1077" s="134"/>
    </row>
    <row r="1078" spans="13:14" x14ac:dyDescent="0.2">
      <c r="M1078" s="133"/>
      <c r="N1078" s="134"/>
    </row>
    <row r="1079" spans="13:14" x14ac:dyDescent="0.2">
      <c r="M1079" s="133"/>
      <c r="N1079" s="134"/>
    </row>
    <row r="1080" spans="13:14" x14ac:dyDescent="0.2">
      <c r="M1080" s="133"/>
      <c r="N1080" s="134"/>
    </row>
    <row r="1081" spans="13:14" x14ac:dyDescent="0.2">
      <c r="M1081" s="133"/>
      <c r="N1081" s="134"/>
    </row>
    <row r="1082" spans="13:14" x14ac:dyDescent="0.2">
      <c r="M1082" s="133"/>
      <c r="N1082" s="134"/>
    </row>
  </sheetData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Y78"/>
  <sheetViews>
    <sheetView topLeftCell="A20" zoomScale="85" workbookViewId="0">
      <selection activeCell="H49" sqref="H49"/>
    </sheetView>
  </sheetViews>
  <sheetFormatPr defaultRowHeight="12.75" x14ac:dyDescent="0.2"/>
  <cols>
    <col min="1" max="1" width="15.42578125" customWidth="1"/>
    <col min="2" max="2" width="2.7109375" customWidth="1"/>
    <col min="4" max="4" width="9" customWidth="1"/>
    <col min="5" max="5" width="11.28515625" customWidth="1"/>
    <col min="6" max="7" width="9.28515625" customWidth="1"/>
    <col min="8" max="8" width="10.5703125" customWidth="1"/>
    <col min="9" max="9" width="12.140625" customWidth="1"/>
    <col min="10" max="10" width="10.85546875" customWidth="1"/>
    <col min="12" max="12" width="11" customWidth="1"/>
    <col min="13" max="15" width="10.7109375" customWidth="1"/>
    <col min="16" max="16" width="13.140625" customWidth="1"/>
    <col min="17" max="17" width="13.5703125" customWidth="1"/>
    <col min="18" max="18" width="11.7109375" customWidth="1"/>
    <col min="19" max="19" width="13.42578125" customWidth="1"/>
    <col min="20" max="20" width="12.42578125" customWidth="1"/>
    <col min="21" max="21" width="11.42578125" customWidth="1"/>
    <col min="22" max="22" width="13.140625" customWidth="1"/>
    <col min="23" max="24" width="13.85546875" customWidth="1"/>
    <col min="25" max="25" width="13.42578125" customWidth="1"/>
    <col min="26" max="26" width="13.5703125" customWidth="1"/>
    <col min="27" max="27" width="21.140625" customWidth="1"/>
    <col min="28" max="28" width="12.7109375" customWidth="1"/>
    <col min="31" max="31" width="11.140625" customWidth="1"/>
    <col min="32" max="32" width="9.7109375" customWidth="1"/>
    <col min="33" max="33" width="11.85546875" customWidth="1"/>
    <col min="34" max="35" width="0" hidden="1" customWidth="1"/>
    <col min="36" max="36" width="10.7109375" hidden="1" customWidth="1"/>
    <col min="37" max="37" width="1.42578125" customWidth="1"/>
    <col min="40" max="40" width="12.42578125" customWidth="1"/>
    <col min="41" max="41" width="1.28515625" customWidth="1"/>
    <col min="42" max="42" width="4.7109375" customWidth="1"/>
    <col min="45" max="45" width="11.140625" bestFit="1" customWidth="1"/>
    <col min="46" max="46" width="9.28515625" customWidth="1"/>
    <col min="49" max="49" width="10.7109375" bestFit="1" customWidth="1"/>
    <col min="51" max="51" width="11.7109375" bestFit="1" customWidth="1"/>
  </cols>
  <sheetData>
    <row r="2" spans="1:51" x14ac:dyDescent="0.2">
      <c r="A2" s="30" t="s">
        <v>225</v>
      </c>
      <c r="B2" s="30"/>
    </row>
    <row r="3" spans="1:51" x14ac:dyDescent="0.2">
      <c r="A3" s="30"/>
      <c r="B3" s="30"/>
    </row>
    <row r="4" spans="1:51" x14ac:dyDescent="0.2">
      <c r="A4" t="s">
        <v>224</v>
      </c>
      <c r="C4" s="12">
        <v>2.93</v>
      </c>
      <c r="D4" t="s">
        <v>390</v>
      </c>
    </row>
    <row r="5" spans="1:51" x14ac:dyDescent="0.2">
      <c r="C5" s="12"/>
      <c r="I5" s="64"/>
      <c r="S5" s="64"/>
      <c r="X5" s="64"/>
      <c r="AE5" s="64"/>
    </row>
    <row r="6" spans="1:51" x14ac:dyDescent="0.2">
      <c r="A6" s="202" t="s">
        <v>363</v>
      </c>
      <c r="C6" s="12"/>
    </row>
    <row r="7" spans="1:51" x14ac:dyDescent="0.2"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T7" s="86"/>
    </row>
    <row r="8" spans="1:51" x14ac:dyDescent="0.2">
      <c r="A8" s="106"/>
      <c r="C8" s="104" t="s">
        <v>155</v>
      </c>
      <c r="D8" s="98"/>
      <c r="E8" s="99"/>
      <c r="G8" s="238" t="s">
        <v>277</v>
      </c>
      <c r="H8" s="239"/>
      <c r="I8" s="239"/>
      <c r="J8" s="98" t="s">
        <v>4</v>
      </c>
      <c r="K8" s="98" t="s">
        <v>4</v>
      </c>
      <c r="L8" s="98" t="s">
        <v>4</v>
      </c>
      <c r="M8" s="99" t="s">
        <v>4</v>
      </c>
      <c r="N8" s="208"/>
      <c r="O8" s="208"/>
      <c r="Q8" s="85" t="s">
        <v>275</v>
      </c>
      <c r="R8" s="86"/>
      <c r="S8" s="86"/>
      <c r="T8" s="86"/>
      <c r="U8" s="86" t="s">
        <v>276</v>
      </c>
      <c r="V8" s="86"/>
      <c r="W8" s="86"/>
      <c r="X8" s="86"/>
      <c r="Y8" s="86" t="s">
        <v>362</v>
      </c>
      <c r="Z8" s="86"/>
      <c r="AA8" s="86"/>
      <c r="AB8" s="86"/>
      <c r="AC8" s="86" t="s">
        <v>276</v>
      </c>
      <c r="AD8" s="86"/>
      <c r="AE8" s="86"/>
      <c r="AF8" s="86"/>
      <c r="AG8" s="87"/>
      <c r="AS8" s="85" t="s">
        <v>42</v>
      </c>
      <c r="AT8" s="86"/>
      <c r="AU8" s="86"/>
      <c r="AV8" s="86"/>
      <c r="AW8" s="86"/>
      <c r="AX8" s="86"/>
      <c r="AY8" s="87"/>
    </row>
    <row r="9" spans="1:51" x14ac:dyDescent="0.2">
      <c r="A9" s="107" t="s">
        <v>16</v>
      </c>
      <c r="C9" s="88" t="s">
        <v>19</v>
      </c>
      <c r="D9" s="89" t="s">
        <v>127</v>
      </c>
      <c r="E9" s="90" t="s">
        <v>42</v>
      </c>
      <c r="G9" s="88" t="s">
        <v>128</v>
      </c>
      <c r="H9" s="89" t="s">
        <v>222</v>
      </c>
      <c r="I9" s="89" t="s">
        <v>226</v>
      </c>
      <c r="J9" s="89"/>
      <c r="K9" s="89" t="s">
        <v>223</v>
      </c>
      <c r="L9" s="89" t="s">
        <v>222</v>
      </c>
      <c r="M9" s="90" t="s">
        <v>226</v>
      </c>
      <c r="N9" s="89"/>
      <c r="O9" s="89"/>
      <c r="Q9" s="88" t="s">
        <v>128</v>
      </c>
      <c r="R9" s="89" t="s">
        <v>222</v>
      </c>
      <c r="S9" s="89" t="s">
        <v>226</v>
      </c>
      <c r="T9" s="89"/>
      <c r="U9" s="89" t="s">
        <v>128</v>
      </c>
      <c r="V9" s="89" t="s">
        <v>222</v>
      </c>
      <c r="W9" s="89" t="s">
        <v>156</v>
      </c>
      <c r="X9" s="89" t="s">
        <v>226</v>
      </c>
      <c r="Y9" s="89" t="s">
        <v>128</v>
      </c>
      <c r="Z9" s="89" t="s">
        <v>222</v>
      </c>
      <c r="AA9" s="89" t="s">
        <v>226</v>
      </c>
      <c r="AB9" s="89"/>
      <c r="AC9" s="89" t="s">
        <v>128</v>
      </c>
      <c r="AD9" s="89" t="s">
        <v>222</v>
      </c>
      <c r="AE9" s="89" t="s">
        <v>226</v>
      </c>
      <c r="AF9" s="89"/>
      <c r="AG9" s="90"/>
      <c r="AS9" s="88" t="s">
        <v>128</v>
      </c>
      <c r="AT9" s="89" t="s">
        <v>222</v>
      </c>
      <c r="AU9" s="89" t="s">
        <v>226</v>
      </c>
      <c r="AV9" s="89"/>
      <c r="AW9" s="89" t="s">
        <v>223</v>
      </c>
      <c r="AX9" s="89" t="s">
        <v>222</v>
      </c>
      <c r="AY9" s="90" t="s">
        <v>226</v>
      </c>
    </row>
    <row r="10" spans="1:51" hidden="1" x14ac:dyDescent="0.2">
      <c r="A10" s="108">
        <f ca="1">Trades!A47</f>
        <v>36696</v>
      </c>
      <c r="B10" s="26"/>
      <c r="C10" s="135" t="e">
        <f ca="1">Trades!C47</f>
        <v>#REF!</v>
      </c>
      <c r="D10" s="101">
        <f ca="1">Trades!D47</f>
        <v>116.1875</v>
      </c>
      <c r="E10" s="136">
        <f ca="1">Trades!E47</f>
        <v>143</v>
      </c>
      <c r="F10" s="26"/>
      <c r="G10" s="88">
        <v>25</v>
      </c>
      <c r="H10" s="91">
        <v>36.630000000000003</v>
      </c>
      <c r="I10" s="92">
        <f ca="1">G10*D10*(Trades!Q47-Trades!H10)</f>
        <v>52923.40625</v>
      </c>
      <c r="J10" s="91"/>
      <c r="K10" s="89">
        <v>0</v>
      </c>
      <c r="L10" s="91"/>
      <c r="M10" s="97">
        <f ca="1">K10*D10*(Trades!Q47-Trades!L10)</f>
        <v>0</v>
      </c>
      <c r="N10" s="92"/>
      <c r="O10" s="92"/>
      <c r="Q10" s="88">
        <v>25</v>
      </c>
      <c r="R10" s="91">
        <v>34.5</v>
      </c>
      <c r="S10" s="92" t="e">
        <f ca="1">Q10*C10*(Trades!P47-Trades!R10)</f>
        <v>#REF!</v>
      </c>
      <c r="T10" s="89"/>
      <c r="U10" s="89">
        <v>-25</v>
      </c>
      <c r="V10" s="89">
        <v>47</v>
      </c>
      <c r="W10" s="89">
        <f ca="1">SUM(ROM_hrs!D22:E38)</f>
        <v>384</v>
      </c>
      <c r="X10" s="153">
        <f ca="1">(SUM(ROM_hrs!D22:E38))*U10*(P47-V10)</f>
        <v>-48517.777777777745</v>
      </c>
      <c r="Y10" s="89"/>
      <c r="Z10" s="89"/>
      <c r="AA10" s="92" t="e">
        <f ca="1">Y10*C10*(Trades!P47-Trades!Z10)</f>
        <v>#REF!</v>
      </c>
      <c r="AB10" s="89"/>
      <c r="AC10" s="89">
        <v>-25</v>
      </c>
      <c r="AD10" s="91">
        <v>44.5</v>
      </c>
      <c r="AE10" s="153" t="e">
        <f ca="1">AC10*C10*(Trades!P47-Trades!AD10)</f>
        <v>#REF!</v>
      </c>
      <c r="AF10" s="89"/>
      <c r="AG10" s="90"/>
      <c r="AS10" s="88">
        <v>0</v>
      </c>
      <c r="AT10" s="91">
        <v>0</v>
      </c>
      <c r="AU10" s="92">
        <f ca="1">AS10*E10*(Trades!R47-Trades!AT10)</f>
        <v>0</v>
      </c>
      <c r="AV10" s="89"/>
      <c r="AW10" s="89">
        <v>0</v>
      </c>
      <c r="AX10" s="91">
        <v>0</v>
      </c>
      <c r="AY10" s="97">
        <f ca="1">AW10*E10*(Trades!R47-Trades!AX10)</f>
        <v>0</v>
      </c>
    </row>
    <row r="11" spans="1:51" x14ac:dyDescent="0.2">
      <c r="A11" s="108">
        <f ca="1">Trades!A48</f>
        <v>36678</v>
      </c>
      <c r="B11" s="26"/>
      <c r="C11" s="100">
        <f ca="1">Trades!C48</f>
        <v>264</v>
      </c>
      <c r="D11" s="101">
        <f ca="1">Trades!D48</f>
        <v>117</v>
      </c>
      <c r="E11" s="102">
        <f ca="1">Trades!E48</f>
        <v>144</v>
      </c>
      <c r="F11" s="26"/>
      <c r="G11" s="88">
        <v>25</v>
      </c>
      <c r="H11" s="91">
        <v>36.630000000000003</v>
      </c>
      <c r="I11" s="92">
        <f ca="1">G11*D11*(Trades!Q48-Trades!H11)</f>
        <v>131244.75</v>
      </c>
      <c r="J11" s="91"/>
      <c r="K11" s="89">
        <v>0</v>
      </c>
      <c r="L11" s="91"/>
      <c r="M11" s="97">
        <f ca="1">K11*D11*(Trades!Q48-Trades!L11)</f>
        <v>0</v>
      </c>
      <c r="N11" s="92"/>
      <c r="O11" s="92"/>
      <c r="Q11" s="88">
        <v>25</v>
      </c>
      <c r="R11" s="91">
        <f>34.5+$C$4</f>
        <v>37.43</v>
      </c>
      <c r="S11" s="92">
        <f ca="1">Q11*C11*(Trades!P48-Trades!R11)</f>
        <v>169522.83333333334</v>
      </c>
      <c r="T11" s="89"/>
      <c r="U11" s="89">
        <v>-25</v>
      </c>
      <c r="V11" s="89">
        <v>47</v>
      </c>
      <c r="W11" s="89"/>
      <c r="X11" s="153">
        <f ca="1">C11*U11*(P48-V11)</f>
        <v>-106360.83333333333</v>
      </c>
      <c r="Y11" s="89">
        <v>-25</v>
      </c>
      <c r="Z11" s="89">
        <v>51</v>
      </c>
      <c r="AA11" s="92">
        <f ca="1">Y11*C11*(Trades!P48-Trades!Z11)</f>
        <v>-79960.833333333328</v>
      </c>
      <c r="AB11" s="89"/>
      <c r="AC11" s="89">
        <v>-25</v>
      </c>
      <c r="AD11" s="91">
        <v>44.5</v>
      </c>
      <c r="AE11" s="153">
        <f ca="1">AC11*C11*(Trades!P48-Trades!AD11)</f>
        <v>-122860.83333333333</v>
      </c>
      <c r="AF11" s="89"/>
      <c r="AG11" s="90"/>
      <c r="AS11" s="88"/>
      <c r="AT11" s="91"/>
      <c r="AU11" s="92">
        <f ca="1">AS11*E11*(Trades!R48-Trades!AT11)</f>
        <v>0</v>
      </c>
      <c r="AV11" s="89"/>
      <c r="AW11" s="89"/>
      <c r="AX11" s="89"/>
      <c r="AY11" s="97">
        <f ca="1">AW11*E11*(Trades!R48-Trades!AX11)</f>
        <v>0</v>
      </c>
    </row>
    <row r="12" spans="1:51" x14ac:dyDescent="0.2">
      <c r="A12" s="108">
        <f ca="1">Trades!A49</f>
        <v>36708</v>
      </c>
      <c r="B12" s="26"/>
      <c r="C12" s="100">
        <f ca="1">Trades!C49</f>
        <v>744</v>
      </c>
      <c r="D12" s="101">
        <f ca="1">Trades!D49</f>
        <v>273</v>
      </c>
      <c r="E12" s="102">
        <f ca="1">Trades!E49</f>
        <v>336</v>
      </c>
      <c r="F12" s="26"/>
      <c r="G12" s="88">
        <v>25</v>
      </c>
      <c r="H12" s="91">
        <v>36.630000000000003</v>
      </c>
      <c r="I12" s="92">
        <f ca="1">G12*D12*(Trades!Q49-Trades!H12)</f>
        <v>231162.74999999997</v>
      </c>
      <c r="J12" s="91"/>
      <c r="K12" s="89">
        <v>0</v>
      </c>
      <c r="L12" s="91"/>
      <c r="M12" s="97">
        <f ca="1">K12*D12*(Trades!Q49-Trades!L12)</f>
        <v>0</v>
      </c>
      <c r="N12" s="92"/>
      <c r="O12" s="92"/>
      <c r="Q12" s="88">
        <v>25</v>
      </c>
      <c r="R12" s="91">
        <f t="shared" ref="R12:R17" si="0">34.5+$C$4</f>
        <v>37.43</v>
      </c>
      <c r="S12" s="92">
        <f ca="1">Q12*C12*(Trades!P49-Trades!R12)</f>
        <v>267739.50000000006</v>
      </c>
      <c r="T12" s="89"/>
      <c r="U12" s="89"/>
      <c r="V12" s="89"/>
      <c r="W12" s="92">
        <f ca="1">U12*C12*(Trades!P49-Trades!V12)</f>
        <v>0</v>
      </c>
      <c r="X12" s="89"/>
      <c r="Y12" s="89">
        <v>-25</v>
      </c>
      <c r="Z12" s="89">
        <v>51</v>
      </c>
      <c r="AA12" s="92">
        <f ca="1">Y12*C12*(Trades!P49-Trades!Z12)</f>
        <v>-15337.50000000006</v>
      </c>
      <c r="AB12" s="89"/>
      <c r="AC12" s="89">
        <v>-25</v>
      </c>
      <c r="AD12" s="91">
        <v>44.5</v>
      </c>
      <c r="AE12" s="153">
        <f ca="1">AC12*C12*(Trades!P49-Trades!AD12)</f>
        <v>-136237.50000000006</v>
      </c>
      <c r="AF12" s="89"/>
      <c r="AG12" s="90"/>
      <c r="AS12" s="88"/>
      <c r="AT12" s="91"/>
      <c r="AU12" s="92">
        <f ca="1">AS12*E12*(Trades!R49-Trades!AT12)</f>
        <v>0</v>
      </c>
      <c r="AV12" s="89"/>
      <c r="AW12" s="89"/>
      <c r="AX12" s="89"/>
      <c r="AY12" s="97">
        <f ca="1">AW12*E12*(Trades!R49-Trades!AX12)</f>
        <v>0</v>
      </c>
    </row>
    <row r="13" spans="1:51" x14ac:dyDescent="0.2">
      <c r="A13" s="108">
        <f ca="1">Trades!A50</f>
        <v>36739</v>
      </c>
      <c r="B13" s="26"/>
      <c r="C13" s="100">
        <f ca="1">Trades!C50</f>
        <v>744</v>
      </c>
      <c r="D13" s="101">
        <f ca="1">Trades!D50</f>
        <v>299</v>
      </c>
      <c r="E13" s="102">
        <f ca="1">Trades!E50</f>
        <v>368</v>
      </c>
      <c r="F13" s="26"/>
      <c r="G13" s="88">
        <v>25</v>
      </c>
      <c r="H13" s="91">
        <v>36.630000000000003</v>
      </c>
      <c r="I13" s="92">
        <f ca="1">G13*D13*(Trades!Q50-Trades!H13)</f>
        <v>253178.24999999997</v>
      </c>
      <c r="J13" s="91"/>
      <c r="K13" s="89">
        <v>0</v>
      </c>
      <c r="L13" s="91"/>
      <c r="M13" s="97">
        <f ca="1">K13*D13*(Trades!Q50-Trades!L13)</f>
        <v>0</v>
      </c>
      <c r="N13" s="92"/>
      <c r="O13" s="92"/>
      <c r="Q13" s="88">
        <v>25</v>
      </c>
      <c r="R13" s="91">
        <f t="shared" si="0"/>
        <v>37.43</v>
      </c>
      <c r="S13" s="92">
        <f ca="1">Q13*C13*(Trades!P50-Trades!R13)</f>
        <v>286914.50000000006</v>
      </c>
      <c r="T13" s="89"/>
      <c r="U13" s="89"/>
      <c r="V13" s="89"/>
      <c r="W13" s="92">
        <f ca="1">U13*C13*(Trades!P50-Trades!V13)</f>
        <v>0</v>
      </c>
      <c r="X13" s="89"/>
      <c r="Y13" s="89">
        <v>-25</v>
      </c>
      <c r="Z13" s="89">
        <v>51</v>
      </c>
      <c r="AA13" s="92">
        <f ca="1">Y13*C13*(Trades!P50-Trades!Z13)</f>
        <v>-34512.500000000065</v>
      </c>
      <c r="AB13" s="89"/>
      <c r="AC13" s="89">
        <v>-25</v>
      </c>
      <c r="AD13" s="91">
        <v>44.5</v>
      </c>
      <c r="AE13" s="153">
        <f ca="1">AC13*C13*(Trades!P50-Trades!AD13)</f>
        <v>-155412.50000000006</v>
      </c>
      <c r="AF13" s="89"/>
      <c r="AG13" s="90"/>
      <c r="AS13" s="88"/>
      <c r="AT13" s="91"/>
      <c r="AU13" s="92">
        <f ca="1">AS13*E13*(Trades!R50-Trades!AT13)</f>
        <v>0</v>
      </c>
      <c r="AV13" s="89"/>
      <c r="AW13" s="89"/>
      <c r="AX13" s="89"/>
      <c r="AY13" s="97">
        <f ca="1">AW13*E13*(Trades!R50-Trades!AX13)</f>
        <v>0</v>
      </c>
    </row>
    <row r="14" spans="1:51" x14ac:dyDescent="0.2">
      <c r="A14" s="108">
        <f ca="1">Trades!A51</f>
        <v>36770</v>
      </c>
      <c r="B14" s="26"/>
      <c r="C14" s="100">
        <f ca="1">Trades!C51</f>
        <v>720</v>
      </c>
      <c r="D14" s="101">
        <f ca="1">Trades!D51</f>
        <v>273</v>
      </c>
      <c r="E14" s="102">
        <f ca="1">Trades!E51</f>
        <v>336</v>
      </c>
      <c r="F14" s="26"/>
      <c r="G14" s="88">
        <v>25</v>
      </c>
      <c r="H14" s="91">
        <v>36.630000000000003</v>
      </c>
      <c r="I14" s="92">
        <f ca="1">G14*D14*(Trades!Q51-Trades!H14)</f>
        <v>231162.74999999997</v>
      </c>
      <c r="J14" s="91"/>
      <c r="K14" s="89">
        <v>0</v>
      </c>
      <c r="L14" s="91"/>
      <c r="M14" s="97">
        <f ca="1">K14*D14*(Trades!Q51-Trades!L14)</f>
        <v>0</v>
      </c>
      <c r="N14" s="92"/>
      <c r="O14" s="92"/>
      <c r="Q14" s="88">
        <v>25</v>
      </c>
      <c r="R14" s="91">
        <f t="shared" si="0"/>
        <v>37.43</v>
      </c>
      <c r="S14" s="92">
        <f ca="1">Q14*C14*(Trades!P51-Trades!R14)</f>
        <v>265597.50000000006</v>
      </c>
      <c r="T14" s="89"/>
      <c r="U14" s="89"/>
      <c r="V14" s="89"/>
      <c r="W14" s="92">
        <f ca="1">U14*C14*(Trades!P51-Trades!V14)</f>
        <v>0</v>
      </c>
      <c r="X14" s="89"/>
      <c r="Y14" s="89">
        <v>-25</v>
      </c>
      <c r="Z14" s="89">
        <v>51</v>
      </c>
      <c r="AA14" s="92">
        <f ca="1">Y14*C14*(Trades!P51-Trades!Z14)</f>
        <v>-21337.500000000033</v>
      </c>
      <c r="AB14" s="89"/>
      <c r="AC14" s="89">
        <v>-25</v>
      </c>
      <c r="AD14" s="91">
        <v>44.5</v>
      </c>
      <c r="AE14" s="153">
        <f ca="1">AC14*C14*(Trades!P51-Trades!AD14)</f>
        <v>-138337.50000000003</v>
      </c>
      <c r="AF14" s="89"/>
      <c r="AG14" s="90"/>
      <c r="AS14" s="88"/>
      <c r="AT14" s="91"/>
      <c r="AU14" s="92">
        <f ca="1">AS14*E14*(Trades!R51-Trades!AT14)</f>
        <v>0</v>
      </c>
      <c r="AV14" s="89"/>
      <c r="AW14" s="89"/>
      <c r="AX14" s="89"/>
      <c r="AY14" s="97">
        <f ca="1">AW14*E14*(Trades!R51-Trades!AX14)</f>
        <v>0</v>
      </c>
    </row>
    <row r="15" spans="1:51" x14ac:dyDescent="0.2">
      <c r="A15" s="108">
        <f ca="1">Trades!A52</f>
        <v>36800</v>
      </c>
      <c r="B15" s="26"/>
      <c r="C15" s="100">
        <f ca="1">Trades!C52</f>
        <v>744</v>
      </c>
      <c r="D15" s="101">
        <f ca="1">Trades!D52</f>
        <v>286</v>
      </c>
      <c r="E15" s="102">
        <f ca="1">Trades!E52</f>
        <v>352</v>
      </c>
      <c r="F15" s="26"/>
      <c r="G15" s="88">
        <v>0</v>
      </c>
      <c r="H15" s="91">
        <v>0</v>
      </c>
      <c r="I15" s="92">
        <f ca="1">G15*D15*(Trades!Q52-Trades!H15)</f>
        <v>0</v>
      </c>
      <c r="J15" s="91"/>
      <c r="K15" s="89">
        <v>0</v>
      </c>
      <c r="L15" s="91"/>
      <c r="M15" s="97">
        <f ca="1">K15*D15*(Trades!Q52-Trades!L15)</f>
        <v>0</v>
      </c>
      <c r="N15" s="92"/>
      <c r="O15" s="92"/>
      <c r="Q15" s="88">
        <v>25</v>
      </c>
      <c r="R15" s="91">
        <f t="shared" si="0"/>
        <v>37.43</v>
      </c>
      <c r="S15" s="92">
        <f ca="1">Q15*C15*(Trades!P52-Trades!R15)</f>
        <v>361726.99999999994</v>
      </c>
      <c r="T15" s="89"/>
      <c r="U15" s="89"/>
      <c r="V15" s="89"/>
      <c r="W15" s="92">
        <f ca="1">U15*C15*(Trades!P52-Trades!V15)</f>
        <v>0</v>
      </c>
      <c r="X15" s="89"/>
      <c r="Y15" s="89">
        <v>-25</v>
      </c>
      <c r="Z15" s="89">
        <v>51</v>
      </c>
      <c r="AA15" s="92">
        <f ca="1">Y15*C15*(Trades!P52-Trades!Z15)</f>
        <v>-109324.99999999996</v>
      </c>
      <c r="AB15" s="89"/>
      <c r="AC15" s="89">
        <v>-25</v>
      </c>
      <c r="AD15" s="91">
        <v>44.5</v>
      </c>
      <c r="AE15" s="153">
        <f ca="1">AC15*C15*(Trades!P52-Trades!AD15)</f>
        <v>-230224.99999999994</v>
      </c>
      <c r="AF15" s="89"/>
      <c r="AG15" s="90"/>
      <c r="AS15" s="88"/>
      <c r="AT15" s="91"/>
      <c r="AU15" s="92">
        <f ca="1">AS15*E15*(Trades!R52-Trades!AT15)</f>
        <v>0</v>
      </c>
      <c r="AV15" s="89"/>
      <c r="AW15" s="89"/>
      <c r="AX15" s="89"/>
      <c r="AY15" s="97">
        <f ca="1">AW15*E15*(Trades!R52-Trades!AX15)</f>
        <v>0</v>
      </c>
    </row>
    <row r="16" spans="1:51" x14ac:dyDescent="0.2">
      <c r="A16" s="108">
        <f ca="1">Trades!A53</f>
        <v>36831</v>
      </c>
      <c r="B16" s="26"/>
      <c r="C16" s="100">
        <f ca="1">Trades!C53</f>
        <v>720</v>
      </c>
      <c r="D16" s="101">
        <f ca="1">Trades!D53</f>
        <v>286</v>
      </c>
      <c r="E16" s="102">
        <f ca="1">Trades!E53</f>
        <v>352</v>
      </c>
      <c r="F16" s="26"/>
      <c r="G16" s="88">
        <v>0</v>
      </c>
      <c r="H16" s="91">
        <v>0</v>
      </c>
      <c r="I16" s="92">
        <f ca="1">G16*D16*(Trades!Q53-Trades!H16)</f>
        <v>0</v>
      </c>
      <c r="J16" s="89"/>
      <c r="K16" s="89">
        <v>0</v>
      </c>
      <c r="L16" s="91"/>
      <c r="M16" s="97">
        <f ca="1">K16*D16*(Trades!Q53-Trades!L16)</f>
        <v>0</v>
      </c>
      <c r="N16" s="92"/>
      <c r="O16" s="92"/>
      <c r="Q16" s="88">
        <v>25</v>
      </c>
      <c r="R16" s="91">
        <f t="shared" si="0"/>
        <v>37.43</v>
      </c>
      <c r="S16" s="92">
        <f ca="1">Q16*C16*(Trades!P53-Trades!R16)</f>
        <v>271610</v>
      </c>
      <c r="T16" s="89"/>
      <c r="U16" s="89"/>
      <c r="V16" s="89"/>
      <c r="W16" s="92">
        <f ca="1">U16*C16*(Trades!P53-Trades!V16)</f>
        <v>0</v>
      </c>
      <c r="X16" s="89"/>
      <c r="Y16" s="89">
        <v>-25</v>
      </c>
      <c r="Z16" s="89">
        <v>51</v>
      </c>
      <c r="AA16" s="92">
        <f ca="1">Y16*C16*(Trades!P53-Trades!Z16)</f>
        <v>-27350.000000000022</v>
      </c>
      <c r="AB16" s="89"/>
      <c r="AC16" s="89"/>
      <c r="AD16" s="91">
        <v>0</v>
      </c>
      <c r="AE16" s="153">
        <f ca="1">AC16*C16*(Trades!P53-Trades!AD16)</f>
        <v>0</v>
      </c>
      <c r="AF16" s="89"/>
      <c r="AG16" s="90"/>
      <c r="AS16" s="88"/>
      <c r="AT16" s="91"/>
      <c r="AU16" s="92">
        <f ca="1">AS16*E16*(Trades!R53-Trades!AT16)</f>
        <v>0</v>
      </c>
      <c r="AV16" s="89"/>
      <c r="AW16" s="89"/>
      <c r="AX16" s="89"/>
      <c r="AY16" s="97">
        <f ca="1">AW16*E16*(Trades!R53-Trades!AX16)</f>
        <v>0</v>
      </c>
    </row>
    <row r="17" spans="1:51" x14ac:dyDescent="0.2">
      <c r="A17" s="108">
        <f ca="1">Trades!A54</f>
        <v>36861</v>
      </c>
      <c r="B17" s="26"/>
      <c r="C17" s="100">
        <f ca="1">Trades!C54</f>
        <v>744</v>
      </c>
      <c r="D17" s="101">
        <f ca="1">Trades!D54</f>
        <v>273</v>
      </c>
      <c r="E17" s="102">
        <f ca="1">Trades!E54</f>
        <v>336</v>
      </c>
      <c r="F17" s="26"/>
      <c r="G17" s="88">
        <v>0</v>
      </c>
      <c r="H17" s="91">
        <v>0</v>
      </c>
      <c r="I17" s="92">
        <f ca="1">G17*D17*(Trades!Q54-Trades!H17)</f>
        <v>0</v>
      </c>
      <c r="J17" s="89"/>
      <c r="K17" s="89">
        <v>0</v>
      </c>
      <c r="L17" s="91"/>
      <c r="M17" s="97">
        <f ca="1">K17*D17*(Trades!Q54-Trades!L17)</f>
        <v>0</v>
      </c>
      <c r="N17" s="92"/>
      <c r="O17" s="92"/>
      <c r="Q17" s="88">
        <v>25</v>
      </c>
      <c r="R17" s="91">
        <f t="shared" si="0"/>
        <v>37.43</v>
      </c>
      <c r="S17" s="92">
        <f ca="1">Q17*C17*(Trades!P54-Trades!R17)</f>
        <v>264327</v>
      </c>
      <c r="T17" s="89"/>
      <c r="U17" s="89"/>
      <c r="V17" s="89"/>
      <c r="W17" s="92">
        <f ca="1">U17*C17*(Trades!P54-Trades!V17)</f>
        <v>0</v>
      </c>
      <c r="X17" s="89"/>
      <c r="Y17" s="89">
        <v>-25</v>
      </c>
      <c r="Z17" s="89">
        <v>51</v>
      </c>
      <c r="AA17" s="92">
        <f ca="1">Y17*C17*(Trades!P54-Trades!Z17)</f>
        <v>-11924.999999999991</v>
      </c>
      <c r="AB17" s="89"/>
      <c r="AC17" s="89"/>
      <c r="AD17" s="91">
        <v>0</v>
      </c>
      <c r="AE17" s="153">
        <f ca="1">AC17*C17*(Trades!P54-Trades!AD17)</f>
        <v>0</v>
      </c>
      <c r="AF17" s="89"/>
      <c r="AG17" s="90"/>
      <c r="AS17" s="88"/>
      <c r="AT17" s="91"/>
      <c r="AU17" s="92">
        <f ca="1">AS17*E17*(Trades!R54-Trades!AT17)</f>
        <v>0</v>
      </c>
      <c r="AV17" s="89"/>
      <c r="AW17" s="89"/>
      <c r="AX17" s="89"/>
      <c r="AY17" s="97">
        <f ca="1">AW17*E17*(Trades!R54-Trades!AX17)</f>
        <v>0</v>
      </c>
    </row>
    <row r="18" spans="1:51" x14ac:dyDescent="0.2">
      <c r="A18" s="108"/>
      <c r="B18" s="26"/>
      <c r="C18" s="100"/>
      <c r="D18" s="101"/>
      <c r="E18" s="102"/>
      <c r="F18" s="26"/>
      <c r="G18" s="88"/>
      <c r="H18" s="89"/>
      <c r="I18" s="92"/>
      <c r="J18" s="89"/>
      <c r="K18" s="89"/>
      <c r="L18" s="91"/>
      <c r="M18" s="97"/>
      <c r="N18" s="92"/>
      <c r="O18" s="92"/>
      <c r="Q18" s="88"/>
      <c r="R18" s="91"/>
      <c r="S18" s="92"/>
      <c r="T18" s="89"/>
      <c r="U18" s="89"/>
      <c r="V18" s="89"/>
      <c r="W18" s="92"/>
      <c r="X18" s="89"/>
      <c r="Y18" s="89"/>
      <c r="Z18" s="89"/>
      <c r="AA18" s="92"/>
      <c r="AB18" s="89"/>
      <c r="AC18" s="89"/>
      <c r="AD18" s="91"/>
      <c r="AE18" s="153"/>
      <c r="AF18" s="89"/>
      <c r="AG18" s="90"/>
      <c r="AS18" s="88"/>
      <c r="AT18" s="91"/>
      <c r="AU18" s="92"/>
      <c r="AV18" s="89"/>
      <c r="AW18" s="89"/>
      <c r="AX18" s="89"/>
      <c r="AY18" s="97"/>
    </row>
    <row r="19" spans="1:51" x14ac:dyDescent="0.2">
      <c r="A19" s="109"/>
      <c r="C19" s="94"/>
      <c r="D19" s="95"/>
      <c r="E19" s="96"/>
      <c r="G19" s="94"/>
      <c r="H19" s="95"/>
      <c r="I19" s="95"/>
      <c r="J19" s="95"/>
      <c r="K19" s="95"/>
      <c r="L19" s="95"/>
      <c r="M19" s="96"/>
      <c r="N19" s="89"/>
      <c r="O19" s="89"/>
      <c r="Q19" s="94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6"/>
      <c r="AS19" s="94"/>
      <c r="AT19" s="95"/>
      <c r="AU19" s="95"/>
      <c r="AV19" s="95"/>
      <c r="AW19" s="95"/>
      <c r="AX19" s="95"/>
      <c r="AY19" s="96"/>
    </row>
    <row r="22" spans="1:51" x14ac:dyDescent="0.2">
      <c r="A22" s="30" t="s">
        <v>271</v>
      </c>
      <c r="B22" s="30"/>
    </row>
    <row r="23" spans="1:51" x14ac:dyDescent="0.2">
      <c r="A23" s="205">
        <f ca="1">TODAY()</f>
        <v>36696</v>
      </c>
      <c r="B23" s="30"/>
    </row>
    <row r="25" spans="1:51" x14ac:dyDescent="0.2">
      <c r="A25" s="106"/>
      <c r="B25" s="90"/>
      <c r="C25" s="85" t="s">
        <v>227</v>
      </c>
      <c r="D25" s="86"/>
      <c r="E25" s="87"/>
      <c r="F25" s="88"/>
      <c r="G25" s="85" t="s">
        <v>228</v>
      </c>
      <c r="H25" s="86"/>
      <c r="I25" s="87"/>
      <c r="J25" s="89"/>
      <c r="K25" s="85" t="s">
        <v>361</v>
      </c>
      <c r="L25" s="86"/>
      <c r="M25" s="87"/>
      <c r="N25" s="89"/>
      <c r="O25" s="89"/>
      <c r="P25" s="88"/>
      <c r="Q25" s="85"/>
      <c r="R25" s="86"/>
      <c r="S25" s="86"/>
      <c r="T25" s="86"/>
      <c r="U25" s="87"/>
    </row>
    <row r="26" spans="1:51" x14ac:dyDescent="0.2">
      <c r="A26" s="109" t="s">
        <v>16</v>
      </c>
      <c r="B26" s="89"/>
      <c r="C26" s="94" t="s">
        <v>128</v>
      </c>
      <c r="D26" s="95" t="s">
        <v>156</v>
      </c>
      <c r="E26" s="96" t="s">
        <v>226</v>
      </c>
      <c r="F26" s="89"/>
      <c r="G26" s="94" t="s">
        <v>128</v>
      </c>
      <c r="H26" s="95" t="s">
        <v>156</v>
      </c>
      <c r="I26" s="96" t="s">
        <v>226</v>
      </c>
      <c r="J26" s="89"/>
      <c r="K26" s="94" t="s">
        <v>223</v>
      </c>
      <c r="L26" s="95" t="s">
        <v>156</v>
      </c>
      <c r="M26" s="96" t="s">
        <v>226</v>
      </c>
      <c r="N26" s="89"/>
      <c r="O26" s="89"/>
      <c r="P26" s="89"/>
      <c r="Q26" s="94" t="s">
        <v>230</v>
      </c>
      <c r="R26" s="95"/>
      <c r="S26" s="95" t="s">
        <v>192</v>
      </c>
      <c r="T26" s="95"/>
      <c r="U26" s="96" t="s">
        <v>263</v>
      </c>
    </row>
    <row r="27" spans="1:51" hidden="1" x14ac:dyDescent="0.2">
      <c r="A27" s="108">
        <f ca="1">A10</f>
        <v>36696</v>
      </c>
      <c r="B27" s="105"/>
      <c r="C27" s="88" t="e">
        <f ca="1">SUM(ROM_hrs!S20:T38)/SUM(ROM_hrs!N5:P5)</f>
        <v>#REF!</v>
      </c>
      <c r="D27" s="103" t="e">
        <f ca="1">SUM(ROM_hrs!S8:T38)</f>
        <v>#REF!</v>
      </c>
      <c r="E27" s="93" t="e">
        <f ca="1">SUM(ROM_hrs!AI8:AJ38)</f>
        <v>#REF!</v>
      </c>
      <c r="F27" s="89"/>
      <c r="G27" s="88">
        <f ca="1">SUM(ROM_hrs!R8:R38)+SUM(ROM_hrs!U8:U38)</f>
        <v>500</v>
      </c>
      <c r="H27" s="200">
        <f ca="1">G27</f>
        <v>500</v>
      </c>
      <c r="I27" s="93">
        <f ca="1">SUM(ROM_hrs!AH8:AH38)+SUM(ROM_hrs!AK8:AK38)</f>
        <v>32442.499999999996</v>
      </c>
      <c r="J27" s="89"/>
      <c r="K27" s="88">
        <f ca="1">U10</f>
        <v>-25</v>
      </c>
      <c r="L27" s="103" t="e">
        <f ca="1">SUM(ROM_hrs!V8:V38)</f>
        <v>#REF!</v>
      </c>
      <c r="M27" s="93" t="e">
        <f ca="1">SUM(ROM_hrs!AL8:AL38)</f>
        <v>#REF!</v>
      </c>
      <c r="N27" s="153"/>
      <c r="O27" s="153"/>
      <c r="P27" s="89"/>
      <c r="Q27" s="146" t="e">
        <f t="shared" ref="Q27:Q34" ca="1" si="1">M27+I27+E27</f>
        <v>#REF!</v>
      </c>
      <c r="R27" s="89"/>
      <c r="S27" s="147">
        <f ca="1">T47</f>
        <v>1</v>
      </c>
      <c r="T27" s="89"/>
      <c r="U27" s="93" t="e">
        <f ca="1">S27*Q27</f>
        <v>#REF!</v>
      </c>
    </row>
    <row r="28" spans="1:51" x14ac:dyDescent="0.2">
      <c r="A28" s="108">
        <f t="shared" ref="A28:A34" ca="1" si="2">A11</f>
        <v>36678</v>
      </c>
      <c r="B28" s="105"/>
      <c r="C28" s="88">
        <f>AC11+Q11</f>
        <v>0</v>
      </c>
      <c r="D28" s="103">
        <f t="shared" ref="D28:D34" ca="1" si="3">C28*C11</f>
        <v>0</v>
      </c>
      <c r="E28" s="93">
        <f ca="1">AE11+S11</f>
        <v>46662.000000000015</v>
      </c>
      <c r="F28" s="89"/>
      <c r="G28" s="88">
        <f>G11+K11+U11+Y11</f>
        <v>-25</v>
      </c>
      <c r="H28" s="103">
        <f t="shared" ref="H28:H34" ca="1" si="4">G28*D11</f>
        <v>-2925</v>
      </c>
      <c r="I28" s="93">
        <f ca="1">D48*25*(47-36.63)+H28*(Q48-Z11)</f>
        <v>-58880.250000000007</v>
      </c>
      <c r="J28" s="89"/>
      <c r="K28" s="88">
        <f>U11+Y11</f>
        <v>-50</v>
      </c>
      <c r="L28" s="103">
        <f ca="1">K28*H48</f>
        <v>-7350</v>
      </c>
      <c r="M28" s="93">
        <f ca="1">L28*(S48-(AVERAGE(V11,Z11)))</f>
        <v>-14700</v>
      </c>
      <c r="N28" s="153"/>
      <c r="O28" s="153"/>
      <c r="P28" s="89"/>
      <c r="Q28" s="146">
        <f t="shared" ca="1" si="1"/>
        <v>-26918.249999999985</v>
      </c>
      <c r="R28" s="89"/>
      <c r="S28" s="147">
        <f t="shared" ref="S28:S34" ca="1" si="5">T48</f>
        <v>1</v>
      </c>
      <c r="T28" s="89"/>
      <c r="U28" s="93">
        <f t="shared" ref="U28:U34" ca="1" si="6">S28*Q28</f>
        <v>-26918.249999999985</v>
      </c>
    </row>
    <row r="29" spans="1:51" x14ac:dyDescent="0.2">
      <c r="A29" s="108">
        <f t="shared" ca="1" si="2"/>
        <v>36708</v>
      </c>
      <c r="B29" s="105"/>
      <c r="C29" s="88">
        <f>AC12+Q12</f>
        <v>0</v>
      </c>
      <c r="D29" s="103">
        <f t="shared" ca="1" si="3"/>
        <v>0</v>
      </c>
      <c r="E29" s="93">
        <f ca="1">AE12+W12+S12</f>
        <v>131502</v>
      </c>
      <c r="F29" s="89"/>
      <c r="G29" s="88">
        <f>G12+K12+Y12</f>
        <v>0</v>
      </c>
      <c r="H29" s="103">
        <f t="shared" ca="1" si="4"/>
        <v>0</v>
      </c>
      <c r="I29" s="93">
        <f ca="1">(D49*25*(51-36.63))</f>
        <v>98075.249999999985</v>
      </c>
      <c r="J29" s="89"/>
      <c r="K29" s="88">
        <f>Y12</f>
        <v>-25</v>
      </c>
      <c r="L29" s="103">
        <f ca="1">K29*H49</f>
        <v>-11775</v>
      </c>
      <c r="M29" s="93">
        <f ca="1">L29*(S49-Z12)</f>
        <v>117750</v>
      </c>
      <c r="N29" s="153"/>
      <c r="O29" s="153"/>
      <c r="P29" s="89"/>
      <c r="Q29" s="146">
        <f t="shared" ca="1" si="1"/>
        <v>347327.25</v>
      </c>
      <c r="R29" s="89"/>
      <c r="S29" s="147">
        <f t="shared" ca="1" si="5"/>
        <v>0.9981141715324906</v>
      </c>
      <c r="T29" s="89"/>
      <c r="U29" s="93">
        <f t="shared" ca="1" si="6"/>
        <v>346672.25038440822</v>
      </c>
    </row>
    <row r="30" spans="1:51" x14ac:dyDescent="0.2">
      <c r="A30" s="108">
        <f t="shared" ca="1" si="2"/>
        <v>36739</v>
      </c>
      <c r="B30" s="105"/>
      <c r="C30" s="88">
        <f>AC13+Q13</f>
        <v>0</v>
      </c>
      <c r="D30" s="103">
        <f t="shared" ca="1" si="3"/>
        <v>0</v>
      </c>
      <c r="E30" s="93">
        <f ca="1">AE13+W13+S13</f>
        <v>131502</v>
      </c>
      <c r="F30" s="89"/>
      <c r="G30" s="88">
        <f>G13+K13+Y13</f>
        <v>0</v>
      </c>
      <c r="H30" s="103">
        <f t="shared" ca="1" si="4"/>
        <v>0</v>
      </c>
      <c r="I30" s="93">
        <f ca="1">(D50*25*(51-36.63))</f>
        <v>107415.74999999999</v>
      </c>
      <c r="J30" s="89"/>
      <c r="K30" s="88">
        <f>Y13</f>
        <v>-25</v>
      </c>
      <c r="L30" s="103">
        <f ca="1">K30*H50</f>
        <v>-11125</v>
      </c>
      <c r="M30" s="93">
        <f ca="1">L30*(S50-Z13)</f>
        <v>111250</v>
      </c>
      <c r="N30" s="153"/>
      <c r="O30" s="153"/>
      <c r="P30" s="89"/>
      <c r="Q30" s="146">
        <f t="shared" ca="1" si="1"/>
        <v>350167.75</v>
      </c>
      <c r="R30" s="89"/>
      <c r="S30" s="147">
        <f t="shared" ca="1" si="5"/>
        <v>0.99321513033005648</v>
      </c>
      <c r="T30" s="89"/>
      <c r="U30" s="93">
        <f t="shared" ca="1" si="6"/>
        <v>347791.90745363262</v>
      </c>
    </row>
    <row r="31" spans="1:51" x14ac:dyDescent="0.2">
      <c r="A31" s="108">
        <f t="shared" ca="1" si="2"/>
        <v>36770</v>
      </c>
      <c r="B31" s="105"/>
      <c r="C31" s="88">
        <f>AC14+Q14</f>
        <v>0</v>
      </c>
      <c r="D31" s="103">
        <f t="shared" ca="1" si="3"/>
        <v>0</v>
      </c>
      <c r="E31" s="93">
        <f ca="1">AE14+W14+S14</f>
        <v>127260.00000000003</v>
      </c>
      <c r="F31" s="89"/>
      <c r="G31" s="88">
        <f>G14+K14+Y14</f>
        <v>0</v>
      </c>
      <c r="H31" s="103">
        <f t="shared" ca="1" si="4"/>
        <v>0</v>
      </c>
      <c r="I31" s="93">
        <f ca="1">(D51*25*(51-36.63))</f>
        <v>98075.249999999985</v>
      </c>
      <c r="J31" s="89"/>
      <c r="K31" s="88">
        <f>Y14</f>
        <v>-25</v>
      </c>
      <c r="L31" s="103">
        <f ca="1">K31*H51</f>
        <v>-11175</v>
      </c>
      <c r="M31" s="93">
        <f ca="1">L31*(S51-Z14)</f>
        <v>111750</v>
      </c>
      <c r="N31" s="153"/>
      <c r="O31" s="153"/>
      <c r="P31" s="89"/>
      <c r="Q31" s="146">
        <f t="shared" ca="1" si="1"/>
        <v>337085.25</v>
      </c>
      <c r="R31" s="89"/>
      <c r="S31" s="147">
        <f t="shared" ca="1" si="5"/>
        <v>0.98831256931322498</v>
      </c>
      <c r="T31" s="89"/>
      <c r="U31" s="93">
        <f t="shared" ca="1" si="6"/>
        <v>333145.58950509079</v>
      </c>
    </row>
    <row r="32" spans="1:51" x14ac:dyDescent="0.2">
      <c r="A32" s="108">
        <f t="shared" ca="1" si="2"/>
        <v>36800</v>
      </c>
      <c r="B32" s="105"/>
      <c r="C32" s="88">
        <f>AC15+Q15</f>
        <v>0</v>
      </c>
      <c r="D32" s="103">
        <f t="shared" ca="1" si="3"/>
        <v>0</v>
      </c>
      <c r="E32" s="93">
        <f ca="1">AE15+W15+S15</f>
        <v>131502</v>
      </c>
      <c r="F32" s="89"/>
      <c r="G32" s="88">
        <f>G15+K15+Y15</f>
        <v>-25</v>
      </c>
      <c r="H32" s="103">
        <f t="shared" ca="1" si="4"/>
        <v>-7150</v>
      </c>
      <c r="I32" s="93">
        <f ca="1">H32*(Q52-Z15)</f>
        <v>-189475</v>
      </c>
      <c r="J32" s="89"/>
      <c r="K32" s="88">
        <f>Y15</f>
        <v>-25</v>
      </c>
      <c r="L32" s="103">
        <f ca="1">K32*H52</f>
        <v>-11450</v>
      </c>
      <c r="M32" s="93">
        <f ca="1">L32*(S52-Z15)</f>
        <v>80150</v>
      </c>
      <c r="N32" s="153"/>
      <c r="O32" s="153"/>
      <c r="P32" s="89"/>
      <c r="Q32" s="146">
        <f t="shared" ca="1" si="1"/>
        <v>22177</v>
      </c>
      <c r="R32" s="89"/>
      <c r="S32" s="147">
        <f t="shared" ca="1" si="5"/>
        <v>0.98355595907844195</v>
      </c>
      <c r="T32" s="89"/>
      <c r="U32" s="93">
        <f t="shared" ca="1" si="6"/>
        <v>21812.320504482606</v>
      </c>
    </row>
    <row r="33" spans="1:28" x14ac:dyDescent="0.2">
      <c r="A33" s="108">
        <f t="shared" ca="1" si="2"/>
        <v>36831</v>
      </c>
      <c r="B33" s="105"/>
      <c r="C33" s="88">
        <f>AC16+Y16+U16+Q16</f>
        <v>0</v>
      </c>
      <c r="D33" s="103">
        <f t="shared" ca="1" si="3"/>
        <v>0</v>
      </c>
      <c r="E33" s="93">
        <f ca="1">AE16+AA16+W16+S16</f>
        <v>244259.99999999997</v>
      </c>
      <c r="F33" s="89"/>
      <c r="G33" s="88">
        <f>G16+K16</f>
        <v>0</v>
      </c>
      <c r="H33" s="103">
        <f t="shared" ca="1" si="4"/>
        <v>0</v>
      </c>
      <c r="I33" s="93">
        <f ca="1">I16+M16</f>
        <v>0</v>
      </c>
      <c r="J33" s="89"/>
      <c r="K33" s="88">
        <f>AS16+AW16</f>
        <v>0</v>
      </c>
      <c r="L33" s="103">
        <f ca="1">K33*E16</f>
        <v>0</v>
      </c>
      <c r="M33" s="93">
        <f ca="1">M16+AU16</f>
        <v>0</v>
      </c>
      <c r="N33" s="153"/>
      <c r="O33" s="153"/>
      <c r="P33" s="89"/>
      <c r="Q33" s="146">
        <f t="shared" ca="1" si="1"/>
        <v>244259.99999999997</v>
      </c>
      <c r="R33" s="89"/>
      <c r="S33" s="147">
        <f t="shared" ca="1" si="5"/>
        <v>0.9786346339809312</v>
      </c>
      <c r="T33" s="89"/>
      <c r="U33" s="93">
        <f t="shared" ca="1" si="6"/>
        <v>239041.29569618223</v>
      </c>
    </row>
    <row r="34" spans="1:28" x14ac:dyDescent="0.2">
      <c r="A34" s="108">
        <f t="shared" ca="1" si="2"/>
        <v>36861</v>
      </c>
      <c r="B34" s="105"/>
      <c r="C34" s="88">
        <f>AC17+Y17+U17+Q17</f>
        <v>0</v>
      </c>
      <c r="D34" s="103">
        <f t="shared" ca="1" si="3"/>
        <v>0</v>
      </c>
      <c r="E34" s="93">
        <f ca="1">AE17+AA17+W17+S17</f>
        <v>252402</v>
      </c>
      <c r="F34" s="89"/>
      <c r="G34" s="88">
        <f>G17+K17</f>
        <v>0</v>
      </c>
      <c r="H34" s="103">
        <f t="shared" ca="1" si="4"/>
        <v>0</v>
      </c>
      <c r="I34" s="93">
        <f ca="1">I17+M17</f>
        <v>0</v>
      </c>
      <c r="J34" s="89"/>
      <c r="K34" s="88">
        <f>AS17+AW17</f>
        <v>0</v>
      </c>
      <c r="L34" s="103">
        <f ca="1">K34*E17</f>
        <v>0</v>
      </c>
      <c r="M34" s="93">
        <f ca="1">M17+AU17</f>
        <v>0</v>
      </c>
      <c r="N34" s="153"/>
      <c r="O34" s="153"/>
      <c r="P34" s="89"/>
      <c r="Q34" s="146">
        <f t="shared" ca="1" si="1"/>
        <v>252402</v>
      </c>
      <c r="R34" s="89"/>
      <c r="S34" s="147">
        <f t="shared" ca="1" si="5"/>
        <v>0.97386408535017499</v>
      </c>
      <c r="T34" s="89"/>
      <c r="U34" s="93">
        <f t="shared" ca="1" si="6"/>
        <v>245805.24287055488</v>
      </c>
    </row>
    <row r="35" spans="1:28" x14ac:dyDescent="0.2">
      <c r="A35" s="112"/>
      <c r="B35" s="105"/>
      <c r="C35" s="94"/>
      <c r="D35" s="110"/>
      <c r="E35" s="111"/>
      <c r="F35" s="89"/>
      <c r="G35" s="94"/>
      <c r="H35" s="110"/>
      <c r="I35" s="111"/>
      <c r="J35" s="89"/>
      <c r="K35" s="94"/>
      <c r="L35" s="110"/>
      <c r="M35" s="111"/>
      <c r="N35" s="153"/>
      <c r="O35" s="153"/>
      <c r="P35" s="89"/>
      <c r="Q35" s="146"/>
      <c r="R35" s="89"/>
      <c r="S35" s="89"/>
      <c r="T35" s="89"/>
      <c r="U35" s="93"/>
    </row>
    <row r="36" spans="1:28" x14ac:dyDescent="0.2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148" t="s">
        <v>274</v>
      </c>
      <c r="R36" s="89"/>
      <c r="S36" s="89"/>
      <c r="T36" s="89"/>
      <c r="U36" s="93">
        <f ca="1">SUM(U28:U34)</f>
        <v>1507350.3564143511</v>
      </c>
      <c r="V36" s="140">
        <f ca="1">U36+Z48</f>
        <v>1498099.3564143511</v>
      </c>
    </row>
    <row r="37" spans="1:28" x14ac:dyDescent="0.2">
      <c r="E37" s="140">
        <f ca="1">SUM(E28:E34)</f>
        <v>1065090</v>
      </c>
      <c r="Q37" s="94"/>
      <c r="R37" s="95"/>
      <c r="S37" s="95"/>
      <c r="T37" s="95"/>
      <c r="U37" s="96"/>
    </row>
    <row r="38" spans="1:28" x14ac:dyDescent="0.2">
      <c r="E38" s="140">
        <f ca="1">E28+I28+M28</f>
        <v>-26918.249999999993</v>
      </c>
      <c r="P38" s="89"/>
      <c r="Q38" s="89"/>
      <c r="R38" s="89"/>
      <c r="S38" s="89"/>
      <c r="T38" s="89"/>
      <c r="U38" s="89"/>
      <c r="V38" s="89"/>
    </row>
    <row r="39" spans="1:28" x14ac:dyDescent="0.2">
      <c r="P39" s="89"/>
      <c r="Q39" s="89"/>
      <c r="R39" s="89"/>
      <c r="S39" s="89"/>
      <c r="T39" s="89"/>
      <c r="U39" s="89"/>
      <c r="V39" s="89"/>
    </row>
    <row r="40" spans="1:28" x14ac:dyDescent="0.2">
      <c r="A40" s="30" t="s">
        <v>272</v>
      </c>
      <c r="P40" s="89"/>
      <c r="Q40" s="89"/>
      <c r="R40" s="89"/>
      <c r="S40" s="89"/>
      <c r="T40" s="89"/>
      <c r="U40" s="89"/>
      <c r="V40" s="89"/>
    </row>
    <row r="42" spans="1:28" x14ac:dyDescent="0.2">
      <c r="A42" t="s">
        <v>129</v>
      </c>
      <c r="D42" s="31">
        <v>1</v>
      </c>
    </row>
    <row r="43" spans="1:28" x14ac:dyDescent="0.2">
      <c r="B43" s="64"/>
    </row>
    <row r="45" spans="1:28" x14ac:dyDescent="0.2">
      <c r="C45" s="6" t="s">
        <v>155</v>
      </c>
      <c r="D45" s="6"/>
      <c r="E45" s="6"/>
      <c r="F45" s="6"/>
      <c r="G45" s="6"/>
      <c r="H45" s="6"/>
      <c r="I45" t="s">
        <v>4</v>
      </c>
      <c r="J45" s="6" t="s">
        <v>221</v>
      </c>
      <c r="K45" s="6"/>
      <c r="L45" s="6"/>
      <c r="N45" t="s">
        <v>59</v>
      </c>
      <c r="O45" t="s">
        <v>382</v>
      </c>
      <c r="P45" s="6" t="s">
        <v>193</v>
      </c>
      <c r="Q45" s="6"/>
      <c r="R45" s="6"/>
      <c r="S45" s="6"/>
      <c r="T45" t="s">
        <v>192</v>
      </c>
      <c r="V45" s="6" t="s">
        <v>194</v>
      </c>
      <c r="W45" s="6"/>
      <c r="X45" s="6"/>
      <c r="Y45" s="6"/>
      <c r="AA45" t="s">
        <v>229</v>
      </c>
      <c r="AB45" t="s">
        <v>369</v>
      </c>
    </row>
    <row r="46" spans="1:28" x14ac:dyDescent="0.2">
      <c r="A46" s="63" t="s">
        <v>16</v>
      </c>
      <c r="C46" s="5" t="s">
        <v>19</v>
      </c>
      <c r="D46" s="5" t="s">
        <v>127</v>
      </c>
      <c r="E46" s="5" t="s">
        <v>42</v>
      </c>
      <c r="F46" s="5" t="s">
        <v>40</v>
      </c>
      <c r="G46" s="5" t="s">
        <v>39</v>
      </c>
      <c r="H46" s="5" t="s">
        <v>299</v>
      </c>
      <c r="J46" s="5" t="s">
        <v>370</v>
      </c>
      <c r="K46" s="5" t="s">
        <v>127</v>
      </c>
      <c r="L46" s="5" t="s">
        <v>299</v>
      </c>
      <c r="P46" s="5" t="s">
        <v>19</v>
      </c>
      <c r="Q46" s="5" t="s">
        <v>127</v>
      </c>
      <c r="R46" s="5" t="s">
        <v>42</v>
      </c>
      <c r="S46" t="s">
        <v>299</v>
      </c>
      <c r="V46" s="5" t="s">
        <v>19</v>
      </c>
      <c r="W46" s="5" t="s">
        <v>127</v>
      </c>
      <c r="X46" s="5" t="s">
        <v>42</v>
      </c>
      <c r="Y46" s="5" t="s">
        <v>299</v>
      </c>
      <c r="Z46" t="s">
        <v>383</v>
      </c>
    </row>
    <row r="47" spans="1:28" hidden="1" x14ac:dyDescent="0.2">
      <c r="A47" s="26">
        <f ca="1">external_curves!A16</f>
        <v>36696</v>
      </c>
      <c r="C47" t="e">
        <f t="shared" ref="C47:C54" ca="1" si="7">E47+F47+G47</f>
        <v>#REF!</v>
      </c>
      <c r="D47">
        <f t="shared" ref="D47:D54" ca="1" si="8">E47/16*13</f>
        <v>116.1875</v>
      </c>
      <c r="E47">
        <f ca="1">ROM_hrs!N5</f>
        <v>143</v>
      </c>
      <c r="F47" t="e">
        <f ca="1">ROM_hrs!P5</f>
        <v>#REF!</v>
      </c>
      <c r="G47">
        <f ca="1">ROM_hrs!O5</f>
        <v>88</v>
      </c>
      <c r="H47" t="e">
        <f ca="1">C47-(D47)</f>
        <v>#REF!</v>
      </c>
      <c r="J47" s="62" t="e">
        <f ca="1">K47+L47</f>
        <v>#REF!</v>
      </c>
      <c r="K47" s="62">
        <f ca="1">H27</f>
        <v>500</v>
      </c>
      <c r="L47" s="62" t="e">
        <f ca="1">L27</f>
        <v>#REF!</v>
      </c>
      <c r="P47" s="40">
        <f ca="1">Q47*(external_curves!AT16)+Trades!S47*(external_curves!AU16)</f>
        <v>52.053935185185182</v>
      </c>
      <c r="Q47" s="152">
        <v>54.85</v>
      </c>
      <c r="R47" s="40">
        <f>Q47</f>
        <v>54.85</v>
      </c>
      <c r="S47" s="152">
        <v>42</v>
      </c>
      <c r="T47" s="14">
        <f ca="1">external_curves!O16</f>
        <v>1</v>
      </c>
      <c r="V47" s="64" t="e">
        <f ca="1">SUM(ROM_hrs!AI8:AJ38)</f>
        <v>#REF!</v>
      </c>
      <c r="W47" s="64">
        <f ca="1">SUM(ROM_hrs!AH8:AH38)+SUM(ROM_hrs!AK8:AK38)</f>
        <v>32442.499999999996</v>
      </c>
      <c r="X47" s="201">
        <v>0</v>
      </c>
      <c r="Y47" s="64" t="e">
        <f ca="1">SUM(ROM_hrs!AL8:AL38)</f>
        <v>#REF!</v>
      </c>
      <c r="AA47" s="64">
        <v>0</v>
      </c>
    </row>
    <row r="48" spans="1:28" x14ac:dyDescent="0.2">
      <c r="A48" s="26">
        <f ca="1">external_curves!A17</f>
        <v>36678</v>
      </c>
      <c r="C48">
        <f ca="1">E48+F48+G48</f>
        <v>264</v>
      </c>
      <c r="D48" s="32">
        <f ca="1">external_curves!AJ17-169</f>
        <v>117</v>
      </c>
      <c r="E48" s="32">
        <f ca="1">external_curves!AI17-208</f>
        <v>144</v>
      </c>
      <c r="F48" s="32">
        <f ca="1">external_curves!AM17-144</f>
        <v>48</v>
      </c>
      <c r="G48" s="32">
        <f ca="1">external_curves!AL17-104</f>
        <v>72</v>
      </c>
      <c r="H48" s="32">
        <f ca="1">(external_curves!AH17-external_curves!AJ17)-(144+143)</f>
        <v>147</v>
      </c>
      <c r="J48" s="62">
        <f t="shared" ref="J48:J54" ca="1" si="9">K48+L48</f>
        <v>-10275</v>
      </c>
      <c r="K48" s="62">
        <f t="shared" ref="K48:K54" ca="1" si="10">H28</f>
        <v>-2925</v>
      </c>
      <c r="L48" s="62">
        <f t="shared" ref="L48:L54" ca="1" si="11">L28</f>
        <v>-7350</v>
      </c>
      <c r="N48" s="71">
        <f>(5800*30)-(5800*19)</f>
        <v>63800</v>
      </c>
      <c r="O48" s="13">
        <v>4.8499999999999996</v>
      </c>
      <c r="P48" s="40">
        <f ca="1">Q48*(external_curves!AT17)+Trades!S48*(external_curves!AU17)</f>
        <v>63.115277777777777</v>
      </c>
      <c r="Q48" s="152">
        <v>81.5</v>
      </c>
      <c r="R48" s="40">
        <f>Q48</f>
        <v>81.5</v>
      </c>
      <c r="S48" s="152">
        <v>51</v>
      </c>
      <c r="T48" s="14">
        <f ca="1">external_curves!O17</f>
        <v>1</v>
      </c>
      <c r="V48" s="64">
        <f ca="1">T48*Trades!E28</f>
        <v>46662.000000000015</v>
      </c>
      <c r="W48" s="64">
        <f ca="1">Trades!I28*Trades!T48</f>
        <v>-58880.250000000007</v>
      </c>
      <c r="X48" s="201">
        <v>0</v>
      </c>
      <c r="Y48" s="64">
        <f ca="1">T48*M28</f>
        <v>-14700</v>
      </c>
      <c r="Z48" s="64">
        <f ca="1">N48*(O48-4.995)*T48</f>
        <v>-9251.0000000000291</v>
      </c>
      <c r="AA48" s="64">
        <f ca="1">X48+W48+V48+Y48+Z48</f>
        <v>-36169.250000000022</v>
      </c>
      <c r="AB48" s="64"/>
    </row>
    <row r="49" spans="1:28" x14ac:dyDescent="0.2">
      <c r="A49" s="26">
        <f ca="1">external_curves!A18</f>
        <v>36708</v>
      </c>
      <c r="C49">
        <f t="shared" ca="1" si="7"/>
        <v>744</v>
      </c>
      <c r="D49">
        <f t="shared" ca="1" si="8"/>
        <v>273</v>
      </c>
      <c r="E49">
        <f ca="1">external_curves!AI18</f>
        <v>336</v>
      </c>
      <c r="F49">
        <f ca="1">external_curves!AM18</f>
        <v>240</v>
      </c>
      <c r="G49">
        <f ca="1">external_curves!AL18</f>
        <v>168</v>
      </c>
      <c r="H49">
        <f t="shared" ref="H49:H54" ca="1" si="12">C49-(D49)</f>
        <v>471</v>
      </c>
      <c r="J49" s="62">
        <f t="shared" ca="1" si="9"/>
        <v>-11775</v>
      </c>
      <c r="K49" s="62">
        <f t="shared" ca="1" si="10"/>
        <v>0</v>
      </c>
      <c r="L49" s="62">
        <f t="shared" ca="1" si="11"/>
        <v>-11775</v>
      </c>
      <c r="P49" s="40">
        <f ca="1">Q49*(external_curves!AT18)+Trades!S49*(external_curves!AU18)</f>
        <v>51.824596774193552</v>
      </c>
      <c r="Q49" s="152">
        <v>70.5</v>
      </c>
      <c r="R49" s="40">
        <f>Q49</f>
        <v>70.5</v>
      </c>
      <c r="S49" s="152">
        <v>41</v>
      </c>
      <c r="T49" s="14">
        <f ca="1">external_curves!O18</f>
        <v>0.9981141715324906</v>
      </c>
      <c r="V49" s="64">
        <f ca="1">T49*Trades!E29</f>
        <v>131254.00978486557</v>
      </c>
      <c r="W49" s="64">
        <f ca="1">Trades!I29*Trades!T49</f>
        <v>97890.296901591879</v>
      </c>
      <c r="X49" s="64">
        <v>0</v>
      </c>
      <c r="Y49" s="64">
        <f ca="1">T49*Trades!M29</f>
        <v>117527.94369795077</v>
      </c>
      <c r="AA49" s="64">
        <f ca="1">Y49+W49+V49</f>
        <v>346672.25038440822</v>
      </c>
      <c r="AB49" s="64"/>
    </row>
    <row r="50" spans="1:28" x14ac:dyDescent="0.2">
      <c r="A50" s="26">
        <f ca="1">external_curves!A19</f>
        <v>36739</v>
      </c>
      <c r="C50">
        <f t="shared" ca="1" si="7"/>
        <v>744</v>
      </c>
      <c r="D50">
        <f t="shared" ca="1" si="8"/>
        <v>299</v>
      </c>
      <c r="E50">
        <f ca="1">external_curves!AI19</f>
        <v>368</v>
      </c>
      <c r="F50">
        <f ca="1">external_curves!AM19</f>
        <v>192</v>
      </c>
      <c r="G50">
        <f ca="1">external_curves!AL19</f>
        <v>184</v>
      </c>
      <c r="H50">
        <f t="shared" ca="1" si="12"/>
        <v>445</v>
      </c>
      <c r="J50" s="62">
        <f t="shared" ca="1" si="9"/>
        <v>-11125</v>
      </c>
      <c r="K50" s="62">
        <f t="shared" ca="1" si="10"/>
        <v>0</v>
      </c>
      <c r="L50" s="62">
        <f t="shared" ca="1" si="11"/>
        <v>-11125</v>
      </c>
      <c r="P50" s="40">
        <f ca="1">Q50*(external_curves!AT19)+Trades!S50*(external_curves!AU19)</f>
        <v>52.855510752688176</v>
      </c>
      <c r="Q50" s="152">
        <v>70.5</v>
      </c>
      <c r="R50" s="40">
        <f>Q50</f>
        <v>70.5</v>
      </c>
      <c r="S50" s="152">
        <v>41</v>
      </c>
      <c r="T50" s="14">
        <f ca="1">external_curves!O19</f>
        <v>0.99321513033005648</v>
      </c>
      <c r="V50" s="64">
        <f ca="1">T50*Trades!E30</f>
        <v>130609.77606866309</v>
      </c>
      <c r="W50" s="64">
        <f ca="1">Trades!I30*Trades!T50</f>
        <v>106686.94813575075</v>
      </c>
      <c r="X50" s="64">
        <v>0</v>
      </c>
      <c r="Y50" s="64">
        <f ca="1">T50*Trades!M30</f>
        <v>110495.18324921878</v>
      </c>
      <c r="AA50" s="64">
        <f ca="1">Y50+W50+V50</f>
        <v>347791.90745363262</v>
      </c>
      <c r="AB50" s="64"/>
    </row>
    <row r="51" spans="1:28" x14ac:dyDescent="0.2">
      <c r="A51" s="26">
        <f ca="1">external_curves!A20</f>
        <v>36770</v>
      </c>
      <c r="C51">
        <f t="shared" ca="1" si="7"/>
        <v>720</v>
      </c>
      <c r="D51">
        <f t="shared" ca="1" si="8"/>
        <v>273</v>
      </c>
      <c r="E51">
        <f ca="1">external_curves!AI20</f>
        <v>336</v>
      </c>
      <c r="F51">
        <f ca="1">external_curves!AM20</f>
        <v>216</v>
      </c>
      <c r="G51">
        <f ca="1">external_curves!AL20</f>
        <v>168</v>
      </c>
      <c r="H51">
        <f t="shared" ca="1" si="12"/>
        <v>447</v>
      </c>
      <c r="J51" s="62">
        <f t="shared" ca="1" si="9"/>
        <v>-11175</v>
      </c>
      <c r="K51" s="62">
        <f t="shared" ca="1" si="10"/>
        <v>0</v>
      </c>
      <c r="L51" s="62">
        <f t="shared" ca="1" si="11"/>
        <v>-11175</v>
      </c>
      <c r="P51" s="40">
        <f ca="1">Q51*(external_curves!AT20)+Trades!S51*(external_curves!AU20)</f>
        <v>52.185416666666669</v>
      </c>
      <c r="Q51" s="152">
        <v>70.5</v>
      </c>
      <c r="R51" s="40">
        <f>Q51</f>
        <v>70.5</v>
      </c>
      <c r="S51" s="152">
        <v>41</v>
      </c>
      <c r="T51" s="14">
        <f ca="1">external_curves!O20</f>
        <v>0.98831256931322498</v>
      </c>
      <c r="V51" s="64">
        <f ca="1">T51*Trades!E31</f>
        <v>125772.65757080104</v>
      </c>
      <c r="W51" s="64">
        <f ca="1">Trades!I31*Trades!T51</f>
        <v>96929.002313536854</v>
      </c>
      <c r="X51" s="64">
        <v>0</v>
      </c>
      <c r="Y51" s="64">
        <f ca="1">T51*Trades!M31</f>
        <v>110443.9296207529</v>
      </c>
      <c r="AA51" s="64">
        <f ca="1">Y51+W51+V51</f>
        <v>333145.58950509079</v>
      </c>
      <c r="AB51" s="64"/>
    </row>
    <row r="52" spans="1:28" x14ac:dyDescent="0.2">
      <c r="A52" s="26">
        <f ca="1">external_curves!A21</f>
        <v>36800</v>
      </c>
      <c r="C52">
        <f t="shared" ca="1" si="7"/>
        <v>744</v>
      </c>
      <c r="D52">
        <f t="shared" ca="1" si="8"/>
        <v>286</v>
      </c>
      <c r="E52">
        <f ca="1">external_curves!AI21</f>
        <v>352</v>
      </c>
      <c r="F52">
        <f ca="1">external_curves!AM21</f>
        <v>216</v>
      </c>
      <c r="G52">
        <f ca="1">external_curves!AL21</f>
        <v>176</v>
      </c>
      <c r="H52">
        <f t="shared" ca="1" si="12"/>
        <v>458</v>
      </c>
      <c r="J52" s="62">
        <f t="shared" ca="1" si="9"/>
        <v>-18600</v>
      </c>
      <c r="K52" s="62">
        <f t="shared" ca="1" si="10"/>
        <v>-7150</v>
      </c>
      <c r="L52" s="62">
        <f t="shared" ca="1" si="11"/>
        <v>-11450</v>
      </c>
      <c r="P52" s="40">
        <f ca="1">Q52*(external_curves!AT21)+Trades!S52*(external_curves!AU21)</f>
        <v>56.877688172043008</v>
      </c>
      <c r="Q52" s="152">
        <v>77.5</v>
      </c>
      <c r="R52" s="40">
        <f ca="1">Fwd_curves!F91</f>
        <v>74</v>
      </c>
      <c r="S52" s="152">
        <v>44</v>
      </c>
      <c r="T52" s="14">
        <f ca="1">external_curves!O21</f>
        <v>0.98355595907844195</v>
      </c>
      <c r="V52" s="64">
        <f ca="1">T52*Trades!E32</f>
        <v>129339.57573073327</v>
      </c>
      <c r="W52" s="64">
        <f ca="1">Trades!I32*Trades!T52</f>
        <v>-186359.26534638778</v>
      </c>
      <c r="X52" s="64">
        <v>0</v>
      </c>
      <c r="Y52" s="64">
        <f ca="1">T52*Trades!M32</f>
        <v>78832.010120137129</v>
      </c>
      <c r="AA52" s="64">
        <f ca="1">Y52+W52+V52</f>
        <v>21812.320504482617</v>
      </c>
      <c r="AB52" s="64"/>
    </row>
    <row r="53" spans="1:28" x14ac:dyDescent="0.2">
      <c r="A53" s="26">
        <f ca="1">external_curves!A22</f>
        <v>36831</v>
      </c>
      <c r="C53">
        <f t="shared" ca="1" si="7"/>
        <v>720</v>
      </c>
      <c r="D53">
        <f t="shared" ca="1" si="8"/>
        <v>286</v>
      </c>
      <c r="E53">
        <f ca="1">external_curves!AI22</f>
        <v>352</v>
      </c>
      <c r="F53">
        <f ca="1">external_curves!AM22</f>
        <v>192</v>
      </c>
      <c r="G53">
        <f ca="1">external_curves!AL22</f>
        <v>176</v>
      </c>
      <c r="H53">
        <f t="shared" ca="1" si="12"/>
        <v>434</v>
      </c>
      <c r="J53" s="62">
        <f t="shared" ca="1" si="9"/>
        <v>0</v>
      </c>
      <c r="K53" s="62">
        <f t="shared" ca="1" si="10"/>
        <v>0</v>
      </c>
      <c r="L53" s="62">
        <f t="shared" ca="1" si="11"/>
        <v>0</v>
      </c>
      <c r="P53" s="40">
        <f ca="1">Q53*(external_curves!AT22)+Trades!S53*(external_curves!AU22)</f>
        <v>52.519444444444446</v>
      </c>
      <c r="Q53" s="152">
        <v>70</v>
      </c>
      <c r="R53" s="40">
        <f>Q53</f>
        <v>70</v>
      </c>
      <c r="S53" s="152">
        <v>41</v>
      </c>
      <c r="T53" s="14">
        <f ca="1">external_curves!O22</f>
        <v>0.9786346339809312</v>
      </c>
      <c r="V53" s="64">
        <f ca="1">T53*Trades!E33</f>
        <v>239041.29569618223</v>
      </c>
      <c r="W53" s="64">
        <f ca="1">Trades!I33*Trades!T53</f>
        <v>0</v>
      </c>
      <c r="X53" s="64">
        <f ca="1">T53*Trades!M33</f>
        <v>0</v>
      </c>
      <c r="Y53" s="64">
        <f ca="1">T53*Trades!M33</f>
        <v>0</v>
      </c>
      <c r="AA53" s="64">
        <f ca="1">X53+W53+V53</f>
        <v>239041.29569618223</v>
      </c>
      <c r="AB53" s="64"/>
    </row>
    <row r="54" spans="1:28" x14ac:dyDescent="0.2">
      <c r="A54" s="26">
        <f ca="1">external_curves!A23</f>
        <v>36861</v>
      </c>
      <c r="C54">
        <f t="shared" ca="1" si="7"/>
        <v>744</v>
      </c>
      <c r="D54">
        <f t="shared" ca="1" si="8"/>
        <v>273</v>
      </c>
      <c r="E54">
        <f ca="1">external_curves!AI23</f>
        <v>336</v>
      </c>
      <c r="F54">
        <f ca="1">external_curves!AM23</f>
        <v>240</v>
      </c>
      <c r="G54">
        <f ca="1">external_curves!AL23</f>
        <v>168</v>
      </c>
      <c r="H54">
        <f t="shared" ca="1" si="12"/>
        <v>471</v>
      </c>
      <c r="J54" s="62">
        <f t="shared" ca="1" si="9"/>
        <v>0</v>
      </c>
      <c r="K54" s="62">
        <f t="shared" ca="1" si="10"/>
        <v>0</v>
      </c>
      <c r="L54" s="62">
        <f t="shared" ca="1" si="11"/>
        <v>0</v>
      </c>
      <c r="P54" s="40">
        <f ca="1">Q54*(external_curves!AT23)+Trades!S54*(external_curves!AU23)</f>
        <v>51.641129032258064</v>
      </c>
      <c r="Q54" s="152">
        <v>70</v>
      </c>
      <c r="R54" s="40">
        <f>Q54</f>
        <v>70</v>
      </c>
      <c r="S54" s="152">
        <v>41</v>
      </c>
      <c r="T54" s="14">
        <f ca="1">external_curves!O23</f>
        <v>0.97386408535017499</v>
      </c>
      <c r="V54" s="64">
        <f ca="1">T54*Trades!E34</f>
        <v>245805.24287055488</v>
      </c>
      <c r="W54" s="64">
        <f ca="1">Trades!I34*Trades!T54</f>
        <v>0</v>
      </c>
      <c r="X54" s="64">
        <f ca="1">T54*Trades!M34</f>
        <v>0</v>
      </c>
      <c r="Y54" s="64">
        <f ca="1">T54*Trades!M34</f>
        <v>0</v>
      </c>
      <c r="AA54" s="64">
        <f ca="1">X54+W54+V54</f>
        <v>245805.24287055488</v>
      </c>
      <c r="AB54" s="64"/>
    </row>
    <row r="55" spans="1:28" x14ac:dyDescent="0.2">
      <c r="A55" s="10"/>
    </row>
    <row r="56" spans="1:28" x14ac:dyDescent="0.2">
      <c r="A56" s="10"/>
      <c r="P56" s="33">
        <f ca="1">AVERAGE(P48:P54)</f>
        <v>54.431294802867384</v>
      </c>
      <c r="T56" s="64"/>
      <c r="V56" s="64">
        <f ca="1">SUM(V48:V54)</f>
        <v>1048484.5577218001</v>
      </c>
      <c r="W56" s="64">
        <f ca="1">SUM(W48:W54)</f>
        <v>56266.7320044917</v>
      </c>
      <c r="X56" s="64">
        <f ca="1">SUM(X48:X54)</f>
        <v>0</v>
      </c>
      <c r="Y56" s="64"/>
      <c r="AA56" s="64">
        <f ca="1">SUM(AA47:AA54)</f>
        <v>1498099.3564143511</v>
      </c>
    </row>
    <row r="57" spans="1:28" x14ac:dyDescent="0.2">
      <c r="A57" s="10"/>
      <c r="Z57" t="s">
        <v>367</v>
      </c>
      <c r="AA57" s="64">
        <f>P59</f>
        <v>347085.75</v>
      </c>
      <c r="AB57" s="64"/>
    </row>
    <row r="58" spans="1:28" x14ac:dyDescent="0.2">
      <c r="Z58" t="s">
        <v>368</v>
      </c>
      <c r="AA58" s="64">
        <f ca="1">AA56-AA57</f>
        <v>1151013.6064143511</v>
      </c>
    </row>
    <row r="59" spans="1:28" x14ac:dyDescent="0.2">
      <c r="P59" s="12">
        <v>347085.75</v>
      </c>
    </row>
    <row r="64" spans="1:28" ht="25.5" x14ac:dyDescent="0.2">
      <c r="P64" s="9" t="s">
        <v>376</v>
      </c>
      <c r="Q64" s="9" t="s">
        <v>380</v>
      </c>
      <c r="R64" s="9" t="s">
        <v>375</v>
      </c>
      <c r="S64" s="9" t="s">
        <v>377</v>
      </c>
      <c r="T64" s="9" t="s">
        <v>378</v>
      </c>
      <c r="U64" s="9" t="s">
        <v>379</v>
      </c>
    </row>
    <row r="65" spans="1:21" x14ac:dyDescent="0.2">
      <c r="A65" s="26">
        <f ca="1">A48</f>
        <v>36678</v>
      </c>
      <c r="P65" s="16">
        <f ca="1">(Q65*13+R65*3)/16</f>
        <v>60.144123487273575</v>
      </c>
      <c r="Q65" s="16">
        <f ca="1">hourly_curves!D6</f>
        <v>62.292767368952092</v>
      </c>
      <c r="R65" s="16">
        <f ca="1">hourly_curves!E6</f>
        <v>50.833333333333343</v>
      </c>
      <c r="S65" s="12">
        <f ca="1">hourly_curves!C6</f>
        <v>35</v>
      </c>
      <c r="T65" s="12">
        <f ca="1">hourly_curves!B30</f>
        <v>52.875</v>
      </c>
      <c r="U65" s="12">
        <f ca="1">hourly_curves!B53</f>
        <v>49.9375</v>
      </c>
    </row>
    <row r="66" spans="1:21" x14ac:dyDescent="0.2">
      <c r="A66" s="26">
        <f t="shared" ref="A66:A71" ca="1" si="13">A49</f>
        <v>36708</v>
      </c>
    </row>
    <row r="67" spans="1:21" x14ac:dyDescent="0.2">
      <c r="A67" s="26">
        <f t="shared" ca="1" si="13"/>
        <v>36739</v>
      </c>
    </row>
    <row r="68" spans="1:21" x14ac:dyDescent="0.2">
      <c r="A68" s="26">
        <f t="shared" ca="1" si="13"/>
        <v>36770</v>
      </c>
    </row>
    <row r="69" spans="1:21" x14ac:dyDescent="0.2">
      <c r="A69" s="26">
        <f t="shared" ca="1" si="13"/>
        <v>36800</v>
      </c>
    </row>
    <row r="70" spans="1:21" x14ac:dyDescent="0.2">
      <c r="A70" s="26">
        <f t="shared" ca="1" si="13"/>
        <v>36831</v>
      </c>
    </row>
    <row r="71" spans="1:21" x14ac:dyDescent="0.2">
      <c r="A71" s="26">
        <f t="shared" ca="1" si="13"/>
        <v>36861</v>
      </c>
    </row>
    <row r="72" spans="1:21" x14ac:dyDescent="0.2">
      <c r="A72" s="26"/>
    </row>
    <row r="73" spans="1:21" x14ac:dyDescent="0.2">
      <c r="A73" s="26"/>
    </row>
    <row r="74" spans="1:21" x14ac:dyDescent="0.2">
      <c r="A74" s="26"/>
    </row>
    <row r="75" spans="1:21" x14ac:dyDescent="0.2">
      <c r="A75" s="26"/>
    </row>
    <row r="76" spans="1:21" x14ac:dyDescent="0.2">
      <c r="A76" s="26"/>
    </row>
    <row r="77" spans="1:21" x14ac:dyDescent="0.2">
      <c r="A77" s="26"/>
    </row>
    <row r="78" spans="1:21" x14ac:dyDescent="0.2">
      <c r="A78" s="26"/>
    </row>
  </sheetData>
  <mergeCells count="1">
    <mergeCell ref="G8:I8"/>
  </mergeCells>
  <pageMargins left="0.75" right="0.75" top="1" bottom="1" header="0.5" footer="0.5"/>
  <pageSetup scale="35" orientation="landscape" horizont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6"/>
  <sheetViews>
    <sheetView workbookViewId="0">
      <pane xSplit="1" ySplit="6" topLeftCell="B38" activePane="bottomRight" state="frozen"/>
      <selection pane="topRight" activeCell="B1" sqref="B1"/>
      <selection pane="bottomLeft" activeCell="A7" sqref="A7"/>
      <selection pane="bottomRight" activeCell="F56" sqref="F56"/>
    </sheetView>
  </sheetViews>
  <sheetFormatPr defaultRowHeight="12.75" x14ac:dyDescent="0.2"/>
  <cols>
    <col min="1" max="1" width="16.28515625" customWidth="1"/>
    <col min="2" max="2" width="16.7109375" customWidth="1"/>
    <col min="4" max="4" width="19.28515625" customWidth="1"/>
    <col min="5" max="5" width="18.140625" customWidth="1"/>
    <col min="6" max="6" width="15.28515625" customWidth="1"/>
  </cols>
  <sheetData>
    <row r="4" spans="1:6" x14ac:dyDescent="0.2">
      <c r="A4" t="s">
        <v>269</v>
      </c>
    </row>
    <row r="5" spans="1:6" x14ac:dyDescent="0.2">
      <c r="A5" t="s">
        <v>270</v>
      </c>
      <c r="D5" s="211" t="s">
        <v>389</v>
      </c>
      <c r="E5" s="211"/>
      <c r="F5" s="211"/>
    </row>
    <row r="6" spans="1:6" x14ac:dyDescent="0.2">
      <c r="B6" t="s">
        <v>371</v>
      </c>
      <c r="D6" t="s">
        <v>290</v>
      </c>
      <c r="E6" t="s">
        <v>291</v>
      </c>
      <c r="F6" t="s">
        <v>292</v>
      </c>
    </row>
    <row r="7" spans="1:6" x14ac:dyDescent="0.2">
      <c r="A7" s="26">
        <v>36646</v>
      </c>
      <c r="B7">
        <v>0</v>
      </c>
    </row>
    <row r="8" spans="1:6" x14ac:dyDescent="0.2">
      <c r="A8" s="26">
        <v>36647</v>
      </c>
    </row>
    <row r="9" spans="1:6" x14ac:dyDescent="0.2">
      <c r="A9" s="26">
        <v>36648</v>
      </c>
    </row>
    <row r="10" spans="1:6" x14ac:dyDescent="0.2">
      <c r="A10" s="26">
        <v>36649</v>
      </c>
    </row>
    <row r="11" spans="1:6" x14ac:dyDescent="0.2">
      <c r="A11" s="26">
        <v>36650</v>
      </c>
    </row>
    <row r="12" spans="1:6" x14ac:dyDescent="0.2">
      <c r="A12" s="26">
        <v>36651</v>
      </c>
    </row>
    <row r="13" spans="1:6" x14ac:dyDescent="0.2">
      <c r="A13" s="26">
        <v>36652</v>
      </c>
    </row>
    <row r="14" spans="1:6" x14ac:dyDescent="0.2">
      <c r="A14" s="26">
        <v>36653</v>
      </c>
    </row>
    <row r="15" spans="1:6" x14ac:dyDescent="0.2">
      <c r="A15" s="26">
        <v>36654</v>
      </c>
    </row>
    <row r="16" spans="1:6" x14ac:dyDescent="0.2">
      <c r="A16" s="26">
        <v>36655</v>
      </c>
    </row>
    <row r="17" spans="1:6" x14ac:dyDescent="0.2">
      <c r="A17" s="26">
        <v>36656</v>
      </c>
      <c r="B17" s="64">
        <v>1262688</v>
      </c>
      <c r="D17" s="64">
        <v>26580</v>
      </c>
      <c r="E17" s="64">
        <v>26305</v>
      </c>
      <c r="F17" s="64">
        <f t="shared" ref="F17:F56" si="0">E17-D17</f>
        <v>-275</v>
      </c>
    </row>
    <row r="18" spans="1:6" x14ac:dyDescent="0.2">
      <c r="A18" s="26">
        <v>36657</v>
      </c>
      <c r="B18" s="64">
        <v>1252588</v>
      </c>
      <c r="D18" s="12">
        <v>28868</v>
      </c>
      <c r="E18" s="12">
        <v>64868</v>
      </c>
      <c r="F18" s="64">
        <f t="shared" si="0"/>
        <v>36000</v>
      </c>
    </row>
    <row r="19" spans="1:6" x14ac:dyDescent="0.2">
      <c r="A19" s="26">
        <v>36658</v>
      </c>
      <c r="B19" s="64">
        <v>1303538</v>
      </c>
      <c r="D19" s="12">
        <v>27573</v>
      </c>
      <c r="E19" s="12">
        <v>29433.62</v>
      </c>
      <c r="F19" s="64">
        <f t="shared" si="0"/>
        <v>1860.619999999999</v>
      </c>
    </row>
    <row r="20" spans="1:6" x14ac:dyDescent="0.2">
      <c r="A20" s="26">
        <v>36659</v>
      </c>
      <c r="E20" s="12">
        <v>6000</v>
      </c>
      <c r="F20" s="64">
        <f t="shared" si="0"/>
        <v>6000</v>
      </c>
    </row>
    <row r="21" spans="1:6" x14ac:dyDescent="0.2">
      <c r="A21" s="26">
        <v>36660</v>
      </c>
      <c r="E21" s="12">
        <v>6000</v>
      </c>
      <c r="F21" s="64">
        <f t="shared" si="0"/>
        <v>6000</v>
      </c>
    </row>
    <row r="22" spans="1:6" x14ac:dyDescent="0.2">
      <c r="A22" s="26">
        <v>36661</v>
      </c>
      <c r="B22" s="64">
        <v>1280789</v>
      </c>
      <c r="D22" s="64">
        <v>13522</v>
      </c>
      <c r="E22" s="64">
        <v>14004</v>
      </c>
      <c r="F22" s="64">
        <f t="shared" si="0"/>
        <v>482</v>
      </c>
    </row>
    <row r="23" spans="1:6" x14ac:dyDescent="0.2">
      <c r="A23" s="26">
        <v>36662</v>
      </c>
      <c r="B23" s="64">
        <v>1268121</v>
      </c>
      <c r="D23" s="64">
        <v>15554</v>
      </c>
      <c r="E23" s="64">
        <v>15614</v>
      </c>
      <c r="F23" s="64">
        <f t="shared" si="0"/>
        <v>60</v>
      </c>
    </row>
    <row r="24" spans="1:6" x14ac:dyDescent="0.2">
      <c r="A24" s="26">
        <v>36663</v>
      </c>
      <c r="B24" s="64">
        <v>1257320</v>
      </c>
      <c r="D24" s="64">
        <v>13481</v>
      </c>
      <c r="E24" s="64">
        <v>14163</v>
      </c>
      <c r="F24" s="64">
        <f t="shared" si="0"/>
        <v>682</v>
      </c>
    </row>
    <row r="25" spans="1:6" x14ac:dyDescent="0.2">
      <c r="A25" s="26">
        <v>36664</v>
      </c>
      <c r="B25" s="64">
        <v>1676533</v>
      </c>
      <c r="D25" s="64">
        <v>11000</v>
      </c>
      <c r="E25" s="64">
        <v>8042</v>
      </c>
      <c r="F25" s="64">
        <f t="shared" si="0"/>
        <v>-2958</v>
      </c>
    </row>
    <row r="26" spans="1:6" x14ac:dyDescent="0.2">
      <c r="A26" s="26">
        <v>36665</v>
      </c>
      <c r="B26" s="64">
        <v>1666092</v>
      </c>
      <c r="D26" s="64">
        <v>10500</v>
      </c>
      <c r="E26" s="64">
        <v>11129.75</v>
      </c>
      <c r="F26" s="64">
        <f t="shared" si="0"/>
        <v>629.75</v>
      </c>
    </row>
    <row r="27" spans="1:6" x14ac:dyDescent="0.2">
      <c r="A27" s="26">
        <v>36666</v>
      </c>
      <c r="E27" s="64">
        <v>10352.5</v>
      </c>
      <c r="F27" s="64">
        <f t="shared" si="0"/>
        <v>10352.5</v>
      </c>
    </row>
    <row r="28" spans="1:6" x14ac:dyDescent="0.2">
      <c r="A28" s="26">
        <v>36667</v>
      </c>
      <c r="E28" s="64">
        <v>9288.25</v>
      </c>
      <c r="F28" s="64">
        <f t="shared" si="0"/>
        <v>9288.25</v>
      </c>
    </row>
    <row r="29" spans="1:6" x14ac:dyDescent="0.2">
      <c r="A29" s="26">
        <v>36668</v>
      </c>
      <c r="B29" s="64">
        <v>1602507</v>
      </c>
      <c r="D29" s="64">
        <v>4788</v>
      </c>
      <c r="E29" s="64">
        <v>11531</v>
      </c>
      <c r="F29" s="64">
        <f t="shared" si="0"/>
        <v>6743</v>
      </c>
    </row>
    <row r="30" spans="1:6" x14ac:dyDescent="0.2">
      <c r="A30" s="26">
        <v>36669</v>
      </c>
      <c r="B30" s="64">
        <v>1591024</v>
      </c>
      <c r="D30" s="64">
        <v>6170</v>
      </c>
      <c r="E30" s="64">
        <v>13571</v>
      </c>
      <c r="F30" s="64">
        <f t="shared" si="0"/>
        <v>7401</v>
      </c>
    </row>
    <row r="31" spans="1:6" x14ac:dyDescent="0.2">
      <c r="A31" s="26">
        <v>36670</v>
      </c>
      <c r="B31" s="64">
        <v>1559495</v>
      </c>
      <c r="D31" s="64">
        <v>10823</v>
      </c>
      <c r="E31" s="64">
        <v>11103</v>
      </c>
      <c r="F31" s="64">
        <f t="shared" si="0"/>
        <v>280</v>
      </c>
    </row>
    <row r="32" spans="1:6" x14ac:dyDescent="0.2">
      <c r="A32" s="26">
        <v>36671</v>
      </c>
      <c r="B32" s="64">
        <v>1539621</v>
      </c>
      <c r="D32" s="64">
        <v>11897</v>
      </c>
      <c r="E32" s="64">
        <v>12746</v>
      </c>
      <c r="F32" s="64">
        <f t="shared" si="0"/>
        <v>849</v>
      </c>
    </row>
    <row r="33" spans="1:6" x14ac:dyDescent="0.2">
      <c r="A33" s="26">
        <v>36672</v>
      </c>
      <c r="B33" s="64">
        <v>1523110</v>
      </c>
      <c r="D33" s="64">
        <v>12035</v>
      </c>
      <c r="E33" s="64">
        <v>12306.75</v>
      </c>
      <c r="F33" s="64">
        <f t="shared" si="0"/>
        <v>271.75</v>
      </c>
    </row>
    <row r="34" spans="1:6" x14ac:dyDescent="0.2">
      <c r="A34" s="26">
        <v>36673</v>
      </c>
      <c r="D34" s="64"/>
      <c r="E34" s="64">
        <v>5939</v>
      </c>
      <c r="F34" s="64">
        <f t="shared" si="0"/>
        <v>5939</v>
      </c>
    </row>
    <row r="35" spans="1:6" x14ac:dyDescent="0.2">
      <c r="A35" s="26">
        <v>36674</v>
      </c>
      <c r="D35" s="64"/>
      <c r="E35" s="64">
        <v>8342.75</v>
      </c>
      <c r="F35" s="64">
        <f t="shared" si="0"/>
        <v>8342.75</v>
      </c>
    </row>
    <row r="36" spans="1:6" x14ac:dyDescent="0.2">
      <c r="A36" s="26">
        <v>36675</v>
      </c>
      <c r="D36" s="64"/>
      <c r="E36" s="64">
        <v>14129.25</v>
      </c>
      <c r="F36" s="64">
        <f t="shared" si="0"/>
        <v>14129.25</v>
      </c>
    </row>
    <row r="37" spans="1:6" x14ac:dyDescent="0.2">
      <c r="A37" s="26">
        <v>36676</v>
      </c>
      <c r="B37" s="64">
        <v>1481768</v>
      </c>
      <c r="D37" s="64">
        <v>14133</v>
      </c>
      <c r="E37" s="64">
        <v>16593</v>
      </c>
      <c r="F37" s="64">
        <f t="shared" si="0"/>
        <v>2460</v>
      </c>
    </row>
    <row r="38" spans="1:6" x14ac:dyDescent="0.2">
      <c r="A38" s="26">
        <v>36677</v>
      </c>
      <c r="B38" s="64">
        <v>1467850</v>
      </c>
      <c r="D38" s="64">
        <v>11799</v>
      </c>
      <c r="E38" s="64">
        <v>12864</v>
      </c>
      <c r="F38" s="64">
        <f t="shared" si="0"/>
        <v>1065</v>
      </c>
    </row>
    <row r="39" spans="1:6" x14ac:dyDescent="0.2">
      <c r="A39" s="26">
        <v>36678</v>
      </c>
      <c r="B39" s="64">
        <v>1367252</v>
      </c>
      <c r="D39" s="64">
        <v>788</v>
      </c>
      <c r="E39" s="64">
        <v>-93.41</v>
      </c>
      <c r="F39" s="64">
        <f t="shared" si="0"/>
        <v>-881.41</v>
      </c>
    </row>
    <row r="40" spans="1:6" x14ac:dyDescent="0.2">
      <c r="A40" s="26">
        <v>36679</v>
      </c>
      <c r="B40" s="64">
        <v>1342831</v>
      </c>
      <c r="D40" s="64">
        <v>7695</v>
      </c>
      <c r="E40" s="64">
        <v>4010.54</v>
      </c>
      <c r="F40" s="64">
        <f t="shared" si="0"/>
        <v>-3684.46</v>
      </c>
    </row>
    <row r="41" spans="1:6" x14ac:dyDescent="0.2">
      <c r="A41" s="26">
        <v>36680</v>
      </c>
      <c r="E41" s="64">
        <v>7954</v>
      </c>
      <c r="F41" s="64">
        <f t="shared" si="0"/>
        <v>7954</v>
      </c>
    </row>
    <row r="42" spans="1:6" x14ac:dyDescent="0.2">
      <c r="A42" s="26">
        <v>36681</v>
      </c>
      <c r="E42" s="64">
        <v>19614</v>
      </c>
      <c r="F42" s="64">
        <f t="shared" si="0"/>
        <v>19614</v>
      </c>
    </row>
    <row r="43" spans="1:6" x14ac:dyDescent="0.2">
      <c r="A43" s="26">
        <v>36682</v>
      </c>
      <c r="B43" s="64">
        <v>1304600</v>
      </c>
      <c r="D43" s="64">
        <v>15510</v>
      </c>
      <c r="E43" s="64">
        <v>15572</v>
      </c>
      <c r="F43" s="64">
        <f t="shared" si="0"/>
        <v>62</v>
      </c>
    </row>
    <row r="44" spans="1:6" x14ac:dyDescent="0.2">
      <c r="A44" s="26">
        <v>36683</v>
      </c>
      <c r="B44" s="64">
        <v>1304801</v>
      </c>
      <c r="D44" s="64">
        <v>-27516</v>
      </c>
      <c r="E44" s="64">
        <v>-25573</v>
      </c>
      <c r="F44" s="64">
        <f t="shared" si="0"/>
        <v>1943</v>
      </c>
    </row>
    <row r="45" spans="1:6" x14ac:dyDescent="0.2">
      <c r="A45" s="26">
        <v>36684</v>
      </c>
      <c r="B45" s="64">
        <v>1287488</v>
      </c>
      <c r="D45" s="64">
        <v>2700</v>
      </c>
      <c r="E45" s="64">
        <v>2248</v>
      </c>
      <c r="F45" s="64">
        <f t="shared" si="0"/>
        <v>-452</v>
      </c>
    </row>
    <row r="46" spans="1:6" x14ac:dyDescent="0.2">
      <c r="A46" s="26">
        <v>36685</v>
      </c>
      <c r="B46" s="64">
        <v>1286827</v>
      </c>
      <c r="D46" s="64">
        <v>-10222</v>
      </c>
      <c r="E46" s="64">
        <v>-5370</v>
      </c>
      <c r="F46" s="64">
        <f t="shared" si="0"/>
        <v>4852</v>
      </c>
    </row>
    <row r="47" spans="1:6" x14ac:dyDescent="0.2">
      <c r="A47" s="26">
        <v>36686</v>
      </c>
      <c r="B47" s="64">
        <v>1274581</v>
      </c>
      <c r="D47" s="64">
        <v>-2580</v>
      </c>
      <c r="E47" s="64">
        <v>-499.55</v>
      </c>
      <c r="F47" s="64">
        <f t="shared" si="0"/>
        <v>2080.4499999999998</v>
      </c>
    </row>
    <row r="48" spans="1:6" x14ac:dyDescent="0.2">
      <c r="A48" s="26">
        <v>36687</v>
      </c>
      <c r="E48" s="64">
        <v>-19359.3</v>
      </c>
      <c r="F48" s="64">
        <f t="shared" si="0"/>
        <v>-19359.3</v>
      </c>
    </row>
    <row r="49" spans="1:6" x14ac:dyDescent="0.2">
      <c r="A49" s="26">
        <v>36688</v>
      </c>
      <c r="E49" s="64">
        <v>-4140.3</v>
      </c>
      <c r="F49" s="64">
        <f t="shared" si="0"/>
        <v>-4140.3</v>
      </c>
    </row>
    <row r="50" spans="1:6" x14ac:dyDescent="0.2">
      <c r="A50" s="26">
        <v>36689</v>
      </c>
      <c r="B50" s="64">
        <v>1248625</v>
      </c>
      <c r="D50" s="64">
        <v>4041</v>
      </c>
      <c r="E50" s="64">
        <v>-4436</v>
      </c>
      <c r="F50" s="64">
        <f t="shared" si="0"/>
        <v>-8477</v>
      </c>
    </row>
    <row r="51" spans="1:6" x14ac:dyDescent="0.2">
      <c r="A51" s="26">
        <v>36690</v>
      </c>
      <c r="B51" s="64">
        <v>1245473</v>
      </c>
      <c r="D51" s="64">
        <v>-76699.5</v>
      </c>
      <c r="E51" s="64">
        <v>-27912</v>
      </c>
      <c r="F51" s="64">
        <f t="shared" si="0"/>
        <v>48787.5</v>
      </c>
    </row>
    <row r="52" spans="1:6" x14ac:dyDescent="0.2">
      <c r="A52" s="26">
        <v>36691</v>
      </c>
      <c r="B52" s="64">
        <v>1205177</v>
      </c>
      <c r="D52" s="64">
        <v>-156667</v>
      </c>
      <c r="E52" s="64">
        <v>-126618</v>
      </c>
      <c r="F52" s="64">
        <f t="shared" si="0"/>
        <v>30049</v>
      </c>
    </row>
    <row r="53" spans="1:6" x14ac:dyDescent="0.2">
      <c r="A53" s="26">
        <v>36692</v>
      </c>
      <c r="B53" s="64">
        <v>1189921</v>
      </c>
      <c r="D53" s="64">
        <v>-14756</v>
      </c>
      <c r="E53" s="64">
        <v>-1594</v>
      </c>
      <c r="F53" s="64">
        <f t="shared" si="0"/>
        <v>13162</v>
      </c>
    </row>
    <row r="54" spans="1:6" x14ac:dyDescent="0.2">
      <c r="A54" s="26">
        <v>36693</v>
      </c>
      <c r="B54" s="64">
        <v>1182147</v>
      </c>
      <c r="D54" s="64">
        <v>-8067</v>
      </c>
      <c r="E54" s="64">
        <v>-26816.26</v>
      </c>
      <c r="F54" s="64">
        <f t="shared" si="0"/>
        <v>-18749.259999999998</v>
      </c>
    </row>
    <row r="55" spans="1:6" x14ac:dyDescent="0.2">
      <c r="A55" s="26">
        <v>36694</v>
      </c>
      <c r="E55" s="64">
        <v>-11760</v>
      </c>
      <c r="F55" s="64">
        <f t="shared" si="0"/>
        <v>-11760</v>
      </c>
    </row>
    <row r="56" spans="1:6" x14ac:dyDescent="0.2">
      <c r="A56" s="26">
        <v>36695</v>
      </c>
      <c r="E56" s="64">
        <v>-4042</v>
      </c>
      <c r="F56" s="64">
        <f t="shared" si="0"/>
        <v>-4042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"/>
  <sheetViews>
    <sheetView topLeftCell="A27" workbookViewId="0">
      <selection activeCell="E37" sqref="E37"/>
    </sheetView>
  </sheetViews>
  <sheetFormatPr defaultRowHeight="12.75" x14ac:dyDescent="0.2"/>
  <cols>
    <col min="1" max="1" width="13.28515625" customWidth="1"/>
    <col min="2" max="2" width="11.140625" customWidth="1"/>
    <col min="3" max="3" width="12.5703125" customWidth="1"/>
    <col min="4" max="4" width="15.28515625" customWidth="1"/>
    <col min="5" max="5" width="14.42578125" customWidth="1"/>
    <col min="7" max="8" width="13.7109375" customWidth="1"/>
    <col min="9" max="9" width="17" customWidth="1"/>
    <col min="10" max="10" width="7.5703125" customWidth="1"/>
    <col min="11" max="11" width="15.140625" customWidth="1"/>
    <col min="12" max="12" width="14.28515625" customWidth="1"/>
    <col min="13" max="13" width="5.7109375" customWidth="1"/>
    <col min="14" max="14" width="12.5703125" customWidth="1"/>
    <col min="15" max="15" width="14.5703125" customWidth="1"/>
    <col min="16" max="16" width="13.5703125" customWidth="1"/>
    <col min="18" max="18" width="16.28515625" customWidth="1"/>
    <col min="19" max="19" width="13.85546875" customWidth="1"/>
    <col min="20" max="20" width="16.5703125" customWidth="1"/>
    <col min="21" max="23" width="17" customWidth="1"/>
    <col min="24" max="24" width="12.28515625" customWidth="1"/>
    <col min="25" max="25" width="11" customWidth="1"/>
    <col min="26" max="26" width="10.42578125" customWidth="1"/>
    <col min="27" max="27" width="11.140625" customWidth="1"/>
    <col min="28" max="28" width="13.28515625" customWidth="1"/>
    <col min="32" max="32" width="10.85546875" customWidth="1"/>
    <col min="33" max="33" width="11.7109375" bestFit="1" customWidth="1"/>
    <col min="34" max="34" width="12.140625" customWidth="1"/>
    <col min="35" max="35" width="12.28515625" customWidth="1"/>
    <col min="36" max="36" width="11.7109375" customWidth="1"/>
    <col min="37" max="37" width="10" customWidth="1"/>
    <col min="38" max="38" width="12.28515625" customWidth="1"/>
  </cols>
  <sheetData>
    <row r="1" spans="1:38" ht="15" x14ac:dyDescent="0.2">
      <c r="A1" s="149" t="s">
        <v>278</v>
      </c>
    </row>
    <row r="2" spans="1:38" x14ac:dyDescent="0.2">
      <c r="A2" t="s">
        <v>394</v>
      </c>
      <c r="B2" s="141">
        <f ca="1">TODAY()</f>
        <v>36696</v>
      </c>
    </row>
    <row r="3" spans="1:38" x14ac:dyDescent="0.2">
      <c r="D3" s="6" t="s">
        <v>107</v>
      </c>
      <c r="E3" s="6"/>
      <c r="G3" t="s">
        <v>110</v>
      </c>
      <c r="K3" t="s">
        <v>114</v>
      </c>
      <c r="N3" t="s">
        <v>115</v>
      </c>
      <c r="R3" t="s">
        <v>294</v>
      </c>
    </row>
    <row r="4" spans="1:38" x14ac:dyDescent="0.2">
      <c r="D4" s="6"/>
      <c r="E4" s="6"/>
      <c r="U4" t="s">
        <v>351</v>
      </c>
    </row>
    <row r="5" spans="1:38" x14ac:dyDescent="0.2">
      <c r="A5" t="s">
        <v>118</v>
      </c>
      <c r="D5" s="6">
        <f>SUM(D8:D36)</f>
        <v>384</v>
      </c>
      <c r="E5" s="6">
        <f>SUM(E8:E36)</f>
        <v>312</v>
      </c>
      <c r="K5" s="6">
        <f ca="1">SUM(K8:K36)</f>
        <v>128</v>
      </c>
      <c r="L5" s="6">
        <f ca="1">SUM(L8:L36)</f>
        <v>112</v>
      </c>
      <c r="N5" s="6">
        <f ca="1">SUM(N8:N38)</f>
        <v>143</v>
      </c>
      <c r="O5" s="6">
        <f ca="1">SUM(O8:O38)</f>
        <v>88</v>
      </c>
      <c r="P5" s="6" t="e">
        <f ca="1">SUM(P8:P38)</f>
        <v>#REF!</v>
      </c>
      <c r="X5" t="s">
        <v>298</v>
      </c>
      <c r="AD5" t="s">
        <v>395</v>
      </c>
      <c r="AH5" t="s">
        <v>226</v>
      </c>
    </row>
    <row r="6" spans="1:38" x14ac:dyDescent="0.2">
      <c r="A6" t="s">
        <v>9</v>
      </c>
      <c r="D6" s="6">
        <f>COUNTIF(D8:D36,"&gt;0")</f>
        <v>24</v>
      </c>
      <c r="E6" s="6">
        <f>COUNT(E8:E36)-D6</f>
        <v>5</v>
      </c>
      <c r="G6" s="6">
        <f>COUNTIF(G8:G36,"&gt;0")</f>
        <v>29</v>
      </c>
      <c r="H6" s="6"/>
      <c r="I6" s="6" t="s">
        <v>4</v>
      </c>
      <c r="K6" s="6">
        <f ca="1">COUNTIF(K8:K36,"&gt;0")</f>
        <v>8</v>
      </c>
      <c r="L6" s="6">
        <f ca="1">COUNTIF(L8:L36,"=24")</f>
        <v>2</v>
      </c>
      <c r="N6" s="6">
        <f ca="1">COUNTIF(N8:N38,"&gt;0")</f>
        <v>11</v>
      </c>
      <c r="O6" s="6" t="s">
        <v>4</v>
      </c>
      <c r="P6" s="6">
        <f ca="1">COUNTIF(P8:P38,"&gt;0")</f>
        <v>0</v>
      </c>
      <c r="X6" t="s">
        <v>295</v>
      </c>
      <c r="Y6" t="s">
        <v>296</v>
      </c>
      <c r="Z6" t="s">
        <v>297</v>
      </c>
    </row>
    <row r="7" spans="1:38" ht="25.5" x14ac:dyDescent="0.2">
      <c r="A7" t="s">
        <v>103</v>
      </c>
      <c r="B7" t="s">
        <v>104</v>
      </c>
      <c r="C7" t="s">
        <v>105</v>
      </c>
      <c r="D7" s="9" t="s">
        <v>108</v>
      </c>
      <c r="E7" s="9" t="s">
        <v>109</v>
      </c>
      <c r="G7" s="212" t="s">
        <v>391</v>
      </c>
      <c r="H7" s="212" t="s">
        <v>392</v>
      </c>
      <c r="I7" s="212" t="s">
        <v>393</v>
      </c>
      <c r="J7" s="9"/>
      <c r="K7" s="9" t="s">
        <v>108</v>
      </c>
      <c r="L7" s="9" t="s">
        <v>109</v>
      </c>
      <c r="N7" s="9" t="s">
        <v>111</v>
      </c>
      <c r="O7" s="9" t="s">
        <v>112</v>
      </c>
      <c r="P7" s="9" t="s">
        <v>113</v>
      </c>
      <c r="R7" s="212" t="s">
        <v>391</v>
      </c>
      <c r="S7" s="212" t="s">
        <v>392</v>
      </c>
      <c r="T7" s="212" t="s">
        <v>393</v>
      </c>
      <c r="U7" t="s">
        <v>358</v>
      </c>
      <c r="V7" t="s">
        <v>359</v>
      </c>
      <c r="X7" t="s">
        <v>358</v>
      </c>
      <c r="Y7" t="s">
        <v>356</v>
      </c>
      <c r="Z7" t="s">
        <v>357</v>
      </c>
      <c r="AA7" t="s">
        <v>358</v>
      </c>
      <c r="AB7" t="s">
        <v>359</v>
      </c>
      <c r="AD7" t="s">
        <v>127</v>
      </c>
      <c r="AE7" t="s">
        <v>19</v>
      </c>
      <c r="AF7" t="s">
        <v>299</v>
      </c>
      <c r="AH7" t="s">
        <v>358</v>
      </c>
      <c r="AI7" t="s">
        <v>356</v>
      </c>
      <c r="AJ7" t="s">
        <v>357</v>
      </c>
      <c r="AK7" t="s">
        <v>358</v>
      </c>
      <c r="AL7" t="s">
        <v>359</v>
      </c>
    </row>
    <row r="8" spans="1:38" x14ac:dyDescent="0.2">
      <c r="A8" s="26">
        <v>36678</v>
      </c>
      <c r="B8" s="54">
        <f>WEEKDAY(A8)</f>
        <v>5</v>
      </c>
      <c r="C8" t="s">
        <v>106</v>
      </c>
      <c r="D8">
        <f>IF(C8="Y",0,IF(B8=1,0,16))</f>
        <v>16</v>
      </c>
      <c r="E8">
        <f>24-D8</f>
        <v>8</v>
      </c>
      <c r="G8" s="5">
        <f>13</f>
        <v>13</v>
      </c>
      <c r="H8" s="5">
        <v>3</v>
      </c>
      <c r="I8" s="5">
        <v>8</v>
      </c>
      <c r="K8">
        <f ca="1">IF($A8&gt;external_curves!$B$2,ROM_hrs!D8,0)</f>
        <v>0</v>
      </c>
      <c r="L8">
        <f ca="1">IF($A8&gt;external_curves!$B$2,ROM_hrs!E8,0)</f>
        <v>0</v>
      </c>
      <c r="N8">
        <f ca="1">IF($A8&gt;external_curves!$B$2,ROM_hrs!G8,0)</f>
        <v>0</v>
      </c>
      <c r="O8">
        <f ca="1">IF($A8&gt;external_curves!$B$2,ROM_hrs!I8,0)</f>
        <v>0</v>
      </c>
      <c r="P8">
        <f ca="1">IF($A8&gt;external_curves!$B$2,ROM_hrs!#REF!,0)</f>
        <v>0</v>
      </c>
      <c r="R8">
        <f ca="1">IF(N8=0,0,(N8-3)*Trades!$G$10)</f>
        <v>0</v>
      </c>
      <c r="S8">
        <f ca="1">Trades!$Q$10*(SUM(N8:P8))</f>
        <v>0</v>
      </c>
      <c r="T8">
        <f ca="1">Trades!$AC$10*(SUM(N8:P8))</f>
        <v>0</v>
      </c>
      <c r="U8">
        <f ca="1">(S8+T8)+R8</f>
        <v>0</v>
      </c>
      <c r="V8">
        <f ca="1">IF(OR(ROM_hrs!B8=1,ROM_hrs!B8=7),Trades!$U$10*(P8),IF(O8+P8=0,0,(Trades!$U$10*(ROM_hrs!O8+3))))</f>
        <v>0</v>
      </c>
      <c r="X8" s="12">
        <f ca="1">Trades!$H$10</f>
        <v>36.630000000000003</v>
      </c>
      <c r="Y8" s="12">
        <f ca="1">Trades!$R$10</f>
        <v>34.5</v>
      </c>
      <c r="Z8" s="12">
        <f ca="1">AVERAGE(Trades!$AD$10)</f>
        <v>44.5</v>
      </c>
      <c r="AA8" s="12">
        <f ca="1">Trades!$V$10</f>
        <v>47</v>
      </c>
      <c r="AB8" s="12">
        <f ca="1">Trades!$V$10</f>
        <v>47</v>
      </c>
      <c r="AD8" s="33">
        <f ca="1">Trades!$Q$47</f>
        <v>54.85</v>
      </c>
      <c r="AE8" s="33">
        <f ca="1">Trades!$P$47</f>
        <v>52.053935185185182</v>
      </c>
      <c r="AF8" s="33">
        <f ca="1">Trades!$S$47</f>
        <v>42</v>
      </c>
      <c r="AH8" s="33">
        <f ca="1">R8*(AD8-X8)</f>
        <v>0</v>
      </c>
      <c r="AI8" s="33">
        <f ca="1">(S8*(AE8-Y8))</f>
        <v>0</v>
      </c>
      <c r="AJ8" s="33">
        <f ca="1">(T8*(AE8-Z8))</f>
        <v>0</v>
      </c>
      <c r="AK8" s="33">
        <f ca="1">U8*(AD8-AA8)</f>
        <v>0</v>
      </c>
      <c r="AL8" s="33">
        <f ca="1">V8*(AF8-AB8)</f>
        <v>0</v>
      </c>
    </row>
    <row r="9" spans="1:38" x14ac:dyDescent="0.2">
      <c r="A9" s="26">
        <v>36679</v>
      </c>
      <c r="B9" s="54">
        <f t="shared" ref="B9:B37" si="0">WEEKDAY(A9)</f>
        <v>6</v>
      </c>
      <c r="C9" t="s">
        <v>106</v>
      </c>
      <c r="D9">
        <f t="shared" ref="D9:D36" si="1">IF(C9="Y",0,IF(B9=1,0,16))</f>
        <v>16</v>
      </c>
      <c r="E9">
        <f t="shared" ref="E9:E37" si="2">24-D9</f>
        <v>8</v>
      </c>
      <c r="G9" s="5">
        <f>13</f>
        <v>13</v>
      </c>
      <c r="H9" s="5">
        <v>3</v>
      </c>
      <c r="I9" s="5">
        <v>8</v>
      </c>
      <c r="K9">
        <f ca="1">IF($A9&gt;external_curves!$B$2,ROM_hrs!D9,0)</f>
        <v>0</v>
      </c>
      <c r="L9">
        <f ca="1">IF($A9&gt;external_curves!$B$2,ROM_hrs!E9,0)</f>
        <v>0</v>
      </c>
      <c r="N9">
        <f ca="1">IF($A9&gt;external_curves!$B$2,ROM_hrs!G9,0)</f>
        <v>0</v>
      </c>
      <c r="O9">
        <f ca="1">IF($A9&gt;external_curves!$B$2,ROM_hrs!I9,0)</f>
        <v>0</v>
      </c>
      <c r="P9">
        <f ca="1">IF($A9&gt;external_curves!$B$2,ROM_hrs!#REF!,0)</f>
        <v>0</v>
      </c>
      <c r="R9">
        <f ca="1">IF(N9=0,0,(N9-3)*Trades!$G$10)</f>
        <v>0</v>
      </c>
      <c r="S9">
        <f ca="1">Trades!$Q$10*(SUM(N9:P9))</f>
        <v>0</v>
      </c>
      <c r="T9">
        <f ca="1">Trades!$AC$10*(SUM(N9:P9))</f>
        <v>0</v>
      </c>
      <c r="U9">
        <f t="shared" ref="U9:U22" ca="1" si="3">(S9+T9)+R9</f>
        <v>0</v>
      </c>
      <c r="V9">
        <f ca="1">IF(OR(ROM_hrs!B9=1,ROM_hrs!B9=7),Trades!$U$10*(P9),IF(O9+P9=0,0,(Trades!$U$10*(ROM_hrs!O9+3))))</f>
        <v>0</v>
      </c>
      <c r="X9" s="12">
        <f ca="1">Trades!$H$10</f>
        <v>36.630000000000003</v>
      </c>
      <c r="Y9" s="12">
        <f ca="1">Trades!$R$10</f>
        <v>34.5</v>
      </c>
      <c r="Z9" s="12">
        <f ca="1">AVERAGE(Trades!$AD$10)</f>
        <v>44.5</v>
      </c>
      <c r="AA9" s="12">
        <f ca="1">Trades!$V$10</f>
        <v>47</v>
      </c>
      <c r="AB9" s="12">
        <f ca="1">Trades!$V$10</f>
        <v>47</v>
      </c>
      <c r="AD9" s="33">
        <f ca="1">Trades!$Q$47</f>
        <v>54.85</v>
      </c>
      <c r="AE9" s="33">
        <f ca="1">Trades!$P$47</f>
        <v>52.053935185185182</v>
      </c>
      <c r="AF9" s="33">
        <f ca="1">Trades!$S$47</f>
        <v>42</v>
      </c>
      <c r="AH9" s="33">
        <f t="shared" ref="AH9:AH37" ca="1" si="4">R9*(AD9-X9)</f>
        <v>0</v>
      </c>
      <c r="AI9" s="33">
        <f t="shared" ref="AI9:AI37" ca="1" si="5">(S9*(AE9-Y9))</f>
        <v>0</v>
      </c>
      <c r="AJ9" s="33">
        <f t="shared" ref="AJ9:AJ37" ca="1" si="6">(T9*(AE9-Z9))</f>
        <v>0</v>
      </c>
      <c r="AK9" s="33">
        <f t="shared" ref="AK9:AK37" ca="1" si="7">U9*(AD9-AA9)</f>
        <v>0</v>
      </c>
      <c r="AL9" s="33">
        <f t="shared" ref="AL9:AL37" ca="1" si="8">V9*(AF9-AB9)</f>
        <v>0</v>
      </c>
    </row>
    <row r="10" spans="1:38" x14ac:dyDescent="0.2">
      <c r="A10" s="26">
        <v>36680</v>
      </c>
      <c r="B10" s="54">
        <f t="shared" si="0"/>
        <v>7</v>
      </c>
      <c r="C10" t="s">
        <v>106</v>
      </c>
      <c r="D10">
        <f t="shared" si="1"/>
        <v>16</v>
      </c>
      <c r="E10">
        <f t="shared" si="2"/>
        <v>8</v>
      </c>
      <c r="G10" s="5">
        <f>13</f>
        <v>13</v>
      </c>
      <c r="H10" s="5">
        <v>3</v>
      </c>
      <c r="I10" s="5">
        <v>8</v>
      </c>
      <c r="K10">
        <f ca="1">IF($A10&gt;external_curves!$B$2,ROM_hrs!D10,0)</f>
        <v>0</v>
      </c>
      <c r="L10">
        <f ca="1">IF($A10&gt;external_curves!$B$2,ROM_hrs!E10,0)</f>
        <v>0</v>
      </c>
      <c r="N10">
        <f ca="1">IF($A10&gt;external_curves!$B$2,ROM_hrs!G10,0)</f>
        <v>0</v>
      </c>
      <c r="O10">
        <f ca="1">IF($A10&gt;external_curves!$B$2,ROM_hrs!I10,0)</f>
        <v>0</v>
      </c>
      <c r="P10">
        <f ca="1">IF($A10&gt;external_curves!$B$2,ROM_hrs!#REF!,0)</f>
        <v>0</v>
      </c>
      <c r="R10">
        <f ca="1">IF(N10=0,0,(N10-3)*Trades!$G$10)</f>
        <v>0</v>
      </c>
      <c r="S10">
        <f ca="1">Trades!$Q$10*(SUM(N10:P10))</f>
        <v>0</v>
      </c>
      <c r="T10">
        <f ca="1">Trades!$AC$10*(SUM(N10:P10))</f>
        <v>0</v>
      </c>
      <c r="U10">
        <f t="shared" ca="1" si="3"/>
        <v>0</v>
      </c>
      <c r="V10">
        <f ca="1">IF(OR(ROM_hrs!B10=1,ROM_hrs!B10=7),Trades!$U$10*(P10),IF(O10+P10=0,0,(Trades!$U$10*(ROM_hrs!O10+3))))</f>
        <v>0</v>
      </c>
      <c r="X10" s="12">
        <f ca="1">Trades!$H$10</f>
        <v>36.630000000000003</v>
      </c>
      <c r="Y10" s="12">
        <f ca="1">Trades!$R$10</f>
        <v>34.5</v>
      </c>
      <c r="Z10" s="12">
        <f ca="1">AVERAGE(Trades!$AD$10)</f>
        <v>44.5</v>
      </c>
      <c r="AA10" s="12">
        <f ca="1">Trades!$V$10</f>
        <v>47</v>
      </c>
      <c r="AB10" s="12">
        <f ca="1">Trades!$V$10</f>
        <v>47</v>
      </c>
      <c r="AD10" s="33">
        <f ca="1">Trades!$Q$47</f>
        <v>54.85</v>
      </c>
      <c r="AE10" s="33">
        <f ca="1">Trades!$P$47</f>
        <v>52.053935185185182</v>
      </c>
      <c r="AF10" s="33">
        <f ca="1">Trades!$S$47</f>
        <v>42</v>
      </c>
      <c r="AH10" s="33">
        <f t="shared" ca="1" si="4"/>
        <v>0</v>
      </c>
      <c r="AI10" s="33">
        <f t="shared" ca="1" si="5"/>
        <v>0</v>
      </c>
      <c r="AJ10" s="33">
        <f t="shared" ca="1" si="6"/>
        <v>0</v>
      </c>
      <c r="AK10" s="33">
        <f t="shared" ca="1" si="7"/>
        <v>0</v>
      </c>
      <c r="AL10" s="33">
        <f t="shared" ca="1" si="8"/>
        <v>0</v>
      </c>
    </row>
    <row r="11" spans="1:38" x14ac:dyDescent="0.2">
      <c r="A11" s="26">
        <v>36681</v>
      </c>
      <c r="B11" s="54">
        <f t="shared" si="0"/>
        <v>1</v>
      </c>
      <c r="C11" t="s">
        <v>106</v>
      </c>
      <c r="D11">
        <f t="shared" si="1"/>
        <v>0</v>
      </c>
      <c r="E11">
        <f t="shared" si="2"/>
        <v>24</v>
      </c>
      <c r="G11" s="5">
        <f>13</f>
        <v>13</v>
      </c>
      <c r="H11" s="5">
        <v>3</v>
      </c>
      <c r="I11" s="5">
        <v>8</v>
      </c>
      <c r="K11">
        <f ca="1">IF($A11&gt;external_curves!$B$2,ROM_hrs!D11,0)</f>
        <v>0</v>
      </c>
      <c r="L11">
        <f ca="1">IF($A11&gt;external_curves!$B$2,ROM_hrs!E11,0)</f>
        <v>0</v>
      </c>
      <c r="N11">
        <f ca="1">IF($A11&gt;external_curves!$B$2,ROM_hrs!G11,0)</f>
        <v>0</v>
      </c>
      <c r="O11">
        <f ca="1">IF($A11&gt;external_curves!$B$2,ROM_hrs!I11,0)</f>
        <v>0</v>
      </c>
      <c r="P11">
        <f ca="1">IF($A11&gt;external_curves!$B$2,ROM_hrs!#REF!,0)</f>
        <v>0</v>
      </c>
      <c r="R11">
        <f ca="1">IF(N11=0,0,(N11-3)*Trades!$G$10)</f>
        <v>0</v>
      </c>
      <c r="S11">
        <f ca="1">Trades!$Q$10*(SUM(N11:P11))</f>
        <v>0</v>
      </c>
      <c r="T11">
        <f ca="1">Trades!$AC$10*(SUM(N11:P11))</f>
        <v>0</v>
      </c>
      <c r="U11">
        <f t="shared" ca="1" si="3"/>
        <v>0</v>
      </c>
      <c r="V11">
        <f ca="1">IF(OR(ROM_hrs!B11=1,ROM_hrs!B11=7),Trades!$U$10*(P11),IF(O11+P11=0,0,(Trades!$U$10*(ROM_hrs!O11+3))))</f>
        <v>0</v>
      </c>
      <c r="X11" s="12">
        <f ca="1">Trades!$H$10</f>
        <v>36.630000000000003</v>
      </c>
      <c r="Y11" s="12">
        <f ca="1">Trades!$R$10</f>
        <v>34.5</v>
      </c>
      <c r="Z11" s="12">
        <f ca="1">AVERAGE(Trades!$AD$10)</f>
        <v>44.5</v>
      </c>
      <c r="AA11" s="12">
        <f ca="1">Trades!$V$10</f>
        <v>47</v>
      </c>
      <c r="AB11" s="12">
        <f ca="1">Trades!$V$10</f>
        <v>47</v>
      </c>
      <c r="AD11" s="33">
        <f ca="1">Trades!$Q$47</f>
        <v>54.85</v>
      </c>
      <c r="AE11" s="33">
        <f ca="1">Trades!$P$47</f>
        <v>52.053935185185182</v>
      </c>
      <c r="AF11" s="33">
        <f ca="1">Trades!$S$47</f>
        <v>42</v>
      </c>
      <c r="AH11" s="33">
        <f t="shared" ca="1" si="4"/>
        <v>0</v>
      </c>
      <c r="AI11" s="33">
        <f t="shared" ca="1" si="5"/>
        <v>0</v>
      </c>
      <c r="AJ11" s="33">
        <f t="shared" ca="1" si="6"/>
        <v>0</v>
      </c>
      <c r="AK11" s="33">
        <f t="shared" ca="1" si="7"/>
        <v>0</v>
      </c>
      <c r="AL11" s="33">
        <f t="shared" ca="1" si="8"/>
        <v>0</v>
      </c>
    </row>
    <row r="12" spans="1:38" x14ac:dyDescent="0.2">
      <c r="A12" s="26">
        <v>36682</v>
      </c>
      <c r="B12" s="54">
        <f t="shared" si="0"/>
        <v>2</v>
      </c>
      <c r="C12" t="s">
        <v>106</v>
      </c>
      <c r="D12">
        <f t="shared" si="1"/>
        <v>16</v>
      </c>
      <c r="E12">
        <f t="shared" si="2"/>
        <v>8</v>
      </c>
      <c r="G12" s="5">
        <f>13</f>
        <v>13</v>
      </c>
      <c r="H12" s="5">
        <v>3</v>
      </c>
      <c r="I12" s="5">
        <v>8</v>
      </c>
      <c r="K12">
        <f ca="1">IF($A12&gt;external_curves!$B$2,ROM_hrs!D12,0)</f>
        <v>0</v>
      </c>
      <c r="L12">
        <f ca="1">IF($A12&gt;external_curves!$B$2,ROM_hrs!E12,0)</f>
        <v>0</v>
      </c>
      <c r="N12">
        <f ca="1">IF($A12&gt;external_curves!$B$2,ROM_hrs!G12,0)</f>
        <v>0</v>
      </c>
      <c r="O12">
        <f ca="1">IF($A12&gt;external_curves!$B$2,ROM_hrs!I12,0)</f>
        <v>0</v>
      </c>
      <c r="P12">
        <f ca="1">IF($A12&gt;external_curves!$B$2,ROM_hrs!#REF!,0)</f>
        <v>0</v>
      </c>
      <c r="R12">
        <f ca="1">IF(N12=0,0,(N12-3)*Trades!$G$10)</f>
        <v>0</v>
      </c>
      <c r="S12">
        <f ca="1">Trades!$Q$10*(SUM(N12:P12))</f>
        <v>0</v>
      </c>
      <c r="T12">
        <f ca="1">Trades!$AC$10*(SUM(N12:P12))</f>
        <v>0</v>
      </c>
      <c r="U12">
        <f t="shared" ca="1" si="3"/>
        <v>0</v>
      </c>
      <c r="V12">
        <f ca="1">IF(OR(ROM_hrs!B12=1,ROM_hrs!B12=7),Trades!$U$10*(P12),IF(O12+P12=0,0,(Trades!$U$10*(ROM_hrs!O12+3))))</f>
        <v>0</v>
      </c>
      <c r="X12" s="12">
        <f ca="1">Trades!$H$10</f>
        <v>36.630000000000003</v>
      </c>
      <c r="Y12" s="12">
        <f ca="1">Trades!$R$10</f>
        <v>34.5</v>
      </c>
      <c r="Z12" s="12">
        <f ca="1">AVERAGE(Trades!$AD$10)</f>
        <v>44.5</v>
      </c>
      <c r="AA12" s="12">
        <f ca="1">Trades!$V$10</f>
        <v>47</v>
      </c>
      <c r="AB12" s="12">
        <f ca="1">Trades!$V$10</f>
        <v>47</v>
      </c>
      <c r="AD12" s="33">
        <f ca="1">Trades!$Q$47</f>
        <v>54.85</v>
      </c>
      <c r="AE12" s="33">
        <f ca="1">Trades!$P$47</f>
        <v>52.053935185185182</v>
      </c>
      <c r="AF12" s="33">
        <f ca="1">Trades!$S$47</f>
        <v>42</v>
      </c>
      <c r="AH12" s="33">
        <f t="shared" ca="1" si="4"/>
        <v>0</v>
      </c>
      <c r="AI12" s="33">
        <f t="shared" ca="1" si="5"/>
        <v>0</v>
      </c>
      <c r="AJ12" s="33">
        <f t="shared" ca="1" si="6"/>
        <v>0</v>
      </c>
      <c r="AK12" s="33">
        <f t="shared" ca="1" si="7"/>
        <v>0</v>
      </c>
      <c r="AL12" s="33">
        <f t="shared" ca="1" si="8"/>
        <v>0</v>
      </c>
    </row>
    <row r="13" spans="1:38" x14ac:dyDescent="0.2">
      <c r="A13" s="26">
        <v>36683</v>
      </c>
      <c r="B13" s="54">
        <f t="shared" si="0"/>
        <v>3</v>
      </c>
      <c r="C13" t="s">
        <v>106</v>
      </c>
      <c r="D13">
        <f t="shared" si="1"/>
        <v>16</v>
      </c>
      <c r="E13">
        <f t="shared" si="2"/>
        <v>8</v>
      </c>
      <c r="G13" s="5">
        <f>13</f>
        <v>13</v>
      </c>
      <c r="H13" s="5">
        <v>3</v>
      </c>
      <c r="I13" s="5">
        <v>8</v>
      </c>
      <c r="K13">
        <f ca="1">IF($A13&gt;external_curves!$B$2,ROM_hrs!D13,0)</f>
        <v>0</v>
      </c>
      <c r="L13">
        <f ca="1">IF($A13&gt;external_curves!$B$2,ROM_hrs!E13,0)</f>
        <v>0</v>
      </c>
      <c r="N13">
        <f ca="1">IF($A13&gt;external_curves!$B$2,ROM_hrs!G13,0)</f>
        <v>0</v>
      </c>
      <c r="O13">
        <f ca="1">IF($A13&gt;external_curves!$B$2,ROM_hrs!I13,0)</f>
        <v>0</v>
      </c>
      <c r="P13">
        <f ca="1">IF($A13&gt;external_curves!$B$2,ROM_hrs!#REF!,0)</f>
        <v>0</v>
      </c>
      <c r="R13">
        <f ca="1">IF(N13=0,0,(N13-3)*Trades!$G$10)</f>
        <v>0</v>
      </c>
      <c r="S13">
        <f ca="1">Trades!$Q$10*(SUM(N13:P13))</f>
        <v>0</v>
      </c>
      <c r="T13">
        <f ca="1">Trades!$AC$10*(SUM(N13:P13))</f>
        <v>0</v>
      </c>
      <c r="U13">
        <f t="shared" ca="1" si="3"/>
        <v>0</v>
      </c>
      <c r="V13">
        <f ca="1">IF(OR(ROM_hrs!B13=1,ROM_hrs!B13=7),Trades!$U$10*(P13),IF(O13+P13=0,0,(Trades!$U$10*(ROM_hrs!O13+3))))</f>
        <v>0</v>
      </c>
      <c r="X13" s="12">
        <f ca="1">Trades!$H$10</f>
        <v>36.630000000000003</v>
      </c>
      <c r="Y13" s="12">
        <f ca="1">Trades!$R$10</f>
        <v>34.5</v>
      </c>
      <c r="Z13" s="12">
        <f ca="1">AVERAGE(Trades!$AD$10)</f>
        <v>44.5</v>
      </c>
      <c r="AA13" s="12">
        <f ca="1">Trades!$V$10</f>
        <v>47</v>
      </c>
      <c r="AB13" s="12">
        <f ca="1">Trades!$V$10</f>
        <v>47</v>
      </c>
      <c r="AD13" s="33">
        <f ca="1">Trades!$Q$47</f>
        <v>54.85</v>
      </c>
      <c r="AE13" s="33">
        <f ca="1">Trades!$P$47</f>
        <v>52.053935185185182</v>
      </c>
      <c r="AF13" s="33">
        <f ca="1">Trades!$S$47</f>
        <v>42</v>
      </c>
      <c r="AH13" s="33">
        <f t="shared" ca="1" si="4"/>
        <v>0</v>
      </c>
      <c r="AI13" s="33">
        <f t="shared" ca="1" si="5"/>
        <v>0</v>
      </c>
      <c r="AJ13" s="33">
        <f t="shared" ca="1" si="6"/>
        <v>0</v>
      </c>
      <c r="AK13" s="33">
        <f t="shared" ca="1" si="7"/>
        <v>0</v>
      </c>
      <c r="AL13" s="33">
        <f t="shared" ca="1" si="8"/>
        <v>0</v>
      </c>
    </row>
    <row r="14" spans="1:38" x14ac:dyDescent="0.2">
      <c r="A14" s="26">
        <v>36684</v>
      </c>
      <c r="B14" s="54">
        <f t="shared" si="0"/>
        <v>4</v>
      </c>
      <c r="C14" t="s">
        <v>106</v>
      </c>
      <c r="D14">
        <f t="shared" si="1"/>
        <v>16</v>
      </c>
      <c r="E14">
        <f t="shared" si="2"/>
        <v>8</v>
      </c>
      <c r="G14" s="5">
        <f>13</f>
        <v>13</v>
      </c>
      <c r="H14" s="5">
        <v>3</v>
      </c>
      <c r="I14" s="5">
        <v>8</v>
      </c>
      <c r="K14">
        <f ca="1">IF($A14&gt;external_curves!$B$2,ROM_hrs!D14,0)</f>
        <v>0</v>
      </c>
      <c r="L14">
        <f ca="1">IF($A14&gt;external_curves!$B$2,ROM_hrs!E14,0)</f>
        <v>0</v>
      </c>
      <c r="N14">
        <f ca="1">IF($A14&gt;external_curves!$B$2,ROM_hrs!G14,0)</f>
        <v>0</v>
      </c>
      <c r="O14">
        <f ca="1">IF($A14&gt;external_curves!$B$2,ROM_hrs!I14,0)</f>
        <v>0</v>
      </c>
      <c r="P14">
        <f ca="1">IF($A14&gt;external_curves!$B$2,ROM_hrs!#REF!,0)</f>
        <v>0</v>
      </c>
      <c r="R14">
        <f ca="1">IF(N14=0,0,(N14-3)*Trades!$G$10)</f>
        <v>0</v>
      </c>
      <c r="S14">
        <f ca="1">Trades!$Q$10*(SUM(N14:P14))</f>
        <v>0</v>
      </c>
      <c r="T14">
        <f ca="1">Trades!$AC$10*(SUM(N14:P14))</f>
        <v>0</v>
      </c>
      <c r="U14">
        <f t="shared" ca="1" si="3"/>
        <v>0</v>
      </c>
      <c r="V14">
        <f ca="1">IF(OR(ROM_hrs!B14=1,ROM_hrs!B14=7),Trades!$U$10*(P14),IF(O14+P14=0,0,(Trades!$U$10*(ROM_hrs!O14+3))))</f>
        <v>0</v>
      </c>
      <c r="X14" s="12">
        <f ca="1">Trades!$H$10</f>
        <v>36.630000000000003</v>
      </c>
      <c r="Y14" s="12">
        <f ca="1">Trades!$R$10</f>
        <v>34.5</v>
      </c>
      <c r="Z14" s="12">
        <f ca="1">AVERAGE(Trades!$AD$10)</f>
        <v>44.5</v>
      </c>
      <c r="AA14" s="12">
        <f ca="1">Trades!$V$10</f>
        <v>47</v>
      </c>
      <c r="AB14" s="12">
        <f ca="1">Trades!$V$10</f>
        <v>47</v>
      </c>
      <c r="AD14" s="33">
        <f ca="1">Trades!$Q$47</f>
        <v>54.85</v>
      </c>
      <c r="AE14" s="33">
        <f ca="1">Trades!$P$47</f>
        <v>52.053935185185182</v>
      </c>
      <c r="AF14" s="33">
        <f ca="1">Trades!$S$47</f>
        <v>42</v>
      </c>
      <c r="AH14" s="33">
        <f t="shared" ca="1" si="4"/>
        <v>0</v>
      </c>
      <c r="AI14" s="33">
        <f t="shared" ca="1" si="5"/>
        <v>0</v>
      </c>
      <c r="AJ14" s="33">
        <f t="shared" ca="1" si="6"/>
        <v>0</v>
      </c>
      <c r="AK14" s="33">
        <f t="shared" ca="1" si="7"/>
        <v>0</v>
      </c>
      <c r="AL14" s="33">
        <f t="shared" ca="1" si="8"/>
        <v>0</v>
      </c>
    </row>
    <row r="15" spans="1:38" x14ac:dyDescent="0.2">
      <c r="A15" s="26">
        <v>36685</v>
      </c>
      <c r="B15" s="54">
        <f t="shared" si="0"/>
        <v>5</v>
      </c>
      <c r="C15" t="s">
        <v>106</v>
      </c>
      <c r="D15">
        <f t="shared" si="1"/>
        <v>16</v>
      </c>
      <c r="E15">
        <f t="shared" si="2"/>
        <v>8</v>
      </c>
      <c r="G15" s="5">
        <f>13</f>
        <v>13</v>
      </c>
      <c r="H15" s="5">
        <v>3</v>
      </c>
      <c r="I15" s="5">
        <v>8</v>
      </c>
      <c r="K15">
        <f ca="1">IF($A15&gt;external_curves!$B$2,ROM_hrs!D15,0)</f>
        <v>0</v>
      </c>
      <c r="L15">
        <f ca="1">IF($A15&gt;external_curves!$B$2,ROM_hrs!E15,0)</f>
        <v>0</v>
      </c>
      <c r="N15">
        <f ca="1">IF($A15&gt;external_curves!$B$2,ROM_hrs!G15,0)</f>
        <v>0</v>
      </c>
      <c r="O15">
        <f ca="1">IF($A15&gt;external_curves!$B$2,ROM_hrs!I15,0)</f>
        <v>0</v>
      </c>
      <c r="P15">
        <f ca="1">IF($A15&gt;external_curves!$B$2,ROM_hrs!#REF!,0)</f>
        <v>0</v>
      </c>
      <c r="R15">
        <f ca="1">IF(N15=0,0,(N15-3)*Trades!$G$10)</f>
        <v>0</v>
      </c>
      <c r="S15">
        <f ca="1">Trades!$Q$10*(SUM(N15:P15))</f>
        <v>0</v>
      </c>
      <c r="T15">
        <f ca="1">Trades!$AC$10*(SUM(N15:P15))</f>
        <v>0</v>
      </c>
      <c r="U15">
        <f t="shared" ca="1" si="3"/>
        <v>0</v>
      </c>
      <c r="V15">
        <f ca="1">IF(OR(ROM_hrs!B15=1,ROM_hrs!B15=7),Trades!$U$10*(P15),IF(O15+P15=0,0,(Trades!$U$10*(ROM_hrs!O15+3))))</f>
        <v>0</v>
      </c>
      <c r="X15" s="12">
        <f ca="1">Trades!$H$10</f>
        <v>36.630000000000003</v>
      </c>
      <c r="Y15" s="12">
        <f ca="1">Trades!$R$10</f>
        <v>34.5</v>
      </c>
      <c r="Z15" s="12">
        <f ca="1">AVERAGE(Trades!$AD$10)</f>
        <v>44.5</v>
      </c>
      <c r="AA15" s="12">
        <f ca="1">Trades!$V$10</f>
        <v>47</v>
      </c>
      <c r="AB15" s="12">
        <f ca="1">Trades!$V$10</f>
        <v>47</v>
      </c>
      <c r="AD15" s="33">
        <f ca="1">Trades!$Q$47</f>
        <v>54.85</v>
      </c>
      <c r="AE15" s="33">
        <f ca="1">Trades!$P$47</f>
        <v>52.053935185185182</v>
      </c>
      <c r="AF15" s="33">
        <f ca="1">Trades!$S$47</f>
        <v>42</v>
      </c>
      <c r="AH15" s="33">
        <f t="shared" ca="1" si="4"/>
        <v>0</v>
      </c>
      <c r="AI15" s="33">
        <f t="shared" ca="1" si="5"/>
        <v>0</v>
      </c>
      <c r="AJ15" s="33">
        <f t="shared" ca="1" si="6"/>
        <v>0</v>
      </c>
      <c r="AK15" s="33">
        <f t="shared" ca="1" si="7"/>
        <v>0</v>
      </c>
      <c r="AL15" s="33">
        <f t="shared" ca="1" si="8"/>
        <v>0</v>
      </c>
    </row>
    <row r="16" spans="1:38" x14ac:dyDescent="0.2">
      <c r="A16" s="26">
        <v>36686</v>
      </c>
      <c r="B16" s="54">
        <f t="shared" si="0"/>
        <v>6</v>
      </c>
      <c r="C16" t="s">
        <v>106</v>
      </c>
      <c r="D16">
        <f t="shared" si="1"/>
        <v>16</v>
      </c>
      <c r="E16">
        <f t="shared" si="2"/>
        <v>8</v>
      </c>
      <c r="G16" s="5">
        <f>13</f>
        <v>13</v>
      </c>
      <c r="H16" s="5">
        <v>3</v>
      </c>
      <c r="I16" s="5">
        <v>8</v>
      </c>
      <c r="K16">
        <f ca="1">IF($A16&gt;external_curves!$B$2,ROM_hrs!D16,0)</f>
        <v>0</v>
      </c>
      <c r="L16">
        <f ca="1">IF($A16&gt;external_curves!$B$2,ROM_hrs!E16,0)</f>
        <v>0</v>
      </c>
      <c r="N16">
        <f ca="1">IF($A16&gt;external_curves!$B$2,ROM_hrs!G16,0)</f>
        <v>0</v>
      </c>
      <c r="O16">
        <f ca="1">IF($A16&gt;external_curves!$B$2,ROM_hrs!I16,0)</f>
        <v>0</v>
      </c>
      <c r="P16">
        <f ca="1">IF($A16&gt;external_curves!$B$2,ROM_hrs!#REF!,0)</f>
        <v>0</v>
      </c>
      <c r="R16">
        <f ca="1">IF(N16=0,0,(N16-3)*Trades!$G$10)</f>
        <v>0</v>
      </c>
      <c r="S16">
        <f ca="1">Trades!$Q$10*(SUM(N16:P16))</f>
        <v>0</v>
      </c>
      <c r="T16">
        <f ca="1">Trades!$AC$10*(SUM(N16:P16))</f>
        <v>0</v>
      </c>
      <c r="U16">
        <f t="shared" ca="1" si="3"/>
        <v>0</v>
      </c>
      <c r="V16">
        <f ca="1">IF(OR(ROM_hrs!B16=1,ROM_hrs!B16=7),Trades!$U$10*(P16),IF(O16+P16=0,0,(Trades!$U$10*(ROM_hrs!O16+3))))</f>
        <v>0</v>
      </c>
      <c r="X16" s="12">
        <f ca="1">Trades!$H$10</f>
        <v>36.630000000000003</v>
      </c>
      <c r="Y16" s="12">
        <f ca="1">Trades!$R$10</f>
        <v>34.5</v>
      </c>
      <c r="Z16" s="12">
        <f ca="1">AVERAGE(Trades!$AD$10)</f>
        <v>44.5</v>
      </c>
      <c r="AA16" s="12">
        <f ca="1">Trades!$V$10</f>
        <v>47</v>
      </c>
      <c r="AB16" s="12">
        <f ca="1">Trades!$V$10</f>
        <v>47</v>
      </c>
      <c r="AD16" s="33">
        <f ca="1">Trades!$Q$47</f>
        <v>54.85</v>
      </c>
      <c r="AE16" s="33">
        <f ca="1">Trades!$P$47</f>
        <v>52.053935185185182</v>
      </c>
      <c r="AF16" s="33">
        <f ca="1">Trades!$S$47</f>
        <v>42</v>
      </c>
      <c r="AH16" s="33">
        <f t="shared" ca="1" si="4"/>
        <v>0</v>
      </c>
      <c r="AI16" s="33">
        <f t="shared" ca="1" si="5"/>
        <v>0</v>
      </c>
      <c r="AJ16" s="33">
        <f t="shared" ca="1" si="6"/>
        <v>0</v>
      </c>
      <c r="AK16" s="33">
        <f t="shared" ca="1" si="7"/>
        <v>0</v>
      </c>
      <c r="AL16" s="33">
        <f t="shared" ca="1" si="8"/>
        <v>0</v>
      </c>
    </row>
    <row r="17" spans="1:38" x14ac:dyDescent="0.2">
      <c r="A17" s="26">
        <v>36687</v>
      </c>
      <c r="B17" s="54">
        <f t="shared" si="0"/>
        <v>7</v>
      </c>
      <c r="C17" t="s">
        <v>106</v>
      </c>
      <c r="D17">
        <f t="shared" si="1"/>
        <v>16</v>
      </c>
      <c r="E17">
        <f t="shared" si="2"/>
        <v>8</v>
      </c>
      <c r="G17" s="5">
        <f>13</f>
        <v>13</v>
      </c>
      <c r="H17" s="5">
        <v>3</v>
      </c>
      <c r="I17" s="5">
        <v>8</v>
      </c>
      <c r="K17">
        <f ca="1">IF($A17&gt;external_curves!$B$2,ROM_hrs!D17,0)</f>
        <v>0</v>
      </c>
      <c r="L17">
        <f ca="1">IF($A17&gt;external_curves!$B$2,ROM_hrs!E17,0)</f>
        <v>0</v>
      </c>
      <c r="N17">
        <f ca="1">IF($A17&gt;external_curves!$B$2,ROM_hrs!G17,0)</f>
        <v>0</v>
      </c>
      <c r="O17">
        <f ca="1">IF($A17&gt;external_curves!$B$2,ROM_hrs!I17,0)</f>
        <v>0</v>
      </c>
      <c r="P17">
        <f ca="1">IF($A17&gt;external_curves!$B$2,ROM_hrs!#REF!,0)</f>
        <v>0</v>
      </c>
      <c r="R17">
        <f ca="1">IF(N17=0,0,(N17-3)*Trades!$G$10)</f>
        <v>0</v>
      </c>
      <c r="S17">
        <f ca="1">Trades!$Q$10*(SUM(N17:P17))</f>
        <v>0</v>
      </c>
      <c r="T17">
        <f ca="1">Trades!$AC$10*(SUM(N17:P17))</f>
        <v>0</v>
      </c>
      <c r="U17">
        <f t="shared" ca="1" si="3"/>
        <v>0</v>
      </c>
      <c r="V17">
        <f ca="1">IF(OR(ROM_hrs!B17=1,ROM_hrs!B17=7),Trades!$U$10*(P17),IF(O17+P17=0,0,(Trades!$U$10*(ROM_hrs!O17+3))))</f>
        <v>0</v>
      </c>
      <c r="X17" s="12">
        <f ca="1">Trades!$H$10</f>
        <v>36.630000000000003</v>
      </c>
      <c r="Y17" s="12">
        <f ca="1">Trades!$R$10</f>
        <v>34.5</v>
      </c>
      <c r="Z17" s="12">
        <f ca="1">AVERAGE(Trades!$AD$10)</f>
        <v>44.5</v>
      </c>
      <c r="AA17" s="12">
        <f ca="1">Trades!$V$10</f>
        <v>47</v>
      </c>
      <c r="AB17" s="12">
        <f ca="1">Trades!$V$10</f>
        <v>47</v>
      </c>
      <c r="AD17" s="33">
        <f ca="1">Trades!$Q$47</f>
        <v>54.85</v>
      </c>
      <c r="AE17" s="33">
        <f ca="1">Trades!$P$47</f>
        <v>52.053935185185182</v>
      </c>
      <c r="AF17" s="33">
        <f ca="1">Trades!$S$47</f>
        <v>42</v>
      </c>
      <c r="AH17" s="33">
        <f t="shared" ca="1" si="4"/>
        <v>0</v>
      </c>
      <c r="AI17" s="33">
        <f t="shared" ca="1" si="5"/>
        <v>0</v>
      </c>
      <c r="AJ17" s="33">
        <f t="shared" ca="1" si="6"/>
        <v>0</v>
      </c>
      <c r="AK17" s="33">
        <f t="shared" ca="1" si="7"/>
        <v>0</v>
      </c>
      <c r="AL17" s="33">
        <f t="shared" ca="1" si="8"/>
        <v>0</v>
      </c>
    </row>
    <row r="18" spans="1:38" x14ac:dyDescent="0.2">
      <c r="A18" s="26">
        <v>36688</v>
      </c>
      <c r="B18" s="54">
        <f t="shared" si="0"/>
        <v>1</v>
      </c>
      <c r="C18" t="s">
        <v>106</v>
      </c>
      <c r="D18">
        <f t="shared" si="1"/>
        <v>0</v>
      </c>
      <c r="E18">
        <f t="shared" si="2"/>
        <v>24</v>
      </c>
      <c r="G18" s="5">
        <f>13</f>
        <v>13</v>
      </c>
      <c r="H18" s="5">
        <v>3</v>
      </c>
      <c r="I18" s="5">
        <v>8</v>
      </c>
      <c r="K18">
        <f ca="1">IF($A18&gt;external_curves!$B$2,ROM_hrs!D18,0)</f>
        <v>0</v>
      </c>
      <c r="L18">
        <f ca="1">IF($A18&gt;external_curves!$B$2,ROM_hrs!E18,0)</f>
        <v>0</v>
      </c>
      <c r="N18">
        <f ca="1">IF($A18&gt;external_curves!$B$2,ROM_hrs!G18,0)</f>
        <v>0</v>
      </c>
      <c r="O18">
        <f ca="1">IF($A18&gt;external_curves!$B$2,ROM_hrs!I18,0)</f>
        <v>0</v>
      </c>
      <c r="P18">
        <f ca="1">IF($A18&gt;external_curves!$B$2,ROM_hrs!#REF!,0)</f>
        <v>0</v>
      </c>
      <c r="R18">
        <f ca="1">IF(N18=0,0,(N18-3)*Trades!$G$10)</f>
        <v>0</v>
      </c>
      <c r="S18">
        <f ca="1">Trades!$Q$10*(SUM(N18:P18))</f>
        <v>0</v>
      </c>
      <c r="T18">
        <f ca="1">Trades!$AC$10*(SUM(N18:P18))</f>
        <v>0</v>
      </c>
      <c r="U18">
        <f t="shared" ca="1" si="3"/>
        <v>0</v>
      </c>
      <c r="V18">
        <f ca="1">IF(OR(ROM_hrs!B18=1,ROM_hrs!B18=7),Trades!$U$10*(P18),IF(O18+P18=0,0,(Trades!$U$10*(ROM_hrs!O18+3))))</f>
        <v>0</v>
      </c>
      <c r="X18" s="12">
        <f ca="1">Trades!$H$10</f>
        <v>36.630000000000003</v>
      </c>
      <c r="Y18" s="12">
        <f ca="1">Trades!$R$10</f>
        <v>34.5</v>
      </c>
      <c r="Z18" s="12">
        <f ca="1">AVERAGE(Trades!$AD$10)</f>
        <v>44.5</v>
      </c>
      <c r="AA18" s="12">
        <f ca="1">Trades!$V$10</f>
        <v>47</v>
      </c>
      <c r="AB18" s="12">
        <f ca="1">Trades!$V$10</f>
        <v>47</v>
      </c>
      <c r="AD18" s="33">
        <f ca="1">Trades!$Q$47</f>
        <v>54.85</v>
      </c>
      <c r="AE18" s="33">
        <f ca="1">Trades!$P$47</f>
        <v>52.053935185185182</v>
      </c>
      <c r="AF18" s="33">
        <f ca="1">Trades!$S$47</f>
        <v>42</v>
      </c>
      <c r="AH18" s="33">
        <f t="shared" ca="1" si="4"/>
        <v>0</v>
      </c>
      <c r="AI18" s="33">
        <f t="shared" ca="1" si="5"/>
        <v>0</v>
      </c>
      <c r="AJ18" s="33">
        <f t="shared" ca="1" si="6"/>
        <v>0</v>
      </c>
      <c r="AK18" s="33">
        <f t="shared" ca="1" si="7"/>
        <v>0</v>
      </c>
      <c r="AL18" s="33">
        <f t="shared" ca="1" si="8"/>
        <v>0</v>
      </c>
    </row>
    <row r="19" spans="1:38" x14ac:dyDescent="0.2">
      <c r="A19" s="26">
        <v>36689</v>
      </c>
      <c r="B19" s="54">
        <f t="shared" si="0"/>
        <v>2</v>
      </c>
      <c r="C19" t="s">
        <v>106</v>
      </c>
      <c r="D19">
        <f t="shared" si="1"/>
        <v>16</v>
      </c>
      <c r="E19">
        <f t="shared" si="2"/>
        <v>8</v>
      </c>
      <c r="G19" s="5">
        <f>13</f>
        <v>13</v>
      </c>
      <c r="H19" s="5">
        <v>3</v>
      </c>
      <c r="I19" s="5">
        <v>8</v>
      </c>
      <c r="K19">
        <f ca="1">IF($A19&gt;external_curves!$B$2,ROM_hrs!D19,0)</f>
        <v>0</v>
      </c>
      <c r="L19">
        <f ca="1">IF($A19&gt;external_curves!$B$2,ROM_hrs!E19,0)</f>
        <v>0</v>
      </c>
      <c r="N19">
        <f ca="1">IF($A19&gt;external_curves!$B$2,ROM_hrs!G19,0)</f>
        <v>0</v>
      </c>
      <c r="O19">
        <f ca="1">IF($A19&gt;external_curves!$B$2,ROM_hrs!I19,0)</f>
        <v>0</v>
      </c>
      <c r="P19">
        <f ca="1">IF($A19&gt;external_curves!$B$2,ROM_hrs!#REF!,0)</f>
        <v>0</v>
      </c>
      <c r="R19">
        <f ca="1">IF(N19=0,0,(N19-3)*Trades!$G$10)</f>
        <v>0</v>
      </c>
      <c r="S19">
        <f ca="1">Trades!$Q$10*(SUM(N19:P19))</f>
        <v>0</v>
      </c>
      <c r="T19">
        <f ca="1">Trades!$AC$10*(SUM(N19:P19))</f>
        <v>0</v>
      </c>
      <c r="U19">
        <f t="shared" ca="1" si="3"/>
        <v>0</v>
      </c>
      <c r="V19">
        <f ca="1">IF(OR(ROM_hrs!B19=1,ROM_hrs!B19=7),Trades!$U$10*(P19),IF(O19+P19=0,0,(Trades!$U$10*(ROM_hrs!O19+3))))</f>
        <v>0</v>
      </c>
      <c r="X19" s="12">
        <f ca="1">Trades!$H$10</f>
        <v>36.630000000000003</v>
      </c>
      <c r="Y19" s="12">
        <f ca="1">Trades!$R$10</f>
        <v>34.5</v>
      </c>
      <c r="Z19" s="12">
        <f ca="1">AVERAGE(Trades!$AD$10)</f>
        <v>44.5</v>
      </c>
      <c r="AA19" s="12">
        <f ca="1">Trades!$V$10</f>
        <v>47</v>
      </c>
      <c r="AB19" s="12">
        <f ca="1">Trades!$V$10</f>
        <v>47</v>
      </c>
      <c r="AD19" s="33">
        <f ca="1">Trades!$Q$47</f>
        <v>54.85</v>
      </c>
      <c r="AE19" s="33">
        <f ca="1">Trades!$P$47</f>
        <v>52.053935185185182</v>
      </c>
      <c r="AF19" s="33">
        <f ca="1">Trades!$S$47</f>
        <v>42</v>
      </c>
      <c r="AH19" s="33">
        <f t="shared" ca="1" si="4"/>
        <v>0</v>
      </c>
      <c r="AI19" s="33">
        <f t="shared" ca="1" si="5"/>
        <v>0</v>
      </c>
      <c r="AJ19" s="33">
        <f t="shared" ca="1" si="6"/>
        <v>0</v>
      </c>
      <c r="AK19" s="33">
        <f t="shared" ca="1" si="7"/>
        <v>0</v>
      </c>
      <c r="AL19" s="33">
        <f t="shared" ca="1" si="8"/>
        <v>0</v>
      </c>
    </row>
    <row r="20" spans="1:38" x14ac:dyDescent="0.2">
      <c r="A20" s="26">
        <v>36690</v>
      </c>
      <c r="B20" s="54">
        <f t="shared" si="0"/>
        <v>3</v>
      </c>
      <c r="C20" t="s">
        <v>106</v>
      </c>
      <c r="D20">
        <f t="shared" si="1"/>
        <v>16</v>
      </c>
      <c r="E20">
        <f t="shared" si="2"/>
        <v>8</v>
      </c>
      <c r="G20" s="5">
        <f>13</f>
        <v>13</v>
      </c>
      <c r="H20" s="5">
        <v>3</v>
      </c>
      <c r="I20" s="5">
        <v>8</v>
      </c>
      <c r="K20">
        <f ca="1">IF($A20&gt;external_curves!$B$2,ROM_hrs!D20,0)</f>
        <v>0</v>
      </c>
      <c r="L20">
        <f ca="1">IF($A20&gt;external_curves!$B$2,ROM_hrs!E20,0)</f>
        <v>0</v>
      </c>
      <c r="N20">
        <f ca="1">IF($A20&gt;external_curves!$B$2,ROM_hrs!G20,0)</f>
        <v>0</v>
      </c>
      <c r="O20">
        <f ca="1">IF($A20&gt;external_curves!$B$2,ROM_hrs!I20,0)</f>
        <v>0</v>
      </c>
      <c r="P20">
        <f ca="1">IF($A20&gt;external_curves!$B$2,ROM_hrs!#REF!,0)</f>
        <v>0</v>
      </c>
      <c r="R20">
        <f ca="1">IF(N20=0,0,(N20-3)*Trades!$G$10)</f>
        <v>0</v>
      </c>
      <c r="S20">
        <f ca="1">Trades!$Q$10*(SUM(N20:P20))</f>
        <v>0</v>
      </c>
      <c r="T20">
        <f ca="1">Trades!$AC$10*(SUM(N20:P20))</f>
        <v>0</v>
      </c>
      <c r="U20">
        <f t="shared" ca="1" si="3"/>
        <v>0</v>
      </c>
      <c r="V20">
        <f ca="1">IF(OR(ROM_hrs!B20=1,ROM_hrs!B20=7),Trades!$U$10*(P20),IF(O20+P20=0,0,(Trades!$U$10*(ROM_hrs!O20+3))))</f>
        <v>0</v>
      </c>
      <c r="X20" s="12">
        <f ca="1">Trades!$H$10</f>
        <v>36.630000000000003</v>
      </c>
      <c r="Y20" s="12">
        <f ca="1">Trades!$R$10</f>
        <v>34.5</v>
      </c>
      <c r="Z20" s="12">
        <f ca="1">AVERAGE(Trades!$AD$10)</f>
        <v>44.5</v>
      </c>
      <c r="AA20" s="12">
        <f ca="1">Trades!$V$10</f>
        <v>47</v>
      </c>
      <c r="AB20" s="12">
        <f ca="1">Trades!$V$10</f>
        <v>47</v>
      </c>
      <c r="AD20" s="33">
        <f ca="1">Trades!$Q$47</f>
        <v>54.85</v>
      </c>
      <c r="AE20" s="33">
        <f ca="1">Trades!$P$47</f>
        <v>52.053935185185182</v>
      </c>
      <c r="AF20" s="33">
        <f ca="1">Trades!$S$47</f>
        <v>42</v>
      </c>
      <c r="AH20" s="33">
        <f t="shared" ca="1" si="4"/>
        <v>0</v>
      </c>
      <c r="AI20" s="33">
        <f t="shared" ca="1" si="5"/>
        <v>0</v>
      </c>
      <c r="AJ20" s="33">
        <f t="shared" ca="1" si="6"/>
        <v>0</v>
      </c>
      <c r="AK20" s="33">
        <f t="shared" ca="1" si="7"/>
        <v>0</v>
      </c>
      <c r="AL20" s="33">
        <f t="shared" ca="1" si="8"/>
        <v>0</v>
      </c>
    </row>
    <row r="21" spans="1:38" x14ac:dyDescent="0.2">
      <c r="A21" s="26">
        <v>36691</v>
      </c>
      <c r="B21" s="54">
        <f t="shared" si="0"/>
        <v>4</v>
      </c>
      <c r="C21" t="s">
        <v>106</v>
      </c>
      <c r="D21">
        <f t="shared" si="1"/>
        <v>16</v>
      </c>
      <c r="E21">
        <f t="shared" si="2"/>
        <v>8</v>
      </c>
      <c r="G21" s="5">
        <f>13</f>
        <v>13</v>
      </c>
      <c r="H21" s="5">
        <v>3</v>
      </c>
      <c r="I21" s="5">
        <v>8</v>
      </c>
      <c r="K21">
        <f ca="1">IF($A21&gt;external_curves!$B$2,ROM_hrs!D21,0)</f>
        <v>0</v>
      </c>
      <c r="L21">
        <f ca="1">IF($A21&gt;external_curves!$B$2,ROM_hrs!E21,0)</f>
        <v>0</v>
      </c>
      <c r="N21">
        <f ca="1">IF($A21&gt;external_curves!$B$2,ROM_hrs!G21,0)</f>
        <v>0</v>
      </c>
      <c r="O21">
        <f ca="1">IF($A21&gt;external_curves!$B$2,ROM_hrs!I21,0)</f>
        <v>0</v>
      </c>
      <c r="P21">
        <f ca="1">IF($A21&gt;external_curves!$B$2,ROM_hrs!#REF!,0)</f>
        <v>0</v>
      </c>
      <c r="R21">
        <f ca="1">IF(N21=0,0,(N21-3)*Trades!$G$10)</f>
        <v>0</v>
      </c>
      <c r="S21">
        <f ca="1">Trades!$Q$10*(SUM(N21:P21))</f>
        <v>0</v>
      </c>
      <c r="T21">
        <f ca="1">Trades!$AC$10*(SUM(N21:P21))</f>
        <v>0</v>
      </c>
      <c r="U21">
        <f t="shared" ca="1" si="3"/>
        <v>0</v>
      </c>
      <c r="V21">
        <f ca="1">IF(OR(ROM_hrs!B21=1,ROM_hrs!B21=7),Trades!$U$10*(P21),IF(O21+P21=0,0,(Trades!$U$10*(ROM_hrs!O21+3))))</f>
        <v>0</v>
      </c>
      <c r="X21" s="12">
        <f ca="1">Trades!$H$10</f>
        <v>36.630000000000003</v>
      </c>
      <c r="Y21" s="12">
        <f ca="1">Trades!$R$10</f>
        <v>34.5</v>
      </c>
      <c r="Z21" s="12">
        <f ca="1">AVERAGE(Trades!$AD$10)</f>
        <v>44.5</v>
      </c>
      <c r="AA21" s="12">
        <f ca="1">Trades!$V$10</f>
        <v>47</v>
      </c>
      <c r="AB21" s="12">
        <f ca="1">Trades!$V$10</f>
        <v>47</v>
      </c>
      <c r="AD21" s="33">
        <f ca="1">Trades!$Q$47</f>
        <v>54.85</v>
      </c>
      <c r="AE21" s="33">
        <f ca="1">Trades!$P$47</f>
        <v>52.053935185185182</v>
      </c>
      <c r="AF21" s="33">
        <f ca="1">Trades!$S$47</f>
        <v>42</v>
      </c>
      <c r="AH21" s="33">
        <f t="shared" ca="1" si="4"/>
        <v>0</v>
      </c>
      <c r="AI21" s="33">
        <f t="shared" ca="1" si="5"/>
        <v>0</v>
      </c>
      <c r="AJ21" s="33">
        <f t="shared" ca="1" si="6"/>
        <v>0</v>
      </c>
      <c r="AK21" s="33">
        <f t="shared" ca="1" si="7"/>
        <v>0</v>
      </c>
      <c r="AL21" s="33">
        <f t="shared" ca="1" si="8"/>
        <v>0</v>
      </c>
    </row>
    <row r="22" spans="1:38" x14ac:dyDescent="0.2">
      <c r="A22" s="26">
        <v>36692</v>
      </c>
      <c r="B22" s="54">
        <f t="shared" si="0"/>
        <v>5</v>
      </c>
      <c r="C22" t="s">
        <v>106</v>
      </c>
      <c r="D22">
        <f t="shared" si="1"/>
        <v>16</v>
      </c>
      <c r="E22">
        <f t="shared" si="2"/>
        <v>8</v>
      </c>
      <c r="G22" s="5">
        <f>13</f>
        <v>13</v>
      </c>
      <c r="H22" s="5">
        <v>3</v>
      </c>
      <c r="I22" s="5">
        <v>8</v>
      </c>
      <c r="K22">
        <f ca="1">IF($A22&gt;external_curves!$B$2,ROM_hrs!D22,0)</f>
        <v>0</v>
      </c>
      <c r="L22">
        <f ca="1">IF($A22&gt;external_curves!$B$2,ROM_hrs!E22,0)</f>
        <v>0</v>
      </c>
      <c r="N22">
        <f ca="1">IF($A22&gt;external_curves!$B$2,ROM_hrs!G22,0)</f>
        <v>0</v>
      </c>
      <c r="O22">
        <f ca="1">IF($A22&gt;external_curves!$B$2,ROM_hrs!I22,0)</f>
        <v>0</v>
      </c>
      <c r="P22">
        <f ca="1">IF($A22&gt;external_curves!$B$2,ROM_hrs!#REF!,0)</f>
        <v>0</v>
      </c>
      <c r="R22">
        <f ca="1">IF(N22=0,0,(N22-3)*Trades!$G$10)</f>
        <v>0</v>
      </c>
      <c r="S22">
        <f ca="1">Trades!$Q$10*(SUM(N22:P22))</f>
        <v>0</v>
      </c>
      <c r="T22">
        <f ca="1">(Trades!$AC$10+Trades!$U$10)*(SUM(N22:P22))</f>
        <v>0</v>
      </c>
      <c r="U22">
        <f t="shared" ca="1" si="3"/>
        <v>0</v>
      </c>
      <c r="V22">
        <f ca="1">IF(OR(ROM_hrs!B22=1,ROM_hrs!B22=7),Trades!$U$10*(P22),IF(O22+P22=0,0,(Trades!$U$10*(ROM_hrs!O22+3))))</f>
        <v>0</v>
      </c>
      <c r="X22" s="12">
        <f ca="1">Trades!$H$10</f>
        <v>36.630000000000003</v>
      </c>
      <c r="Y22" s="12">
        <f ca="1">Trades!$R$10</f>
        <v>34.5</v>
      </c>
      <c r="Z22" s="12">
        <f ca="1">AVERAGE(Trades!$AD$10)</f>
        <v>44.5</v>
      </c>
      <c r="AA22" s="12">
        <f ca="1">Trades!$V$10</f>
        <v>47</v>
      </c>
      <c r="AB22" s="12">
        <f ca="1">Trades!$V$10</f>
        <v>47</v>
      </c>
      <c r="AD22" s="33">
        <f ca="1">Trades!$Q$47</f>
        <v>54.85</v>
      </c>
      <c r="AE22" s="33">
        <f ca="1">Trades!$P$47</f>
        <v>52.053935185185182</v>
      </c>
      <c r="AF22" s="33">
        <f ca="1">Trades!$S$47</f>
        <v>42</v>
      </c>
      <c r="AH22" s="33">
        <f t="shared" ca="1" si="4"/>
        <v>0</v>
      </c>
      <c r="AI22" s="33">
        <f t="shared" ca="1" si="5"/>
        <v>0</v>
      </c>
      <c r="AJ22" s="33">
        <f t="shared" ca="1" si="6"/>
        <v>0</v>
      </c>
      <c r="AK22" s="33">
        <f t="shared" ca="1" si="7"/>
        <v>0</v>
      </c>
      <c r="AL22" s="33">
        <f t="shared" ca="1" si="8"/>
        <v>0</v>
      </c>
    </row>
    <row r="23" spans="1:38" x14ac:dyDescent="0.2">
      <c r="A23" s="26">
        <v>36693</v>
      </c>
      <c r="B23" s="54">
        <f t="shared" si="0"/>
        <v>6</v>
      </c>
      <c r="C23" t="s">
        <v>106</v>
      </c>
      <c r="D23">
        <f t="shared" si="1"/>
        <v>16</v>
      </c>
      <c r="E23">
        <f t="shared" si="2"/>
        <v>8</v>
      </c>
      <c r="G23" s="5">
        <f>13</f>
        <v>13</v>
      </c>
      <c r="H23" s="5">
        <v>3</v>
      </c>
      <c r="I23" s="5">
        <v>8</v>
      </c>
      <c r="K23">
        <f ca="1">IF($A23&gt;external_curves!$B$2,ROM_hrs!D23,0)</f>
        <v>0</v>
      </c>
      <c r="L23">
        <f ca="1">IF($A23&gt;external_curves!$B$2,ROM_hrs!E23,0)</f>
        <v>0</v>
      </c>
      <c r="N23">
        <f ca="1">IF($A23&gt;external_curves!$B$2,ROM_hrs!G23,0)</f>
        <v>0</v>
      </c>
      <c r="O23">
        <f ca="1">IF($A23&gt;external_curves!$B$2,ROM_hrs!I23,0)</f>
        <v>0</v>
      </c>
      <c r="P23">
        <f ca="1">IF($A23&gt;external_curves!$B$2,ROM_hrs!#REF!,0)</f>
        <v>0</v>
      </c>
      <c r="R23">
        <f ca="1">IF(N23=0,0,(N23-3)*Trades!$G$10)</f>
        <v>0</v>
      </c>
      <c r="S23">
        <f ca="1">Trades!$Q$10*(SUM(N23:P23))</f>
        <v>0</v>
      </c>
      <c r="T23">
        <f ca="1">(Trades!$AC$10)*(SUM(N23:P23))</f>
        <v>0</v>
      </c>
      <c r="U23">
        <f ca="1">IF(OR(B23=1,B23=7),0,IF(N23=0,0,(Trades!$U$10)*(N23-3)))</f>
        <v>0</v>
      </c>
      <c r="V23">
        <f ca="1">IF(OR(ROM_hrs!B23=1,ROM_hrs!B23=7),Trades!$U$10*(P23),IF(O23+P23=0,0,(Trades!$U$10*(ROM_hrs!O23+3))))</f>
        <v>0</v>
      </c>
      <c r="X23" s="12">
        <f ca="1">Trades!$H$10</f>
        <v>36.630000000000003</v>
      </c>
      <c r="Y23" s="12">
        <f ca="1">Trades!$R$10</f>
        <v>34.5</v>
      </c>
      <c r="Z23" s="12">
        <f ca="1">AVERAGE(Trades!$AD$10)</f>
        <v>44.5</v>
      </c>
      <c r="AA23" s="12">
        <f ca="1">Trades!$V$10</f>
        <v>47</v>
      </c>
      <c r="AB23" s="12">
        <f ca="1">Trades!$V$10</f>
        <v>47</v>
      </c>
      <c r="AD23" s="33">
        <f ca="1">Trades!$Q$47</f>
        <v>54.85</v>
      </c>
      <c r="AE23" s="33">
        <f ca="1">Trades!$P$47</f>
        <v>52.053935185185182</v>
      </c>
      <c r="AF23" s="33">
        <f ca="1">Trades!$S$47</f>
        <v>42</v>
      </c>
      <c r="AH23" s="33">
        <f t="shared" ca="1" si="4"/>
        <v>0</v>
      </c>
      <c r="AI23" s="33">
        <f t="shared" ca="1" si="5"/>
        <v>0</v>
      </c>
      <c r="AJ23" s="33">
        <f t="shared" ca="1" si="6"/>
        <v>0</v>
      </c>
      <c r="AK23" s="33">
        <f t="shared" ca="1" si="7"/>
        <v>0</v>
      </c>
      <c r="AL23" s="33">
        <f t="shared" ca="1" si="8"/>
        <v>0</v>
      </c>
    </row>
    <row r="24" spans="1:38" x14ac:dyDescent="0.2">
      <c r="A24" s="26">
        <v>36694</v>
      </c>
      <c r="B24" s="54">
        <f t="shared" si="0"/>
        <v>7</v>
      </c>
      <c r="C24" t="s">
        <v>106</v>
      </c>
      <c r="D24">
        <f t="shared" si="1"/>
        <v>16</v>
      </c>
      <c r="E24">
        <f t="shared" si="2"/>
        <v>8</v>
      </c>
      <c r="G24" s="5">
        <f>13</f>
        <v>13</v>
      </c>
      <c r="H24" s="5">
        <v>3</v>
      </c>
      <c r="I24" s="5">
        <v>8</v>
      </c>
      <c r="K24">
        <f ca="1">IF($A24&gt;external_curves!$B$2,ROM_hrs!D24,0)</f>
        <v>0</v>
      </c>
      <c r="L24">
        <f ca="1">IF($A24&gt;external_curves!$B$2,ROM_hrs!E24,0)</f>
        <v>0</v>
      </c>
      <c r="N24">
        <f ca="1">IF($A24&gt;external_curves!$B$2,ROM_hrs!G24,0)</f>
        <v>0</v>
      </c>
      <c r="O24">
        <f ca="1">IF($A24&gt;external_curves!$B$2,ROM_hrs!I24,0)</f>
        <v>0</v>
      </c>
      <c r="P24">
        <f ca="1">IF($A24&gt;external_curves!$B$2,ROM_hrs!#REF!,0)</f>
        <v>0</v>
      </c>
      <c r="R24">
        <f ca="1">IF(N24=0,0,(N24-3)*Trades!$G$10)</f>
        <v>0</v>
      </c>
      <c r="S24">
        <f ca="1">Trades!$Q$10*(SUM(N24:P24))</f>
        <v>0</v>
      </c>
      <c r="T24">
        <f ca="1">(Trades!$AC$10)*(SUM(N24:P24))</f>
        <v>0</v>
      </c>
      <c r="U24">
        <f ca="1">IF(OR(B24=1,B24=7),0,IF(N24=0,0,(Trades!$U$10)*(N24-3)))</f>
        <v>0</v>
      </c>
      <c r="V24">
        <f ca="1">IF(OR(ROM_hrs!B24=1,ROM_hrs!B24=7),Trades!$U$10*(P24),IF(O24+P24=0,0,(Trades!$U$10*(ROM_hrs!O24+3))))</f>
        <v>0</v>
      </c>
      <c r="X24" s="12">
        <f ca="1">Trades!$H$10</f>
        <v>36.630000000000003</v>
      </c>
      <c r="Y24" s="12">
        <f ca="1">Trades!$R$10</f>
        <v>34.5</v>
      </c>
      <c r="Z24" s="12">
        <f ca="1">AVERAGE(Trades!$AD$10)</f>
        <v>44.5</v>
      </c>
      <c r="AA24" s="12">
        <f ca="1">Trades!$V$10</f>
        <v>47</v>
      </c>
      <c r="AB24" s="12">
        <f ca="1">Trades!$V$10</f>
        <v>47</v>
      </c>
      <c r="AD24" s="33">
        <f ca="1">Trades!$Q$47</f>
        <v>54.85</v>
      </c>
      <c r="AE24" s="33">
        <f ca="1">Trades!$P$47</f>
        <v>52.053935185185182</v>
      </c>
      <c r="AF24" s="33">
        <f ca="1">Trades!$S$47</f>
        <v>42</v>
      </c>
      <c r="AH24" s="33">
        <f t="shared" ca="1" si="4"/>
        <v>0</v>
      </c>
      <c r="AI24" s="33">
        <f t="shared" ca="1" si="5"/>
        <v>0</v>
      </c>
      <c r="AJ24" s="33">
        <f t="shared" ca="1" si="6"/>
        <v>0</v>
      </c>
      <c r="AK24" s="33">
        <f t="shared" ca="1" si="7"/>
        <v>0</v>
      </c>
      <c r="AL24" s="33">
        <f t="shared" ca="1" si="8"/>
        <v>0</v>
      </c>
    </row>
    <row r="25" spans="1:38" x14ac:dyDescent="0.2">
      <c r="A25" s="26">
        <v>36695</v>
      </c>
      <c r="B25" s="54">
        <f t="shared" si="0"/>
        <v>1</v>
      </c>
      <c r="C25" t="s">
        <v>106</v>
      </c>
      <c r="D25">
        <f t="shared" si="1"/>
        <v>0</v>
      </c>
      <c r="E25">
        <f t="shared" si="2"/>
        <v>24</v>
      </c>
      <c r="G25" s="5">
        <f>13</f>
        <v>13</v>
      </c>
      <c r="H25" s="5">
        <v>3</v>
      </c>
      <c r="I25" s="5">
        <v>8</v>
      </c>
      <c r="K25">
        <f ca="1">IF($A25&gt;external_curves!$B$2,ROM_hrs!D25,0)</f>
        <v>0</v>
      </c>
      <c r="L25">
        <f ca="1">IF($A25&gt;external_curves!$B$2,ROM_hrs!E25,0)</f>
        <v>0</v>
      </c>
      <c r="N25">
        <f ca="1">IF($A25&gt;external_curves!$B$2,ROM_hrs!G25,0)</f>
        <v>0</v>
      </c>
      <c r="O25">
        <f ca="1">IF($A25&gt;external_curves!$B$2,ROM_hrs!I25,0)</f>
        <v>0</v>
      </c>
      <c r="P25">
        <f ca="1">IF($A25&gt;external_curves!$B$2,ROM_hrs!#REF!,0)</f>
        <v>0</v>
      </c>
      <c r="R25">
        <f ca="1">IF(N25=0,0,(N25-3)*Trades!$G$10)</f>
        <v>0</v>
      </c>
      <c r="S25">
        <f ca="1">Trades!$Q$10*(SUM(N25:P25))</f>
        <v>0</v>
      </c>
      <c r="T25">
        <f ca="1">(Trades!$AC$10)*(SUM(N25:P25))</f>
        <v>0</v>
      </c>
      <c r="U25">
        <f ca="1">IF(OR(B25=1,B25=7),0,IF(N25=0,0,(Trades!$U$10)*(N25-3)))</f>
        <v>0</v>
      </c>
      <c r="V25">
        <f ca="1">IF(OR(ROM_hrs!B25=1,ROM_hrs!B25=7),Trades!$U$10*(P25),IF(O25+P25=0,0,(Trades!$U$10*(ROM_hrs!O25+3))))</f>
        <v>0</v>
      </c>
      <c r="X25" s="12">
        <f ca="1">Trades!$H$10</f>
        <v>36.630000000000003</v>
      </c>
      <c r="Y25" s="12">
        <f ca="1">Trades!$R$10</f>
        <v>34.5</v>
      </c>
      <c r="Z25" s="12">
        <f ca="1">AVERAGE(Trades!$AD$10)</f>
        <v>44.5</v>
      </c>
      <c r="AA25" s="12">
        <f ca="1">Trades!$V$10</f>
        <v>47</v>
      </c>
      <c r="AB25" s="12">
        <f ca="1">Trades!$V$10</f>
        <v>47</v>
      </c>
      <c r="AD25" s="33">
        <f ca="1">Trades!$Q$47</f>
        <v>54.85</v>
      </c>
      <c r="AE25" s="33">
        <f ca="1">Trades!$P$47</f>
        <v>52.053935185185182</v>
      </c>
      <c r="AF25" s="33">
        <f ca="1">Trades!$S$47</f>
        <v>42</v>
      </c>
      <c r="AH25" s="33">
        <f t="shared" ca="1" si="4"/>
        <v>0</v>
      </c>
      <c r="AI25" s="33">
        <f t="shared" ca="1" si="5"/>
        <v>0</v>
      </c>
      <c r="AJ25" s="33">
        <f t="shared" ca="1" si="6"/>
        <v>0</v>
      </c>
      <c r="AK25" s="33">
        <f t="shared" ca="1" si="7"/>
        <v>0</v>
      </c>
      <c r="AL25" s="33">
        <f t="shared" ca="1" si="8"/>
        <v>0</v>
      </c>
    </row>
    <row r="26" spans="1:38" x14ac:dyDescent="0.2">
      <c r="A26" s="26">
        <v>36696</v>
      </c>
      <c r="B26" s="54">
        <f t="shared" si="0"/>
        <v>2</v>
      </c>
      <c r="C26" t="s">
        <v>106</v>
      </c>
      <c r="D26">
        <f t="shared" si="1"/>
        <v>16</v>
      </c>
      <c r="E26">
        <f t="shared" si="2"/>
        <v>8</v>
      </c>
      <c r="G26" s="5">
        <f>13</f>
        <v>13</v>
      </c>
      <c r="H26" s="5">
        <v>3</v>
      </c>
      <c r="I26" s="5">
        <v>8</v>
      </c>
      <c r="K26">
        <f ca="1">IF($A26&gt;external_curves!$B$2,ROM_hrs!D26,0)</f>
        <v>0</v>
      </c>
      <c r="L26">
        <f ca="1">IF($A26&gt;external_curves!$B$2,ROM_hrs!E26,0)</f>
        <v>0</v>
      </c>
      <c r="N26">
        <f ca="1">IF($A26&gt;external_curves!$B$2,ROM_hrs!G26,0)</f>
        <v>0</v>
      </c>
      <c r="O26">
        <f ca="1">IF($A26&gt;external_curves!$B$2,ROM_hrs!I26,0)</f>
        <v>0</v>
      </c>
      <c r="P26">
        <f ca="1">IF($A26&gt;external_curves!$B$2,ROM_hrs!#REF!,0)</f>
        <v>0</v>
      </c>
      <c r="R26">
        <f ca="1">IF(N26=0,0,(N26-3)*Trades!$G$10)</f>
        <v>0</v>
      </c>
      <c r="S26">
        <f ca="1">Trades!$Q$10*(SUM(N26:P26))</f>
        <v>0</v>
      </c>
      <c r="T26">
        <f ca="1">(Trades!$AC$10)*(SUM(N26:P26))</f>
        <v>0</v>
      </c>
      <c r="U26">
        <f ca="1">IF(OR(B26=1,B26=7),0,IF(N26=0,0,(Trades!$U$10)*(N26-3)))</f>
        <v>0</v>
      </c>
      <c r="V26">
        <f ca="1">IF(OR(ROM_hrs!B26=1,ROM_hrs!B26=7),Trades!$U$10*(P26),IF(O26+P26=0,0,(Trades!$U$10*(ROM_hrs!O26+3))))</f>
        <v>0</v>
      </c>
      <c r="X26" s="12">
        <f ca="1">Trades!$H$10</f>
        <v>36.630000000000003</v>
      </c>
      <c r="Y26" s="12">
        <f ca="1">Trades!$R$10</f>
        <v>34.5</v>
      </c>
      <c r="Z26" s="12">
        <f ca="1">AVERAGE(Trades!$AD$10)</f>
        <v>44.5</v>
      </c>
      <c r="AA26" s="12">
        <f ca="1">Trades!$V$10</f>
        <v>47</v>
      </c>
      <c r="AB26" s="12">
        <f ca="1">Trades!$V$10</f>
        <v>47</v>
      </c>
      <c r="AD26" s="33">
        <f ca="1">Trades!$Q$47</f>
        <v>54.85</v>
      </c>
      <c r="AE26" s="33">
        <f ca="1">Trades!$P$47</f>
        <v>52.053935185185182</v>
      </c>
      <c r="AF26" s="33">
        <f ca="1">Trades!$S$47</f>
        <v>42</v>
      </c>
      <c r="AH26" s="33">
        <f t="shared" ca="1" si="4"/>
        <v>0</v>
      </c>
      <c r="AI26" s="33">
        <f t="shared" ca="1" si="5"/>
        <v>0</v>
      </c>
      <c r="AJ26" s="33">
        <f t="shared" ca="1" si="6"/>
        <v>0</v>
      </c>
      <c r="AK26" s="33">
        <f t="shared" ca="1" si="7"/>
        <v>0</v>
      </c>
      <c r="AL26" s="33">
        <f t="shared" ca="1" si="8"/>
        <v>0</v>
      </c>
    </row>
    <row r="27" spans="1:38" x14ac:dyDescent="0.2">
      <c r="A27" s="26">
        <v>36697</v>
      </c>
      <c r="B27" s="54">
        <f t="shared" si="0"/>
        <v>3</v>
      </c>
      <c r="C27" t="s">
        <v>106</v>
      </c>
      <c r="D27">
        <f t="shared" si="1"/>
        <v>16</v>
      </c>
      <c r="E27">
        <f t="shared" si="2"/>
        <v>8</v>
      </c>
      <c r="G27" s="5">
        <f>13</f>
        <v>13</v>
      </c>
      <c r="H27" s="5">
        <v>3</v>
      </c>
      <c r="I27" s="5">
        <v>8</v>
      </c>
      <c r="K27">
        <f ca="1">IF($A27&gt;external_curves!$B$2,ROM_hrs!D27,0)</f>
        <v>16</v>
      </c>
      <c r="L27">
        <f ca="1">IF($A27&gt;external_curves!$B$2,ROM_hrs!E27,0)</f>
        <v>8</v>
      </c>
      <c r="N27">
        <f ca="1">IF($A27&gt;external_curves!$B$2,ROM_hrs!G27,0)</f>
        <v>13</v>
      </c>
      <c r="O27">
        <f ca="1">IF($A27&gt;external_curves!$B$2,ROM_hrs!I27,0)</f>
        <v>8</v>
      </c>
      <c r="P27" t="e">
        <f ca="1">IF($A27&gt;external_curves!$B$2,ROM_hrs!#REF!,0)</f>
        <v>#REF!</v>
      </c>
      <c r="R27">
        <f ca="1">IF(N27=0,0,(N27-3)*Trades!$G$10)</f>
        <v>250</v>
      </c>
      <c r="S27" t="e">
        <f ca="1">Trades!$Q$10*(SUM(N27:P27))</f>
        <v>#REF!</v>
      </c>
      <c r="T27" t="e">
        <f ca="1">(Trades!$AC$10)*(SUM(N27:P27))</f>
        <v>#REF!</v>
      </c>
      <c r="U27">
        <f ca="1">IF(OR(B27=1,B27=7),0,IF(N27=0,0,(Trades!$U$10)*(N27-3)))</f>
        <v>-250</v>
      </c>
      <c r="V27" t="e">
        <f ca="1">IF(OR(ROM_hrs!B27=1,ROM_hrs!B27=7),Trades!$U$10*(P27),IF(O27+P27=0,0,(Trades!$U$10*(ROM_hrs!O27+3))))</f>
        <v>#REF!</v>
      </c>
      <c r="X27" s="12">
        <f ca="1">Trades!$H$10</f>
        <v>36.630000000000003</v>
      </c>
      <c r="Y27" s="12">
        <f ca="1">Trades!$R$10</f>
        <v>34.5</v>
      </c>
      <c r="Z27" s="12">
        <f ca="1">AVERAGE(Trades!$AD$10)</f>
        <v>44.5</v>
      </c>
      <c r="AA27" s="12">
        <f ca="1">Trades!$V$10</f>
        <v>47</v>
      </c>
      <c r="AB27" s="12">
        <f ca="1">Trades!$V$10</f>
        <v>47</v>
      </c>
      <c r="AD27" s="33">
        <f ca="1">Trades!$Q$47</f>
        <v>54.85</v>
      </c>
      <c r="AE27" s="33">
        <f ca="1">Trades!$P$47</f>
        <v>52.053935185185182</v>
      </c>
      <c r="AF27" s="33">
        <f ca="1">Trades!$S$47</f>
        <v>42</v>
      </c>
      <c r="AH27" s="33">
        <f t="shared" ca="1" si="4"/>
        <v>4555</v>
      </c>
      <c r="AI27" s="33" t="e">
        <f t="shared" ca="1" si="5"/>
        <v>#REF!</v>
      </c>
      <c r="AJ27" s="33" t="e">
        <f t="shared" ca="1" si="6"/>
        <v>#REF!</v>
      </c>
      <c r="AK27" s="33">
        <f t="shared" ca="1" si="7"/>
        <v>-1962.5000000000005</v>
      </c>
      <c r="AL27" s="33" t="e">
        <f t="shared" ca="1" si="8"/>
        <v>#REF!</v>
      </c>
    </row>
    <row r="28" spans="1:38" x14ac:dyDescent="0.2">
      <c r="A28" s="26">
        <v>36698</v>
      </c>
      <c r="B28" s="54">
        <f t="shared" si="0"/>
        <v>4</v>
      </c>
      <c r="C28" t="s">
        <v>106</v>
      </c>
      <c r="D28">
        <f t="shared" si="1"/>
        <v>16</v>
      </c>
      <c r="E28">
        <f t="shared" si="2"/>
        <v>8</v>
      </c>
      <c r="G28" s="5">
        <f>13</f>
        <v>13</v>
      </c>
      <c r="H28" s="5">
        <v>3</v>
      </c>
      <c r="I28" s="5">
        <v>8</v>
      </c>
      <c r="K28">
        <f ca="1">IF($A28&gt;external_curves!$B$2,ROM_hrs!D28,0)</f>
        <v>16</v>
      </c>
      <c r="L28">
        <f ca="1">IF($A28&gt;external_curves!$B$2,ROM_hrs!E28,0)</f>
        <v>8</v>
      </c>
      <c r="N28">
        <f ca="1">IF($A28&gt;external_curves!$B$2,ROM_hrs!G28,0)</f>
        <v>13</v>
      </c>
      <c r="O28">
        <f ca="1">IF($A28&gt;external_curves!$B$2,ROM_hrs!I28,0)</f>
        <v>8</v>
      </c>
      <c r="P28" t="e">
        <f ca="1">IF($A28&gt;external_curves!$B$2,ROM_hrs!#REF!,0)</f>
        <v>#REF!</v>
      </c>
      <c r="R28">
        <f ca="1">IF(N28=0,0,(N28-3)*Trades!$G$10)</f>
        <v>250</v>
      </c>
      <c r="S28" t="e">
        <f ca="1">Trades!$Q$10*(SUM(N28:P28))</f>
        <v>#REF!</v>
      </c>
      <c r="T28" t="e">
        <f ca="1">(Trades!$AC$10)*(SUM(N28:P28))</f>
        <v>#REF!</v>
      </c>
      <c r="U28">
        <f ca="1">IF(OR(B28=1,B28=7),0,IF(N28=0,0,(Trades!$U$10)*(N28-3)))</f>
        <v>-250</v>
      </c>
      <c r="V28" t="e">
        <f ca="1">IF(OR(ROM_hrs!B28=1,ROM_hrs!B28=7),Trades!$U$10*(P28),IF(O28+P28=0,0,(Trades!$U$10*(ROM_hrs!O28+3))))</f>
        <v>#REF!</v>
      </c>
      <c r="X28" s="12">
        <f ca="1">Trades!$H$10</f>
        <v>36.630000000000003</v>
      </c>
      <c r="Y28" s="12">
        <f ca="1">Trades!$R$10</f>
        <v>34.5</v>
      </c>
      <c r="Z28" s="12">
        <f ca="1">AVERAGE(Trades!$AD$10)</f>
        <v>44.5</v>
      </c>
      <c r="AA28" s="12">
        <f ca="1">Trades!$V$10</f>
        <v>47</v>
      </c>
      <c r="AB28" s="12">
        <f ca="1">Trades!$V$10</f>
        <v>47</v>
      </c>
      <c r="AD28" s="33">
        <f ca="1">Trades!$Q$47</f>
        <v>54.85</v>
      </c>
      <c r="AE28" s="33">
        <f ca="1">Trades!$P$47</f>
        <v>52.053935185185182</v>
      </c>
      <c r="AF28" s="33">
        <f ca="1">Trades!$S$47</f>
        <v>42</v>
      </c>
      <c r="AH28" s="33">
        <f t="shared" ca="1" si="4"/>
        <v>4555</v>
      </c>
      <c r="AI28" s="33" t="e">
        <f t="shared" ca="1" si="5"/>
        <v>#REF!</v>
      </c>
      <c r="AJ28" s="33" t="e">
        <f t="shared" ca="1" si="6"/>
        <v>#REF!</v>
      </c>
      <c r="AK28" s="33">
        <f t="shared" ca="1" si="7"/>
        <v>-1962.5000000000005</v>
      </c>
      <c r="AL28" s="33" t="e">
        <f t="shared" ca="1" si="8"/>
        <v>#REF!</v>
      </c>
    </row>
    <row r="29" spans="1:38" x14ac:dyDescent="0.2">
      <c r="A29" s="26">
        <v>36699</v>
      </c>
      <c r="B29" s="54">
        <f t="shared" si="0"/>
        <v>5</v>
      </c>
      <c r="C29" t="s">
        <v>106</v>
      </c>
      <c r="D29">
        <f t="shared" si="1"/>
        <v>16</v>
      </c>
      <c r="E29">
        <f t="shared" si="2"/>
        <v>8</v>
      </c>
      <c r="G29" s="5">
        <f>13</f>
        <v>13</v>
      </c>
      <c r="H29" s="5">
        <v>3</v>
      </c>
      <c r="I29" s="5">
        <v>8</v>
      </c>
      <c r="K29">
        <f ca="1">IF($A29&gt;external_curves!$B$2,ROM_hrs!D29,0)</f>
        <v>16</v>
      </c>
      <c r="L29">
        <f ca="1">IF($A29&gt;external_curves!$B$2,ROM_hrs!E29,0)</f>
        <v>8</v>
      </c>
      <c r="N29">
        <f ca="1">IF($A29&gt;external_curves!$B$2,ROM_hrs!G29,0)</f>
        <v>13</v>
      </c>
      <c r="O29">
        <f ca="1">IF($A29&gt;external_curves!$B$2,ROM_hrs!I29,0)</f>
        <v>8</v>
      </c>
      <c r="P29" t="e">
        <f ca="1">IF($A29&gt;external_curves!$B$2,ROM_hrs!#REF!,0)</f>
        <v>#REF!</v>
      </c>
      <c r="R29">
        <f ca="1">IF(N29=0,0,(N29-3)*Trades!$G$10)</f>
        <v>250</v>
      </c>
      <c r="S29" t="e">
        <f ca="1">Trades!$Q$10*(SUM(N29:P29))</f>
        <v>#REF!</v>
      </c>
      <c r="T29" t="e">
        <f ca="1">(Trades!$AC$10)*(SUM(N29:P29))</f>
        <v>#REF!</v>
      </c>
      <c r="U29">
        <f ca="1">IF(OR(B29=1,B29=7),0,IF(N29=0,0,(Trades!$U$10)*(N29-3)))</f>
        <v>-250</v>
      </c>
      <c r="V29" t="e">
        <f ca="1">IF(OR(ROM_hrs!B29=1,ROM_hrs!B29=7),Trades!$U$10*(P29),IF(O29+P29=0,0,(Trades!$U$10*(ROM_hrs!O29+3))))</f>
        <v>#REF!</v>
      </c>
      <c r="X29" s="12">
        <f ca="1">Trades!$H$10</f>
        <v>36.630000000000003</v>
      </c>
      <c r="Y29" s="12">
        <f ca="1">Trades!$R$10</f>
        <v>34.5</v>
      </c>
      <c r="Z29" s="12">
        <f ca="1">AVERAGE(Trades!$AD$10)</f>
        <v>44.5</v>
      </c>
      <c r="AA29" s="12">
        <f ca="1">Trades!$V$10</f>
        <v>47</v>
      </c>
      <c r="AB29" s="12">
        <f ca="1">Trades!$V$10</f>
        <v>47</v>
      </c>
      <c r="AD29" s="33">
        <f ca="1">Trades!$Q$47</f>
        <v>54.85</v>
      </c>
      <c r="AE29" s="33">
        <f ca="1">Trades!$P$47</f>
        <v>52.053935185185182</v>
      </c>
      <c r="AF29" s="33">
        <f ca="1">Trades!$S$47</f>
        <v>42</v>
      </c>
      <c r="AH29" s="33">
        <f t="shared" ca="1" si="4"/>
        <v>4555</v>
      </c>
      <c r="AI29" s="33" t="e">
        <f t="shared" ca="1" si="5"/>
        <v>#REF!</v>
      </c>
      <c r="AJ29" s="33" t="e">
        <f t="shared" ca="1" si="6"/>
        <v>#REF!</v>
      </c>
      <c r="AK29" s="33">
        <f t="shared" ca="1" si="7"/>
        <v>-1962.5000000000005</v>
      </c>
      <c r="AL29" s="33" t="e">
        <f t="shared" ca="1" si="8"/>
        <v>#REF!</v>
      </c>
    </row>
    <row r="30" spans="1:38" x14ac:dyDescent="0.2">
      <c r="A30" s="26">
        <v>36700</v>
      </c>
      <c r="B30" s="54">
        <f t="shared" si="0"/>
        <v>6</v>
      </c>
      <c r="C30" t="s">
        <v>106</v>
      </c>
      <c r="D30">
        <f t="shared" si="1"/>
        <v>16</v>
      </c>
      <c r="E30">
        <f t="shared" si="2"/>
        <v>8</v>
      </c>
      <c r="G30" s="5">
        <f>13</f>
        <v>13</v>
      </c>
      <c r="H30" s="5">
        <v>3</v>
      </c>
      <c r="I30" s="5">
        <v>8</v>
      </c>
      <c r="K30">
        <f ca="1">IF($A30&gt;external_curves!$B$2,ROM_hrs!D30,0)</f>
        <v>16</v>
      </c>
      <c r="L30">
        <f ca="1">IF($A30&gt;external_curves!$B$2,ROM_hrs!E30,0)</f>
        <v>8</v>
      </c>
      <c r="N30">
        <f ca="1">IF($A30&gt;external_curves!$B$2,ROM_hrs!G30,0)</f>
        <v>13</v>
      </c>
      <c r="O30">
        <f ca="1">IF($A30&gt;external_curves!$B$2,ROM_hrs!I30,0)</f>
        <v>8</v>
      </c>
      <c r="P30" t="e">
        <f ca="1">IF($A30&gt;external_curves!$B$2,ROM_hrs!#REF!,0)</f>
        <v>#REF!</v>
      </c>
      <c r="R30">
        <f ca="1">IF(N30=0,0,(N30-3)*Trades!$G$10)</f>
        <v>250</v>
      </c>
      <c r="S30" t="e">
        <f ca="1">Trades!$Q$10*(SUM(N30:P30))</f>
        <v>#REF!</v>
      </c>
      <c r="T30" t="e">
        <f ca="1">(Trades!$AC$10)*(SUM(N30:P30))</f>
        <v>#REF!</v>
      </c>
      <c r="U30">
        <f ca="1">IF(OR(B30=1,B30=7),0,IF(N30=0,0,(Trades!$U$10)*(N30-3)))</f>
        <v>-250</v>
      </c>
      <c r="V30" t="e">
        <f ca="1">IF(OR(ROM_hrs!B30=1,ROM_hrs!B30=7),Trades!$U$10*(P30),IF(O30+P30=0,0,(Trades!$U$10*(ROM_hrs!O30+3))))</f>
        <v>#REF!</v>
      </c>
      <c r="X30" s="12">
        <f ca="1">Trades!$H$10</f>
        <v>36.630000000000003</v>
      </c>
      <c r="Y30" s="12">
        <f ca="1">Trades!$R$10</f>
        <v>34.5</v>
      </c>
      <c r="Z30" s="12">
        <f ca="1">AVERAGE(Trades!$AD$10)</f>
        <v>44.5</v>
      </c>
      <c r="AA30" s="12">
        <f ca="1">Trades!$V$10</f>
        <v>47</v>
      </c>
      <c r="AB30" s="12">
        <f ca="1">Trades!$V$10</f>
        <v>47</v>
      </c>
      <c r="AD30" s="33">
        <f ca="1">Trades!$Q$47</f>
        <v>54.85</v>
      </c>
      <c r="AE30" s="33">
        <f ca="1">Trades!$P$47</f>
        <v>52.053935185185182</v>
      </c>
      <c r="AF30" s="33">
        <f ca="1">Trades!$S$47</f>
        <v>42</v>
      </c>
      <c r="AH30" s="33">
        <f t="shared" ca="1" si="4"/>
        <v>4555</v>
      </c>
      <c r="AI30" s="33" t="e">
        <f t="shared" ca="1" si="5"/>
        <v>#REF!</v>
      </c>
      <c r="AJ30" s="33" t="e">
        <f t="shared" ca="1" si="6"/>
        <v>#REF!</v>
      </c>
      <c r="AK30" s="33">
        <f t="shared" ca="1" si="7"/>
        <v>-1962.5000000000005</v>
      </c>
      <c r="AL30" s="33" t="e">
        <f t="shared" ca="1" si="8"/>
        <v>#REF!</v>
      </c>
    </row>
    <row r="31" spans="1:38" x14ac:dyDescent="0.2">
      <c r="A31" s="26">
        <v>36701</v>
      </c>
      <c r="B31" s="54">
        <f t="shared" si="0"/>
        <v>7</v>
      </c>
      <c r="C31" t="s">
        <v>106</v>
      </c>
      <c r="D31">
        <f t="shared" si="1"/>
        <v>16</v>
      </c>
      <c r="E31">
        <f t="shared" si="2"/>
        <v>8</v>
      </c>
      <c r="G31" s="5">
        <f>13</f>
        <v>13</v>
      </c>
      <c r="H31" s="5">
        <v>3</v>
      </c>
      <c r="I31" s="5">
        <v>8</v>
      </c>
      <c r="K31">
        <f ca="1">IF($A31&gt;external_curves!$B$2,ROM_hrs!D31,0)</f>
        <v>16</v>
      </c>
      <c r="L31">
        <f ca="1">IF($A31&gt;external_curves!$B$2,ROM_hrs!E31,0)</f>
        <v>8</v>
      </c>
      <c r="N31">
        <f ca="1">IF($A31&gt;external_curves!$B$2,ROM_hrs!G31,0)</f>
        <v>13</v>
      </c>
      <c r="O31">
        <f ca="1">IF($A31&gt;external_curves!$B$2,ROM_hrs!I31,0)</f>
        <v>8</v>
      </c>
      <c r="P31" t="e">
        <f ca="1">IF($A31&gt;external_curves!$B$2,ROM_hrs!#REF!,0)</f>
        <v>#REF!</v>
      </c>
      <c r="R31">
        <f ca="1">IF(N31=0,0,(N31-3)*Trades!$G$10)</f>
        <v>250</v>
      </c>
      <c r="S31" t="e">
        <f ca="1">Trades!$Q$10*(SUM(N31:P31))</f>
        <v>#REF!</v>
      </c>
      <c r="T31" t="e">
        <f ca="1">(Trades!$AC$10)*(SUM(N31:P31))</f>
        <v>#REF!</v>
      </c>
      <c r="U31">
        <f ca="1">IF(OR(B31=1,B31=7),0,IF(N31=0,0,(Trades!$U$10)*(N31-3)))</f>
        <v>0</v>
      </c>
      <c r="V31" t="e">
        <f ca="1">IF(OR(ROM_hrs!B31=1,ROM_hrs!B31=7),Trades!$U$10*(P31),IF(O31+P31=0,0,(Trades!$U$10*(ROM_hrs!O31+3))))</f>
        <v>#REF!</v>
      </c>
      <c r="X31" s="12">
        <f ca="1">Trades!$H$10</f>
        <v>36.630000000000003</v>
      </c>
      <c r="Y31" s="12">
        <f ca="1">Trades!$R$10</f>
        <v>34.5</v>
      </c>
      <c r="Z31" s="12">
        <f ca="1">AVERAGE(Trades!$AD$10)</f>
        <v>44.5</v>
      </c>
      <c r="AA31" s="12">
        <f ca="1">Trades!$V$10</f>
        <v>47</v>
      </c>
      <c r="AB31" s="12">
        <f ca="1">Trades!$V$10</f>
        <v>47</v>
      </c>
      <c r="AD31" s="33">
        <f ca="1">Trades!$Q$47</f>
        <v>54.85</v>
      </c>
      <c r="AE31" s="33">
        <f ca="1">Trades!$P$47</f>
        <v>52.053935185185182</v>
      </c>
      <c r="AF31" s="33">
        <f ca="1">Trades!$S$47</f>
        <v>42</v>
      </c>
      <c r="AH31" s="33">
        <f t="shared" ca="1" si="4"/>
        <v>4555</v>
      </c>
      <c r="AI31" s="33" t="e">
        <f t="shared" ca="1" si="5"/>
        <v>#REF!</v>
      </c>
      <c r="AJ31" s="33" t="e">
        <f t="shared" ca="1" si="6"/>
        <v>#REF!</v>
      </c>
      <c r="AK31" s="33">
        <f t="shared" ca="1" si="7"/>
        <v>0</v>
      </c>
      <c r="AL31" s="33" t="e">
        <f t="shared" ca="1" si="8"/>
        <v>#REF!</v>
      </c>
    </row>
    <row r="32" spans="1:38" x14ac:dyDescent="0.2">
      <c r="A32" s="26">
        <v>36702</v>
      </c>
      <c r="B32" s="54">
        <f t="shared" si="0"/>
        <v>1</v>
      </c>
      <c r="C32" t="s">
        <v>106</v>
      </c>
      <c r="D32">
        <f t="shared" si="1"/>
        <v>0</v>
      </c>
      <c r="E32">
        <f t="shared" si="2"/>
        <v>24</v>
      </c>
      <c r="G32" s="5">
        <f>13</f>
        <v>13</v>
      </c>
      <c r="H32" s="5">
        <v>3</v>
      </c>
      <c r="I32" s="5">
        <v>8</v>
      </c>
      <c r="K32">
        <f ca="1">IF($A32&gt;external_curves!$B$2,ROM_hrs!D32,0)</f>
        <v>0</v>
      </c>
      <c r="L32">
        <f ca="1">IF($A32&gt;external_curves!$B$2,ROM_hrs!E32,0)</f>
        <v>24</v>
      </c>
      <c r="N32">
        <f ca="1">IF($A32&gt;external_curves!$B$2,ROM_hrs!G32,0)</f>
        <v>13</v>
      </c>
      <c r="O32">
        <f ca="1">IF($A32&gt;external_curves!$B$2,ROM_hrs!I32,0)</f>
        <v>8</v>
      </c>
      <c r="P32" t="e">
        <f ca="1">IF($A32&gt;external_curves!$B$2,ROM_hrs!#REF!,0)</f>
        <v>#REF!</v>
      </c>
      <c r="R32">
        <f ca="1">IF(N32=0,0,(N32-3)*Trades!$G$10)</f>
        <v>250</v>
      </c>
      <c r="S32" t="e">
        <f ca="1">Trades!$Q$10*(SUM(N32:P32))</f>
        <v>#REF!</v>
      </c>
      <c r="T32" t="e">
        <f ca="1">(Trades!$AC$10)*(SUM(N32:P32))</f>
        <v>#REF!</v>
      </c>
      <c r="U32">
        <f ca="1">IF(OR(B32=1,B32=7),0,IF(N32=0,0,(Trades!$U$10)*(N32-3)))</f>
        <v>0</v>
      </c>
      <c r="V32" t="e">
        <f ca="1">IF(OR(ROM_hrs!B32=1,ROM_hrs!B32=7),Trades!$U$10*(P32),IF(O32+P32=0,0,(Trades!$U$10*(ROM_hrs!O32+3))))</f>
        <v>#REF!</v>
      </c>
      <c r="X32" s="12">
        <f ca="1">Trades!$H$10</f>
        <v>36.630000000000003</v>
      </c>
      <c r="Y32" s="12">
        <f ca="1">Trades!$R$10</f>
        <v>34.5</v>
      </c>
      <c r="Z32" s="12">
        <f ca="1">AVERAGE(Trades!$AD$10)</f>
        <v>44.5</v>
      </c>
      <c r="AA32" s="12">
        <f ca="1">Trades!$V$10</f>
        <v>47</v>
      </c>
      <c r="AB32" s="12">
        <f ca="1">Trades!$V$10</f>
        <v>47</v>
      </c>
      <c r="AD32" s="33">
        <f ca="1">Trades!$Q$47</f>
        <v>54.85</v>
      </c>
      <c r="AE32" s="33">
        <f ca="1">Trades!$P$47</f>
        <v>52.053935185185182</v>
      </c>
      <c r="AF32" s="33">
        <f ca="1">Trades!$S$47</f>
        <v>42</v>
      </c>
      <c r="AH32" s="33">
        <f t="shared" ca="1" si="4"/>
        <v>4555</v>
      </c>
      <c r="AI32" s="33" t="e">
        <f t="shared" ca="1" si="5"/>
        <v>#REF!</v>
      </c>
      <c r="AJ32" s="33" t="e">
        <f t="shared" ca="1" si="6"/>
        <v>#REF!</v>
      </c>
      <c r="AK32" s="33">
        <f t="shared" ca="1" si="7"/>
        <v>0</v>
      </c>
      <c r="AL32" s="33" t="e">
        <f t="shared" ca="1" si="8"/>
        <v>#REF!</v>
      </c>
    </row>
    <row r="33" spans="1:38" x14ac:dyDescent="0.2">
      <c r="A33" s="26">
        <v>36703</v>
      </c>
      <c r="B33" s="54">
        <f t="shared" si="0"/>
        <v>2</v>
      </c>
      <c r="C33" t="s">
        <v>106</v>
      </c>
      <c r="D33">
        <f t="shared" si="1"/>
        <v>16</v>
      </c>
      <c r="E33">
        <f t="shared" si="2"/>
        <v>8</v>
      </c>
      <c r="G33" s="5">
        <f>13</f>
        <v>13</v>
      </c>
      <c r="H33" s="5">
        <v>3</v>
      </c>
      <c r="I33" s="5">
        <v>8</v>
      </c>
      <c r="K33">
        <f ca="1">IF($A33&gt;external_curves!$B$2,ROM_hrs!D33,0)</f>
        <v>16</v>
      </c>
      <c r="L33">
        <f ca="1">IF($A33&gt;external_curves!$B$2,ROM_hrs!E33,0)</f>
        <v>8</v>
      </c>
      <c r="N33">
        <f ca="1">IF($A33&gt;external_curves!$B$2,ROM_hrs!G33,0)</f>
        <v>13</v>
      </c>
      <c r="O33">
        <f ca="1">IF($A33&gt;external_curves!$B$2,ROM_hrs!I33,0)</f>
        <v>8</v>
      </c>
      <c r="P33" t="e">
        <f ca="1">IF($A33&gt;external_curves!$B$2,ROM_hrs!#REF!,0)</f>
        <v>#REF!</v>
      </c>
      <c r="R33">
        <f ca="1">IF(N33=0,0,(N33-3)*Trades!$G$10)</f>
        <v>250</v>
      </c>
      <c r="S33" t="e">
        <f ca="1">Trades!$Q$10*(SUM(N33:P33))</f>
        <v>#REF!</v>
      </c>
      <c r="T33" t="e">
        <f ca="1">(Trades!$AC$10)*(SUM(N33:P33))</f>
        <v>#REF!</v>
      </c>
      <c r="U33">
        <f ca="1">IF(OR(B33=1,B33=7),0,IF(N33=0,0,(Trades!$U$10)*(N33-3)))</f>
        <v>-250</v>
      </c>
      <c r="V33" t="e">
        <f ca="1">IF(OR(ROM_hrs!B33=1,ROM_hrs!B33=7),Trades!$U$10*(P33),IF(O33+P33=0,0,(Trades!$U$10*(ROM_hrs!O33+3))))</f>
        <v>#REF!</v>
      </c>
      <c r="X33" s="12">
        <f ca="1">Trades!$H$10</f>
        <v>36.630000000000003</v>
      </c>
      <c r="Y33" s="12">
        <f ca="1">Trades!$R$10</f>
        <v>34.5</v>
      </c>
      <c r="Z33" s="12">
        <f ca="1">AVERAGE(Trades!$AD$10)</f>
        <v>44.5</v>
      </c>
      <c r="AA33" s="12">
        <f ca="1">Trades!$V$10</f>
        <v>47</v>
      </c>
      <c r="AB33" s="12">
        <f ca="1">Trades!$V$10</f>
        <v>47</v>
      </c>
      <c r="AD33" s="33">
        <f ca="1">Trades!$Q$47</f>
        <v>54.85</v>
      </c>
      <c r="AE33" s="33">
        <f ca="1">Trades!$P$47</f>
        <v>52.053935185185182</v>
      </c>
      <c r="AF33" s="33">
        <f ca="1">Trades!$S$47</f>
        <v>42</v>
      </c>
      <c r="AH33" s="33">
        <f t="shared" ca="1" si="4"/>
        <v>4555</v>
      </c>
      <c r="AI33" s="33" t="e">
        <f t="shared" ca="1" si="5"/>
        <v>#REF!</v>
      </c>
      <c r="AJ33" s="33" t="e">
        <f t="shared" ca="1" si="6"/>
        <v>#REF!</v>
      </c>
      <c r="AK33" s="33">
        <f t="shared" ca="1" si="7"/>
        <v>-1962.5000000000005</v>
      </c>
      <c r="AL33" s="33" t="e">
        <f t="shared" ca="1" si="8"/>
        <v>#REF!</v>
      </c>
    </row>
    <row r="34" spans="1:38" x14ac:dyDescent="0.2">
      <c r="A34" s="26">
        <v>36704</v>
      </c>
      <c r="B34" s="54">
        <f t="shared" si="0"/>
        <v>3</v>
      </c>
      <c r="C34" t="s">
        <v>106</v>
      </c>
      <c r="D34">
        <f t="shared" si="1"/>
        <v>16</v>
      </c>
      <c r="E34">
        <f t="shared" si="2"/>
        <v>8</v>
      </c>
      <c r="G34" s="5">
        <f>13</f>
        <v>13</v>
      </c>
      <c r="H34" s="5">
        <v>3</v>
      </c>
      <c r="I34" s="5">
        <v>8</v>
      </c>
      <c r="K34">
        <f ca="1">IF($A34&gt;external_curves!$B$2,ROM_hrs!D34,0)</f>
        <v>16</v>
      </c>
      <c r="L34">
        <f ca="1">IF($A34&gt;external_curves!$B$2,ROM_hrs!E34,0)</f>
        <v>8</v>
      </c>
      <c r="N34">
        <f ca="1">IF($A34&gt;external_curves!$B$2,ROM_hrs!G34,0)</f>
        <v>13</v>
      </c>
      <c r="O34">
        <f ca="1">IF($A34&gt;external_curves!$B$2,ROM_hrs!I34,0)</f>
        <v>8</v>
      </c>
      <c r="P34" t="e">
        <f ca="1">IF($A34&gt;external_curves!$B$2,ROM_hrs!#REF!,0)</f>
        <v>#REF!</v>
      </c>
      <c r="R34">
        <f ca="1">IF(N34=0,0,(N34-3)*Trades!$G$10)</f>
        <v>250</v>
      </c>
      <c r="S34" t="e">
        <f ca="1">Trades!$Q$10*(SUM(N34:P34))</f>
        <v>#REF!</v>
      </c>
      <c r="T34" t="e">
        <f ca="1">(Trades!$AC$10)*(SUM(N34:P34))</f>
        <v>#REF!</v>
      </c>
      <c r="U34">
        <f ca="1">IF(OR(B34=1,B34=7),0,IF(N34=0,0,(Trades!$U$10)*(N34-3)))</f>
        <v>-250</v>
      </c>
      <c r="V34" t="e">
        <f ca="1">IF(OR(ROM_hrs!B34=1,ROM_hrs!B34=7),Trades!$U$10*(P34),IF(O34+P34=0,0,(Trades!$U$10*(ROM_hrs!O34+3))))</f>
        <v>#REF!</v>
      </c>
      <c r="X34" s="12">
        <f ca="1">Trades!$H$10</f>
        <v>36.630000000000003</v>
      </c>
      <c r="Y34" s="12">
        <f ca="1">Trades!$R$10</f>
        <v>34.5</v>
      </c>
      <c r="Z34" s="12">
        <f ca="1">AVERAGE(Trades!$AD$10)</f>
        <v>44.5</v>
      </c>
      <c r="AA34" s="12">
        <f ca="1">Trades!$V$10</f>
        <v>47</v>
      </c>
      <c r="AB34" s="12">
        <f ca="1">Trades!$V$10</f>
        <v>47</v>
      </c>
      <c r="AD34" s="33">
        <f ca="1">Trades!$Q$47</f>
        <v>54.85</v>
      </c>
      <c r="AE34" s="33">
        <f ca="1">Trades!$P$47</f>
        <v>52.053935185185182</v>
      </c>
      <c r="AF34" s="33">
        <f ca="1">Trades!$S$47</f>
        <v>42</v>
      </c>
      <c r="AH34" s="33">
        <f t="shared" ca="1" si="4"/>
        <v>4555</v>
      </c>
      <c r="AI34" s="33" t="e">
        <f t="shared" ca="1" si="5"/>
        <v>#REF!</v>
      </c>
      <c r="AJ34" s="33" t="e">
        <f t="shared" ca="1" si="6"/>
        <v>#REF!</v>
      </c>
      <c r="AK34" s="33">
        <f t="shared" ca="1" si="7"/>
        <v>-1962.5000000000005</v>
      </c>
      <c r="AL34" s="33" t="e">
        <f t="shared" ca="1" si="8"/>
        <v>#REF!</v>
      </c>
    </row>
    <row r="35" spans="1:38" x14ac:dyDescent="0.2">
      <c r="A35" s="26">
        <v>36705</v>
      </c>
      <c r="B35" s="54">
        <f t="shared" si="0"/>
        <v>4</v>
      </c>
      <c r="C35" t="s">
        <v>106</v>
      </c>
      <c r="D35">
        <f t="shared" si="1"/>
        <v>16</v>
      </c>
      <c r="E35">
        <f t="shared" si="2"/>
        <v>8</v>
      </c>
      <c r="G35" s="5">
        <f>13</f>
        <v>13</v>
      </c>
      <c r="H35" s="5">
        <v>3</v>
      </c>
      <c r="I35" s="5">
        <v>8</v>
      </c>
      <c r="K35">
        <f ca="1">IF($A35&gt;external_curves!$B$2,ROM_hrs!D35,0)</f>
        <v>16</v>
      </c>
      <c r="L35">
        <f ca="1">IF($A35&gt;external_curves!$B$2,ROM_hrs!E35,0)</f>
        <v>8</v>
      </c>
      <c r="N35">
        <f ca="1">IF($A35&gt;external_curves!$B$2,ROM_hrs!G35,0)</f>
        <v>13</v>
      </c>
      <c r="O35">
        <f ca="1">IF($A35&gt;external_curves!$B$2,ROM_hrs!I35,0)</f>
        <v>8</v>
      </c>
      <c r="P35" t="e">
        <f ca="1">IF($A35&gt;external_curves!$B$2,ROM_hrs!#REF!,0)</f>
        <v>#REF!</v>
      </c>
      <c r="R35">
        <f ca="1">IF(N35=0,0,(N35-3)*Trades!$G$10)</f>
        <v>250</v>
      </c>
      <c r="S35" t="e">
        <f ca="1">Trades!$Q$10*(SUM(N35:P35))</f>
        <v>#REF!</v>
      </c>
      <c r="T35" t="e">
        <f ca="1">(Trades!$AC$10)*(SUM(N35:P35))</f>
        <v>#REF!</v>
      </c>
      <c r="U35">
        <f ca="1">IF(OR(B35=1,B35=7),0,IF(N35=0,0,(Trades!$U$10)*(N35-3)))</f>
        <v>-250</v>
      </c>
      <c r="V35" t="e">
        <f ca="1">IF(OR(ROM_hrs!B35=1,ROM_hrs!B35=7),Trades!$U$10*(P35),IF(O35+P35=0,0,(Trades!$U$10*(ROM_hrs!O35+3))))</f>
        <v>#REF!</v>
      </c>
      <c r="X35" s="12">
        <f ca="1">Trades!$H$10</f>
        <v>36.630000000000003</v>
      </c>
      <c r="Y35" s="12">
        <f ca="1">Trades!$R$10</f>
        <v>34.5</v>
      </c>
      <c r="Z35" s="12">
        <f ca="1">AVERAGE(Trades!$AD$10)</f>
        <v>44.5</v>
      </c>
      <c r="AA35" s="12">
        <f ca="1">Trades!$V$10</f>
        <v>47</v>
      </c>
      <c r="AB35" s="12">
        <f ca="1">Trades!$V$10</f>
        <v>47</v>
      </c>
      <c r="AD35" s="33">
        <f ca="1">Trades!$Q$47</f>
        <v>54.85</v>
      </c>
      <c r="AE35" s="33">
        <f ca="1">Trades!$P$47</f>
        <v>52.053935185185182</v>
      </c>
      <c r="AF35" s="33">
        <f ca="1">Trades!$S$47</f>
        <v>42</v>
      </c>
      <c r="AH35" s="33">
        <f t="shared" ca="1" si="4"/>
        <v>4555</v>
      </c>
      <c r="AI35" s="33" t="e">
        <f t="shared" ca="1" si="5"/>
        <v>#REF!</v>
      </c>
      <c r="AJ35" s="33" t="e">
        <f t="shared" ca="1" si="6"/>
        <v>#REF!</v>
      </c>
      <c r="AK35" s="33">
        <f t="shared" ca="1" si="7"/>
        <v>-1962.5000000000005</v>
      </c>
      <c r="AL35" s="33" t="e">
        <f t="shared" ca="1" si="8"/>
        <v>#REF!</v>
      </c>
    </row>
    <row r="36" spans="1:38" x14ac:dyDescent="0.2">
      <c r="A36" s="26">
        <v>36706</v>
      </c>
      <c r="B36" s="54">
        <f t="shared" si="0"/>
        <v>5</v>
      </c>
      <c r="C36" t="s">
        <v>262</v>
      </c>
      <c r="D36">
        <f t="shared" si="1"/>
        <v>0</v>
      </c>
      <c r="E36">
        <f t="shared" si="2"/>
        <v>24</v>
      </c>
      <c r="G36" s="5">
        <f>13</f>
        <v>13</v>
      </c>
      <c r="H36" s="5">
        <v>3</v>
      </c>
      <c r="I36" s="5">
        <v>8</v>
      </c>
      <c r="K36">
        <f ca="1">IF($A36&gt;external_curves!$B$2,ROM_hrs!D36,0)</f>
        <v>0</v>
      </c>
      <c r="L36">
        <f ca="1">IF($A36&gt;external_curves!$B$2,ROM_hrs!E36,0)</f>
        <v>24</v>
      </c>
      <c r="N36">
        <f ca="1">IF($A36&gt;external_curves!$B$2,ROM_hrs!G36,0)</f>
        <v>13</v>
      </c>
      <c r="O36">
        <f ca="1">IF($A36&gt;external_curves!$B$2,ROM_hrs!I36,0)</f>
        <v>8</v>
      </c>
      <c r="P36" t="e">
        <f ca="1">IF($A36&gt;external_curves!$B$2,ROM_hrs!#REF!,0)</f>
        <v>#REF!</v>
      </c>
      <c r="R36">
        <f ca="1">IF(N36=0,0,(N36-3)*Trades!$G$10)</f>
        <v>250</v>
      </c>
      <c r="S36" t="e">
        <f ca="1">Trades!$Q$10*(SUM(N36:P36))</f>
        <v>#REF!</v>
      </c>
      <c r="T36" t="e">
        <f ca="1">(Trades!$AC$10)*(SUM(N36:P36))</f>
        <v>#REF!</v>
      </c>
      <c r="U36">
        <f ca="1">IF(OR(B36=1,B36=7),0,IF(N36=0,0,(Trades!$U$10)*(N36-3)))</f>
        <v>-250</v>
      </c>
      <c r="V36" t="e">
        <f ca="1">IF(OR(ROM_hrs!B36=1,ROM_hrs!B36=7),Trades!$U$10*(P36),IF(O36+P36=0,0,(Trades!$U$10*(ROM_hrs!O36+3))))</f>
        <v>#REF!</v>
      </c>
      <c r="X36" s="12">
        <f ca="1">Trades!$H$10</f>
        <v>36.630000000000003</v>
      </c>
      <c r="Y36" s="12">
        <f ca="1">Trades!$R$10</f>
        <v>34.5</v>
      </c>
      <c r="Z36" s="12">
        <f ca="1">AVERAGE(Trades!$AD$10)</f>
        <v>44.5</v>
      </c>
      <c r="AA36" s="12">
        <f ca="1">Trades!$V$10</f>
        <v>47</v>
      </c>
      <c r="AB36" s="12">
        <f ca="1">Trades!$V$10</f>
        <v>47</v>
      </c>
      <c r="AD36" s="33">
        <f ca="1">Trades!$Q$47</f>
        <v>54.85</v>
      </c>
      <c r="AE36" s="33">
        <f ca="1">Trades!$P$47</f>
        <v>52.053935185185182</v>
      </c>
      <c r="AF36" s="33">
        <f ca="1">Trades!$S$47</f>
        <v>42</v>
      </c>
      <c r="AH36" s="33">
        <f t="shared" ca="1" si="4"/>
        <v>4555</v>
      </c>
      <c r="AI36" s="33" t="e">
        <f t="shared" ca="1" si="5"/>
        <v>#REF!</v>
      </c>
      <c r="AJ36" s="33" t="e">
        <f t="shared" ca="1" si="6"/>
        <v>#REF!</v>
      </c>
      <c r="AK36" s="33">
        <f t="shared" ca="1" si="7"/>
        <v>-1962.5000000000005</v>
      </c>
      <c r="AL36" s="33" t="e">
        <f t="shared" ca="1" si="8"/>
        <v>#REF!</v>
      </c>
    </row>
    <row r="37" spans="1:38" x14ac:dyDescent="0.2">
      <c r="A37" s="26">
        <v>36707</v>
      </c>
      <c r="B37" s="54">
        <f t="shared" si="0"/>
        <v>6</v>
      </c>
      <c r="C37" t="s">
        <v>106</v>
      </c>
      <c r="D37">
        <f>IF(C37="Y",0,IF(B37=1,0,16))</f>
        <v>16</v>
      </c>
      <c r="E37">
        <f t="shared" si="2"/>
        <v>8</v>
      </c>
      <c r="G37" s="5">
        <f>13</f>
        <v>13</v>
      </c>
      <c r="H37" s="5">
        <v>3</v>
      </c>
      <c r="I37" s="5">
        <v>8</v>
      </c>
      <c r="K37">
        <f ca="1">IF($A37&gt;external_curves!$B$2,ROM_hrs!D37,0)</f>
        <v>16</v>
      </c>
      <c r="L37">
        <f ca="1">IF($A37&gt;external_curves!$B$2,ROM_hrs!E37,0)</f>
        <v>8</v>
      </c>
      <c r="N37">
        <f ca="1">IF($A37&gt;external_curves!$B$2,ROM_hrs!G37,0)</f>
        <v>13</v>
      </c>
      <c r="O37">
        <f ca="1">IF($A37&gt;external_curves!$B$2,ROM_hrs!I37,0)</f>
        <v>8</v>
      </c>
      <c r="P37" t="e">
        <f ca="1">IF($A37&gt;external_curves!$B$2,ROM_hrs!#REF!,0)</f>
        <v>#REF!</v>
      </c>
      <c r="R37">
        <f ca="1">IF(N37=0,0,(N37-3)*Trades!$G$10)</f>
        <v>250</v>
      </c>
      <c r="S37" t="e">
        <f ca="1">Trades!$Q$10*(SUM(N37:P37))</f>
        <v>#REF!</v>
      </c>
      <c r="T37" t="e">
        <f ca="1">(Trades!$AC$10)*(SUM(N37:P37))</f>
        <v>#REF!</v>
      </c>
      <c r="U37">
        <f ca="1">IF(OR(B37=1,B37=7),0,IF(N37=0,0,(Trades!$U$10)*(N37-3)))</f>
        <v>-250</v>
      </c>
      <c r="V37" t="e">
        <f ca="1">IF(OR(ROM_hrs!B37=1,ROM_hrs!B37=7),Trades!$U$10*(P37),IF(O37+P37=0,0,(Trades!$U$10*(ROM_hrs!O37+3))))</f>
        <v>#REF!</v>
      </c>
      <c r="X37" s="12">
        <f ca="1">Trades!$H$10</f>
        <v>36.630000000000003</v>
      </c>
      <c r="Y37" s="12">
        <f ca="1">Trades!$R$10</f>
        <v>34.5</v>
      </c>
      <c r="Z37" s="12">
        <f ca="1">AVERAGE(Trades!$AD$10)</f>
        <v>44.5</v>
      </c>
      <c r="AA37" s="12">
        <f ca="1">Trades!$V$10</f>
        <v>47</v>
      </c>
      <c r="AB37" s="12">
        <f ca="1">Trades!$V$10</f>
        <v>47</v>
      </c>
      <c r="AD37" s="33">
        <f ca="1">Trades!$Q$47</f>
        <v>54.85</v>
      </c>
      <c r="AE37" s="33">
        <f ca="1">Trades!$P$47</f>
        <v>52.053935185185182</v>
      </c>
      <c r="AF37" s="33">
        <f ca="1">Trades!$S$47</f>
        <v>42</v>
      </c>
      <c r="AH37" s="33">
        <f t="shared" ca="1" si="4"/>
        <v>4555</v>
      </c>
      <c r="AI37" s="33" t="e">
        <f t="shared" ca="1" si="5"/>
        <v>#REF!</v>
      </c>
      <c r="AJ37" s="33" t="e">
        <f t="shared" ca="1" si="6"/>
        <v>#REF!</v>
      </c>
      <c r="AK37" s="33">
        <f t="shared" ca="1" si="7"/>
        <v>-1962.5000000000005</v>
      </c>
      <c r="AL37" s="33" t="e">
        <f t="shared" ca="1" si="8"/>
        <v>#REF!</v>
      </c>
    </row>
    <row r="38" spans="1:38" x14ac:dyDescent="0.2">
      <c r="A38" s="26"/>
      <c r="B38" s="54"/>
      <c r="X38" s="12"/>
      <c r="Y38" s="12"/>
      <c r="Z38" s="12"/>
      <c r="AA38" s="12"/>
      <c r="AB38" s="12"/>
      <c r="AD38" s="33"/>
      <c r="AE38" s="33"/>
      <c r="AF38" s="33"/>
      <c r="AH38" s="33"/>
      <c r="AI38" s="33"/>
      <c r="AJ38" s="33"/>
      <c r="AK38" s="33"/>
      <c r="AL38" s="33"/>
    </row>
    <row r="39" spans="1:38" x14ac:dyDescent="0.2">
      <c r="T39">
        <f ca="1">(Trades!$AC$10)*(SUM(N39:P39))</f>
        <v>0</v>
      </c>
    </row>
    <row r="42" spans="1:38" x14ac:dyDescent="0.2">
      <c r="AF42" t="s">
        <v>360</v>
      </c>
      <c r="AG42" s="33" t="e">
        <f ca="1">SUM(AH8:AL38)</f>
        <v>#REF!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D71"/>
  <sheetViews>
    <sheetView workbookViewId="0">
      <selection activeCell="G6" sqref="G6"/>
    </sheetView>
  </sheetViews>
  <sheetFormatPr defaultRowHeight="12.75" x14ac:dyDescent="0.2"/>
  <cols>
    <col min="1" max="1" width="13.5703125" customWidth="1"/>
    <col min="2" max="2" width="15.28515625" customWidth="1"/>
    <col min="3" max="6" width="16.85546875" customWidth="1"/>
    <col min="7" max="30" width="11.7109375" customWidth="1"/>
  </cols>
  <sheetData>
    <row r="3" spans="1:30" x14ac:dyDescent="0.2">
      <c r="A3" s="27" t="s">
        <v>320</v>
      </c>
    </row>
    <row r="5" spans="1:30" x14ac:dyDescent="0.2">
      <c r="A5" s="121" t="s">
        <v>16</v>
      </c>
      <c r="B5" s="198" t="s">
        <v>322</v>
      </c>
      <c r="C5" s="198" t="s">
        <v>323</v>
      </c>
      <c r="D5" s="198" t="s">
        <v>352</v>
      </c>
      <c r="E5" s="198" t="s">
        <v>353</v>
      </c>
      <c r="F5" s="198" t="s">
        <v>373</v>
      </c>
      <c r="G5" s="142" t="s">
        <v>321</v>
      </c>
      <c r="H5" s="142" t="s">
        <v>324</v>
      </c>
      <c r="I5" s="142" t="s">
        <v>325</v>
      </c>
      <c r="J5" s="142" t="s">
        <v>326</v>
      </c>
      <c r="K5" s="142" t="s">
        <v>327</v>
      </c>
      <c r="L5" s="142" t="s">
        <v>328</v>
      </c>
      <c r="M5" s="142" t="s">
        <v>329</v>
      </c>
      <c r="N5" s="142" t="s">
        <v>330</v>
      </c>
      <c r="O5" s="142" t="s">
        <v>331</v>
      </c>
      <c r="P5" s="142" t="s">
        <v>332</v>
      </c>
      <c r="Q5" s="142" t="s">
        <v>333</v>
      </c>
      <c r="R5" s="142" t="s">
        <v>334</v>
      </c>
      <c r="S5" s="142" t="s">
        <v>335</v>
      </c>
      <c r="T5" s="142" t="s">
        <v>336</v>
      </c>
      <c r="U5" s="142" t="s">
        <v>337</v>
      </c>
      <c r="V5" s="142" t="s">
        <v>338</v>
      </c>
      <c r="W5" s="142" t="s">
        <v>339</v>
      </c>
      <c r="X5" s="142" t="s">
        <v>340</v>
      </c>
      <c r="Y5" s="142" t="s">
        <v>341</v>
      </c>
      <c r="Z5" s="142" t="s">
        <v>342</v>
      </c>
      <c r="AA5" s="142" t="s">
        <v>343</v>
      </c>
      <c r="AB5" s="142" t="s">
        <v>344</v>
      </c>
      <c r="AC5" s="142" t="s">
        <v>345</v>
      </c>
      <c r="AD5" s="142" t="s">
        <v>346</v>
      </c>
    </row>
    <row r="6" spans="1:30" x14ac:dyDescent="0.2">
      <c r="A6" s="39">
        <f ca="1">'Alberta Curve'!D40</f>
        <v>36707</v>
      </c>
      <c r="B6" s="12">
        <f ca="1">'Alberta Curve'!F40</f>
        <v>58.75</v>
      </c>
      <c r="C6" s="12">
        <f ca="1">'Alberta Curve'!J40</f>
        <v>35</v>
      </c>
      <c r="D6" s="12">
        <f ca="1">AVERAGE(N6:Z6)</f>
        <v>62.292767368952092</v>
      </c>
      <c r="E6" s="12">
        <f ca="1">AVERAGE(G6:AD6)</f>
        <v>50.833333333333343</v>
      </c>
      <c r="F6" s="12">
        <f ca="1">AVERAGE(AA6:AC6)</f>
        <v>43.398008067874287</v>
      </c>
      <c r="G6" s="197">
        <f ca="1">C6</f>
        <v>35</v>
      </c>
      <c r="H6" s="197">
        <f t="shared" ref="H6:M6" ca="1" si="0">G6</f>
        <v>35</v>
      </c>
      <c r="I6" s="197">
        <f t="shared" ca="1" si="0"/>
        <v>35</v>
      </c>
      <c r="J6" s="197">
        <f t="shared" ca="1" si="0"/>
        <v>35</v>
      </c>
      <c r="K6" s="197">
        <f t="shared" ca="1" si="0"/>
        <v>35</v>
      </c>
      <c r="L6" s="197">
        <f t="shared" ca="1" si="0"/>
        <v>35</v>
      </c>
      <c r="M6" s="197">
        <f t="shared" ca="1" si="0"/>
        <v>35</v>
      </c>
      <c r="N6" s="197">
        <f ca="1">$B6*'Alberta Curve'!AI15</f>
        <v>36.404632268254254</v>
      </c>
      <c r="O6" s="197">
        <f ca="1">$B6*'Alberta Curve'!AJ15</f>
        <v>44.739547696630545</v>
      </c>
      <c r="P6" s="197">
        <f ca="1">$B6*'Alberta Curve'!AK15</f>
        <v>54.171347911082108</v>
      </c>
      <c r="Q6" s="197">
        <f ca="1">$B6*'Alberta Curve'!AL15</f>
        <v>62.778710283186662</v>
      </c>
      <c r="R6" s="197">
        <f ca="1">$B6*'Alberta Curve'!AM15</f>
        <v>72.920561089258229</v>
      </c>
      <c r="S6" s="197">
        <f ca="1">$B6*'Alberta Curve'!AN15</f>
        <v>80.805799765021646</v>
      </c>
      <c r="T6" s="197">
        <f ca="1">$B6*'Alberta Curve'!AO15</f>
        <v>70.905999520161345</v>
      </c>
      <c r="U6" s="197">
        <f ca="1">$B6*'Alberta Curve'!AP15</f>
        <v>71.64687536203067</v>
      </c>
      <c r="V6" s="197">
        <f ca="1">$B6*'Alberta Curve'!AQ15</f>
        <v>77.013068162334591</v>
      </c>
      <c r="W6" s="197">
        <f ca="1">$B6*'Alberta Curve'!AR15</f>
        <v>75.419243177388253</v>
      </c>
      <c r="X6" s="197">
        <f ca="1">$B6*'Alberta Curve'!AS15</f>
        <v>66.174801766223496</v>
      </c>
      <c r="Y6" s="197">
        <f ca="1">$B6*'Alberta Curve'!AT15</f>
        <v>50.674813690795261</v>
      </c>
      <c r="Z6" s="197">
        <f ca="1">$B6*'Alberta Curve'!AU15</f>
        <v>46.150575104010144</v>
      </c>
      <c r="AA6" s="197">
        <f ca="1">$B6*'Alberta Curve'!AV15</f>
        <v>44.071913706783128</v>
      </c>
      <c r="AB6" s="197">
        <f ca="1">$B6*'Alberta Curve'!AW15</f>
        <v>43.539518722126232</v>
      </c>
      <c r="AC6" s="197">
        <f ca="1">$B6*'Alberta Curve'!AX15</f>
        <v>42.582591774713492</v>
      </c>
      <c r="AD6" s="197">
        <f ca="1">C6</f>
        <v>35</v>
      </c>
    </row>
    <row r="7" spans="1:30" x14ac:dyDescent="0.2">
      <c r="A7" s="39">
        <f ca="1">'Alberta Curve'!D41</f>
        <v>36737</v>
      </c>
      <c r="B7" s="12">
        <f ca="1">'Alberta Curve'!F41</f>
        <v>59.5</v>
      </c>
      <c r="C7" s="12">
        <f ca="1">'Alberta Curve'!J41</f>
        <v>35</v>
      </c>
      <c r="D7" s="12">
        <f t="shared" ref="D7:D24" ca="1" si="1">AVERAGE(N7:Z7)</f>
        <v>62.050683865840668</v>
      </c>
      <c r="E7" s="12">
        <f t="shared" ref="E7:E24" ca="1" si="2">AVERAGE(G7:AD7)</f>
        <v>51.333333333333336</v>
      </c>
      <c r="F7" s="12">
        <f t="shared" ref="F7:F24" ca="1" si="3">AVERAGE(AA7:AC7)</f>
        <v>48.447036581357111</v>
      </c>
      <c r="G7" s="197">
        <f t="shared" ref="G7:G12" ca="1" si="4">C7</f>
        <v>35</v>
      </c>
      <c r="H7" s="197">
        <f t="shared" ref="H7:M12" ca="1" si="5">G7</f>
        <v>35</v>
      </c>
      <c r="I7" s="197">
        <f t="shared" ca="1" si="5"/>
        <v>35</v>
      </c>
      <c r="J7" s="197">
        <f t="shared" ca="1" si="5"/>
        <v>35</v>
      </c>
      <c r="K7" s="197">
        <f t="shared" ca="1" si="5"/>
        <v>35</v>
      </c>
      <c r="L7" s="197">
        <f t="shared" ca="1" si="5"/>
        <v>35</v>
      </c>
      <c r="M7" s="197">
        <f t="shared" ca="1" si="5"/>
        <v>35</v>
      </c>
      <c r="N7" s="197">
        <f ca="1">$B7*'Alberta Curve'!AI16</f>
        <v>39.031090541071549</v>
      </c>
      <c r="O7" s="197">
        <f ca="1">$B7*'Alberta Curve'!AJ16</f>
        <v>47.191873829333389</v>
      </c>
      <c r="P7" s="197">
        <f ca="1">$B7*'Alberta Curve'!AK16</f>
        <v>53.495739660278673</v>
      </c>
      <c r="Q7" s="197">
        <f ca="1">$B7*'Alberta Curve'!AL16</f>
        <v>60.83656334696748</v>
      </c>
      <c r="R7" s="197">
        <f ca="1">$B7*'Alberta Curve'!AM16</f>
        <v>72.192215641581001</v>
      </c>
      <c r="S7" s="197">
        <f ca="1">$B7*'Alberta Curve'!AN16</f>
        <v>80.250027766133158</v>
      </c>
      <c r="T7" s="197">
        <f ca="1">$B7*'Alberta Curve'!AO16</f>
        <v>67.988977920477268</v>
      </c>
      <c r="U7" s="197">
        <f ca="1">$B7*'Alberta Curve'!AP16</f>
        <v>68.592311674672317</v>
      </c>
      <c r="V7" s="197">
        <f ca="1">$B7*'Alberta Curve'!AQ16</f>
        <v>66.334951380231743</v>
      </c>
      <c r="W7" s="197">
        <f ca="1">$B7*'Alberta Curve'!AR16</f>
        <v>82.171646615264208</v>
      </c>
      <c r="X7" s="197">
        <f ca="1">$B7*'Alberta Curve'!AS16</f>
        <v>61.802757396765585</v>
      </c>
      <c r="Y7" s="197">
        <f ca="1">$B7*'Alberta Curve'!AT16</f>
        <v>55.22317915681279</v>
      </c>
      <c r="Z7" s="197">
        <f ca="1">$B7*'Alberta Curve'!AU16</f>
        <v>51.547555326339548</v>
      </c>
      <c r="AA7" s="197">
        <f ca="1">$B7*'Alberta Curve'!AV16</f>
        <v>49.220251496681662</v>
      </c>
      <c r="AB7" s="197">
        <f ca="1">$B7*'Alberta Curve'!AW16</f>
        <v>47.980141314217079</v>
      </c>
      <c r="AC7" s="197">
        <f ca="1">$B7*'Alberta Curve'!AX16</f>
        <v>48.140716933172598</v>
      </c>
      <c r="AD7" s="197">
        <f t="shared" ref="AD7:AD24" ca="1" si="6">C7</f>
        <v>35</v>
      </c>
    </row>
    <row r="8" spans="1:30" x14ac:dyDescent="0.2">
      <c r="A8" s="39">
        <f ca="1">'Alberta Curve'!D42</f>
        <v>36768</v>
      </c>
      <c r="B8" s="12">
        <f ca="1">'Alberta Curve'!F42</f>
        <v>66</v>
      </c>
      <c r="C8" s="12">
        <f ca="1">'Alberta Curve'!J42</f>
        <v>32</v>
      </c>
      <c r="D8" s="12">
        <f t="shared" ca="1" si="1"/>
        <v>69.975780926827824</v>
      </c>
      <c r="E8" s="12">
        <f t="shared" ca="1" si="2"/>
        <v>54.666666666666664</v>
      </c>
      <c r="F8" s="12">
        <f t="shared" ca="1" si="3"/>
        <v>48.77161598374613</v>
      </c>
      <c r="G8" s="197">
        <f t="shared" ca="1" si="4"/>
        <v>32</v>
      </c>
      <c r="H8" s="197">
        <f t="shared" ca="1" si="5"/>
        <v>32</v>
      </c>
      <c r="I8" s="197">
        <f t="shared" ca="1" si="5"/>
        <v>32</v>
      </c>
      <c r="J8" s="197">
        <f t="shared" ca="1" si="5"/>
        <v>32</v>
      </c>
      <c r="K8" s="197">
        <f t="shared" ca="1" si="5"/>
        <v>32</v>
      </c>
      <c r="L8" s="197">
        <f t="shared" ca="1" si="5"/>
        <v>32</v>
      </c>
      <c r="M8" s="197">
        <f t="shared" ca="1" si="5"/>
        <v>32</v>
      </c>
      <c r="N8" s="197">
        <f ca="1">$B8*'Alberta Curve'!AI17</f>
        <v>37.532476757462618</v>
      </c>
      <c r="O8" s="197">
        <f ca="1">$B8*'Alberta Curve'!AJ17</f>
        <v>42.821336607425231</v>
      </c>
      <c r="P8" s="197">
        <f ca="1">$B8*'Alberta Curve'!AK17</f>
        <v>50.975869888388942</v>
      </c>
      <c r="Q8" s="197">
        <f ca="1">$B8*'Alberta Curve'!AL17</f>
        <v>60.705024077258969</v>
      </c>
      <c r="R8" s="197">
        <f ca="1">$B8*'Alberta Curve'!AM17</f>
        <v>73.30031018505008</v>
      </c>
      <c r="S8" s="197">
        <f ca="1">$B8*'Alberta Curve'!AN17</f>
        <v>89.038748448784261</v>
      </c>
      <c r="T8" s="197">
        <f ca="1">$B8*'Alberta Curve'!AO17</f>
        <v>89.028694182230311</v>
      </c>
      <c r="U8" s="197">
        <f ca="1">$B8*'Alberta Curve'!AP17</f>
        <v>87.551075874127591</v>
      </c>
      <c r="V8" s="197">
        <f ca="1">$B8*'Alberta Curve'!AQ17</f>
        <v>90.164914279833866</v>
      </c>
      <c r="W8" s="197">
        <f ca="1">$B8*'Alberta Curve'!AR17</f>
        <v>90.508051439947266</v>
      </c>
      <c r="X8" s="197">
        <f ca="1">$B8*'Alberta Curve'!AS17</f>
        <v>92.513357842949119</v>
      </c>
      <c r="Y8" s="197">
        <f ca="1">$B8*'Alberta Curve'!AT17</f>
        <v>56.20063881390147</v>
      </c>
      <c r="Z8" s="197">
        <f ca="1">$B8*'Alberta Curve'!AU17</f>
        <v>49.344653651401927</v>
      </c>
      <c r="AA8" s="197">
        <f ca="1">$B8*'Alberta Curve'!AV17</f>
        <v>48.564619983005677</v>
      </c>
      <c r="AB8" s="197">
        <f ca="1">$B8*'Alberta Curve'!AW17</f>
        <v>51.48832266702771</v>
      </c>
      <c r="AC8" s="197">
        <f ca="1">$B8*'Alberta Curve'!AX17</f>
        <v>46.261905301204997</v>
      </c>
      <c r="AD8" s="197">
        <f t="shared" ca="1" si="6"/>
        <v>32</v>
      </c>
    </row>
    <row r="9" spans="1:30" x14ac:dyDescent="0.2">
      <c r="A9" s="39">
        <f ca="1">'Alberta Curve'!D43</f>
        <v>36799</v>
      </c>
      <c r="B9" s="12">
        <f ca="1">'Alberta Curve'!F43</f>
        <v>65</v>
      </c>
      <c r="C9" s="12">
        <f ca="1">'Alberta Curve'!J43</f>
        <v>32</v>
      </c>
      <c r="D9" s="12">
        <f t="shared" ca="1" si="1"/>
        <v>66.34483306622252</v>
      </c>
      <c r="E9" s="12">
        <f t="shared" ca="1" si="2"/>
        <v>54</v>
      </c>
      <c r="F9" s="12">
        <f t="shared" ca="1" si="3"/>
        <v>59.172390046369117</v>
      </c>
      <c r="G9" s="197">
        <f t="shared" ca="1" si="4"/>
        <v>32</v>
      </c>
      <c r="H9" s="197">
        <f t="shared" ca="1" si="5"/>
        <v>32</v>
      </c>
      <c r="I9" s="197">
        <f t="shared" ca="1" si="5"/>
        <v>32</v>
      </c>
      <c r="J9" s="197">
        <f t="shared" ca="1" si="5"/>
        <v>32</v>
      </c>
      <c r="K9" s="197">
        <f t="shared" ca="1" si="5"/>
        <v>32</v>
      </c>
      <c r="L9" s="197">
        <f t="shared" ca="1" si="5"/>
        <v>32</v>
      </c>
      <c r="M9" s="197">
        <f t="shared" ca="1" si="5"/>
        <v>32</v>
      </c>
      <c r="N9" s="197">
        <f ca="1">$B9*'Alberta Curve'!AI18</f>
        <v>47.746765007905417</v>
      </c>
      <c r="O9" s="197">
        <f ca="1">$B9*'Alberta Curve'!AJ18</f>
        <v>52.146997262805584</v>
      </c>
      <c r="P9" s="197">
        <f ca="1">$B9*'Alberta Curve'!AK18</f>
        <v>58.492125099761068</v>
      </c>
      <c r="Q9" s="197">
        <f ca="1">$B9*'Alberta Curve'!AL18</f>
        <v>62.519636111931355</v>
      </c>
      <c r="R9" s="197">
        <f ca="1">$B9*'Alberta Curve'!AM18</f>
        <v>65.316957350903479</v>
      </c>
      <c r="S9" s="197">
        <f ca="1">$B9*'Alberta Curve'!AN18</f>
        <v>83.294792821689882</v>
      </c>
      <c r="T9" s="197">
        <f ca="1">$B9*'Alberta Curve'!AO18</f>
        <v>77.590151609680589</v>
      </c>
      <c r="U9" s="197">
        <f ca="1">$B9*'Alberta Curve'!AP18</f>
        <v>77.467210647180067</v>
      </c>
      <c r="V9" s="197">
        <f ca="1">$B9*'Alberta Curve'!AQ18</f>
        <v>81.253495173614994</v>
      </c>
      <c r="W9" s="197">
        <f ca="1">$B9*'Alberta Curve'!AR18</f>
        <v>72.4375343739474</v>
      </c>
      <c r="X9" s="197">
        <f ca="1">$B9*'Alberta Curve'!AS18</f>
        <v>66.88446304423708</v>
      </c>
      <c r="Y9" s="197">
        <f ca="1">$B9*'Alberta Curve'!AT18</f>
        <v>59.233630763824763</v>
      </c>
      <c r="Z9" s="197">
        <f ca="1">$B9*'Alberta Curve'!AU18</f>
        <v>58.099070593410978</v>
      </c>
      <c r="AA9" s="197">
        <f ca="1">$B9*'Alberta Curve'!AV18</f>
        <v>67.052423316143319</v>
      </c>
      <c r="AB9" s="197">
        <f ca="1">$B9*'Alberta Curve'!AW18</f>
        <v>60.165932760834799</v>
      </c>
      <c r="AC9" s="197">
        <f ca="1">$B9*'Alberta Curve'!AX18</f>
        <v>50.29881406212921</v>
      </c>
      <c r="AD9" s="197">
        <f t="shared" ca="1" si="6"/>
        <v>32</v>
      </c>
    </row>
    <row r="10" spans="1:30" x14ac:dyDescent="0.2">
      <c r="A10" s="39">
        <f ca="1">'Alberta Curve'!D44</f>
        <v>36829</v>
      </c>
      <c r="B10" s="12">
        <f ca="1">'Alberta Curve'!F44</f>
        <v>74</v>
      </c>
      <c r="C10" s="12">
        <f ca="1">'Alberta Curve'!J44</f>
        <v>33</v>
      </c>
      <c r="D10" s="12">
        <f t="shared" ca="1" si="1"/>
        <v>74.96838288145662</v>
      </c>
      <c r="E10" s="12">
        <f t="shared" ca="1" si="2"/>
        <v>60.333333333333336</v>
      </c>
      <c r="F10" s="12">
        <f t="shared" ca="1" si="3"/>
        <v>69.803674180354562</v>
      </c>
      <c r="G10" s="197">
        <f t="shared" ca="1" si="4"/>
        <v>33</v>
      </c>
      <c r="H10" s="197">
        <f t="shared" ca="1" si="5"/>
        <v>33</v>
      </c>
      <c r="I10" s="197">
        <f t="shared" ca="1" si="5"/>
        <v>33</v>
      </c>
      <c r="J10" s="197">
        <f t="shared" ca="1" si="5"/>
        <v>33</v>
      </c>
      <c r="K10" s="197">
        <f t="shared" ca="1" si="5"/>
        <v>33</v>
      </c>
      <c r="L10" s="197">
        <f t="shared" ca="1" si="5"/>
        <v>33</v>
      </c>
      <c r="M10" s="197">
        <f t="shared" ca="1" si="5"/>
        <v>33</v>
      </c>
      <c r="N10" s="197">
        <f ca="1">$B10*'Alberta Curve'!AI19</f>
        <v>58.699943614983972</v>
      </c>
      <c r="O10" s="197">
        <f ca="1">$B10*'Alberta Curve'!AJ19</f>
        <v>66.270475612074492</v>
      </c>
      <c r="P10" s="197">
        <f ca="1">$B10*'Alberta Curve'!AK19</f>
        <v>66.399544134376455</v>
      </c>
      <c r="Q10" s="197">
        <f ca="1">$B10*'Alberta Curve'!AL19</f>
        <v>71.159581030900782</v>
      </c>
      <c r="R10" s="197">
        <f ca="1">$B10*'Alberta Curve'!AM19</f>
        <v>79.652784278100825</v>
      </c>
      <c r="S10" s="197">
        <f ca="1">$B10*'Alberta Curve'!AN19</f>
        <v>76.735816398641788</v>
      </c>
      <c r="T10" s="197">
        <f ca="1">$B10*'Alberta Curve'!AO19</f>
        <v>72.692095508589006</v>
      </c>
      <c r="U10" s="197">
        <f ca="1">$B10*'Alberta Curve'!AP19</f>
        <v>74.274953554779785</v>
      </c>
      <c r="V10" s="197">
        <f ca="1">$B10*'Alberta Curve'!AQ19</f>
        <v>71.351947685840429</v>
      </c>
      <c r="W10" s="197">
        <f ca="1">$B10*'Alberta Curve'!AR19</f>
        <v>79.190819128608936</v>
      </c>
      <c r="X10" s="197">
        <f ca="1">$B10*'Alberta Curve'!AS19</f>
        <v>89.312794528063137</v>
      </c>
      <c r="Y10" s="197">
        <f ca="1">$B10*'Alberta Curve'!AT19</f>
        <v>81.681825661947229</v>
      </c>
      <c r="Z10" s="197">
        <f ca="1">$B10*'Alberta Curve'!AU19</f>
        <v>87.166396322029456</v>
      </c>
      <c r="AA10" s="197">
        <f ca="1">$B10*'Alberta Curve'!AV19</f>
        <v>84.204638515073412</v>
      </c>
      <c r="AB10" s="197">
        <f ca="1">$B10*'Alberta Curve'!AW19</f>
        <v>71.014747058275731</v>
      </c>
      <c r="AC10" s="197">
        <f ca="1">$B10*'Alberta Curve'!AX19</f>
        <v>54.191636967714558</v>
      </c>
      <c r="AD10" s="197">
        <f t="shared" ca="1" si="6"/>
        <v>33</v>
      </c>
    </row>
    <row r="11" spans="1:30" x14ac:dyDescent="0.2">
      <c r="A11" s="39">
        <f ca="1">'Alberta Curve'!D45</f>
        <v>36860</v>
      </c>
      <c r="B11" s="12">
        <f ca="1">'Alberta Curve'!F45</f>
        <v>57.5</v>
      </c>
      <c r="C11" s="12">
        <f ca="1">'Alberta Curve'!J45</f>
        <v>28.75</v>
      </c>
      <c r="D11" s="12">
        <f t="shared" ca="1" si="1"/>
        <v>58.209363118530867</v>
      </c>
      <c r="E11" s="12">
        <f t="shared" ca="1" si="2"/>
        <v>47.916666666666664</v>
      </c>
      <c r="F11" s="12">
        <f t="shared" ca="1" si="3"/>
        <v>54.426093153032944</v>
      </c>
      <c r="G11" s="197">
        <f t="shared" ca="1" si="4"/>
        <v>28.75</v>
      </c>
      <c r="H11" s="197">
        <f t="shared" ca="1" si="5"/>
        <v>28.75</v>
      </c>
      <c r="I11" s="197">
        <f t="shared" ca="1" si="5"/>
        <v>28.75</v>
      </c>
      <c r="J11" s="197">
        <f t="shared" ca="1" si="5"/>
        <v>28.75</v>
      </c>
      <c r="K11" s="197">
        <f t="shared" ca="1" si="5"/>
        <v>28.75</v>
      </c>
      <c r="L11" s="197">
        <f t="shared" ca="1" si="5"/>
        <v>28.75</v>
      </c>
      <c r="M11" s="197">
        <f t="shared" ca="1" si="5"/>
        <v>28.75</v>
      </c>
      <c r="N11" s="197">
        <f ca="1">$B11*'Alberta Curve'!AI20</f>
        <v>50.862264085661806</v>
      </c>
      <c r="O11" s="197">
        <f ca="1">$B11*'Alberta Curve'!AJ20</f>
        <v>54.982907648001451</v>
      </c>
      <c r="P11" s="197">
        <f ca="1">$B11*'Alberta Curve'!AK20</f>
        <v>56.071606338785401</v>
      </c>
      <c r="Q11" s="197">
        <f ca="1">$B11*'Alberta Curve'!AL20</f>
        <v>56.816422730032535</v>
      </c>
      <c r="R11" s="197">
        <f ca="1">$B11*'Alberta Curve'!AM20</f>
        <v>57.311882990309499</v>
      </c>
      <c r="S11" s="197">
        <f ca="1">$B11*'Alberta Curve'!AN20</f>
        <v>56.493828398729207</v>
      </c>
      <c r="T11" s="197">
        <f ca="1">$B11*'Alberta Curve'!AO20</f>
        <v>54.957969236804168</v>
      </c>
      <c r="U11" s="197">
        <f ca="1">$B11*'Alberta Curve'!AP20</f>
        <v>54.518546782408528</v>
      </c>
      <c r="V11" s="197">
        <f ca="1">$B11*'Alberta Curve'!AQ20</f>
        <v>55.281212381806931</v>
      </c>
      <c r="W11" s="197">
        <f ca="1">$B11*'Alberta Curve'!AR20</f>
        <v>62.101273985940232</v>
      </c>
      <c r="X11" s="197">
        <f ca="1">$B11*'Alberta Curve'!AS20</f>
        <v>73.680060287446992</v>
      </c>
      <c r="Y11" s="197">
        <f ca="1">$B11*'Alberta Curve'!AT20</f>
        <v>63.775882663724424</v>
      </c>
      <c r="Z11" s="197">
        <f ca="1">$B11*'Alberta Curve'!AU20</f>
        <v>59.867863011250037</v>
      </c>
      <c r="AA11" s="197">
        <f ca="1">$B11*'Alberta Curve'!AV20</f>
        <v>58.008053195450508</v>
      </c>
      <c r="AB11" s="197">
        <f ca="1">$B11*'Alberta Curve'!AW20</f>
        <v>55.700447884516649</v>
      </c>
      <c r="AC11" s="197">
        <f ca="1">$B11*'Alberta Curve'!AX20</f>
        <v>49.569778379131662</v>
      </c>
      <c r="AD11" s="197">
        <f t="shared" ca="1" si="6"/>
        <v>28.75</v>
      </c>
    </row>
    <row r="12" spans="1:30" x14ac:dyDescent="0.2">
      <c r="A12" s="39">
        <f ca="1">'Alberta Curve'!D46</f>
        <v>36890</v>
      </c>
      <c r="B12" s="12">
        <f ca="1">'Alberta Curve'!F46</f>
        <v>60.75</v>
      </c>
      <c r="C12" s="12">
        <f ca="1">'Alberta Curve'!J46</f>
        <v>28.75</v>
      </c>
      <c r="D12" s="12">
        <f t="shared" ca="1" si="1"/>
        <v>61.257022197234946</v>
      </c>
      <c r="E12" s="12">
        <f t="shared" ca="1" si="2"/>
        <v>50.256460685542571</v>
      </c>
      <c r="F12" s="12">
        <f t="shared" ca="1" si="3"/>
        <v>59.937922629655787</v>
      </c>
      <c r="G12" s="197">
        <f t="shared" ca="1" si="4"/>
        <v>28.75</v>
      </c>
      <c r="H12" s="197">
        <f t="shared" ca="1" si="5"/>
        <v>28.75</v>
      </c>
      <c r="I12" s="197">
        <f t="shared" ca="1" si="5"/>
        <v>28.75</v>
      </c>
      <c r="J12" s="197">
        <f t="shared" ca="1" si="5"/>
        <v>28.75</v>
      </c>
      <c r="K12" s="197">
        <f t="shared" ca="1" si="5"/>
        <v>28.75</v>
      </c>
      <c r="L12" s="197">
        <f t="shared" ca="1" si="5"/>
        <v>28.75</v>
      </c>
      <c r="M12" s="197">
        <f t="shared" ca="1" si="5"/>
        <v>28.75</v>
      </c>
      <c r="N12" s="197">
        <f ca="1">$B12*'Alberta Curve'!AI21</f>
        <v>47.046028520374875</v>
      </c>
      <c r="O12" s="197">
        <f ca="1">$B12*'Alberta Curve'!AJ21</f>
        <v>52.738314882657768</v>
      </c>
      <c r="P12" s="197">
        <f ca="1">$B12*'Alberta Curve'!AK21</f>
        <v>52.418627399992332</v>
      </c>
      <c r="Q12" s="197">
        <f ca="1">$B12*'Alberta Curve'!AL21</f>
        <v>55.18337184968059</v>
      </c>
      <c r="R12" s="197">
        <f ca="1">$B12*'Alberta Curve'!AM21</f>
        <v>52.426040103561711</v>
      </c>
      <c r="S12" s="197">
        <f ca="1">$B12*'Alberta Curve'!AN21</f>
        <v>51.486028754024126</v>
      </c>
      <c r="T12" s="197">
        <f ca="1">$B12*'Alberta Curve'!AO21</f>
        <v>50.808169946047094</v>
      </c>
      <c r="U12" s="197">
        <f ca="1">$B12*'Alberta Curve'!AP21</f>
        <v>49.530864091448954</v>
      </c>
      <c r="V12" s="197">
        <f ca="1">$B12*'Alberta Curve'!AQ21</f>
        <v>49.853038631252311</v>
      </c>
      <c r="W12" s="197">
        <f ca="1">$B12*'Alberta Curve'!AR21</f>
        <v>70.616344736755849</v>
      </c>
      <c r="X12" s="197">
        <f ca="1">$B12*'Alberta Curve'!AS21</f>
        <v>98.585564214963313</v>
      </c>
      <c r="Y12" s="197">
        <f ca="1">$B12*'Alberta Curve'!AT21</f>
        <v>95.581979154688582</v>
      </c>
      <c r="Z12" s="197">
        <f ca="1">$B12*'Alberta Curve'!AU21</f>
        <v>70.066916278606683</v>
      </c>
      <c r="AA12" s="197">
        <f ca="1">$B12*'Alberta Curve'!AV21</f>
        <v>69.136438841550302</v>
      </c>
      <c r="AB12" s="197">
        <f ca="1">$B12*'Alberta Curve'!AW21</f>
        <v>61.203445210511099</v>
      </c>
      <c r="AC12" s="197">
        <f ca="1">$B12*'Alberta Curve'!AX21</f>
        <v>49.473883836905962</v>
      </c>
      <c r="AD12" s="197">
        <f t="shared" ca="1" si="6"/>
        <v>28.75</v>
      </c>
    </row>
    <row r="13" spans="1:30" x14ac:dyDescent="0.2">
      <c r="A13" s="39">
        <v>36921</v>
      </c>
      <c r="B13" s="12">
        <f ca="1">'Alberta Curve'!F47</f>
        <v>92.356290131675621</v>
      </c>
      <c r="C13" s="12">
        <f ca="1">'Alberta Curve'!J47</f>
        <v>33</v>
      </c>
      <c r="D13" s="12">
        <f t="shared" ca="1" si="1"/>
        <v>93.867929975674869</v>
      </c>
      <c r="E13" s="12">
        <f t="shared" ca="1" si="2"/>
        <v>72.570860087783743</v>
      </c>
      <c r="F13" s="12">
        <f t="shared" ca="1" si="3"/>
        <v>85.805850807678823</v>
      </c>
      <c r="G13" s="197">
        <f t="shared" ref="G13:G24" ca="1" si="7">C13</f>
        <v>33</v>
      </c>
      <c r="H13" s="197">
        <f t="shared" ref="H13:M13" ca="1" si="8">G13</f>
        <v>33</v>
      </c>
      <c r="I13" s="197">
        <f t="shared" ca="1" si="8"/>
        <v>33</v>
      </c>
      <c r="J13" s="197">
        <f t="shared" ca="1" si="8"/>
        <v>33</v>
      </c>
      <c r="K13" s="197">
        <f t="shared" ca="1" si="8"/>
        <v>33</v>
      </c>
      <c r="L13" s="197">
        <f t="shared" ca="1" si="8"/>
        <v>33</v>
      </c>
      <c r="M13" s="197">
        <f t="shared" ca="1" si="8"/>
        <v>33</v>
      </c>
      <c r="N13" s="197">
        <f ca="1">$B13*'Alberta Curve'!AI10</f>
        <v>80.438235641989579</v>
      </c>
      <c r="O13" s="197">
        <f ca="1">$B13*'Alberta Curve'!AJ10</f>
        <v>88.737441979535689</v>
      </c>
      <c r="P13" s="197">
        <f ca="1">$B13*'Alberta Curve'!AK10</f>
        <v>84.617051204852672</v>
      </c>
      <c r="Q13" s="197">
        <f ca="1">$B13*'Alberta Curve'!AL10</f>
        <v>86.600845518755804</v>
      </c>
      <c r="R13" s="197">
        <f ca="1">$B13*'Alberta Curve'!AM10</f>
        <v>87.675341715202933</v>
      </c>
      <c r="S13" s="197">
        <f ca="1">$B13*'Alberta Curve'!AN10</f>
        <v>85.00336561436832</v>
      </c>
      <c r="T13" s="197">
        <f ca="1">$B13*'Alberta Curve'!AO10</f>
        <v>82.797965246210723</v>
      </c>
      <c r="U13" s="197">
        <f ca="1">$B13*'Alberta Curve'!AP10</f>
        <v>82.185987364698889</v>
      </c>
      <c r="V13" s="197">
        <f ca="1">$B13*'Alberta Curve'!AQ10</f>
        <v>83.869597183691695</v>
      </c>
      <c r="W13" s="197">
        <f ca="1">$B13*'Alberta Curve'!AR10</f>
        <v>97.173387548487995</v>
      </c>
      <c r="X13" s="197">
        <f ca="1">$B13*'Alberta Curve'!AS10</f>
        <v>141.66517288517292</v>
      </c>
      <c r="Y13" s="197">
        <f ca="1">$B13*'Alberta Curve'!AT10</f>
        <v>121.01745430900206</v>
      </c>
      <c r="Z13" s="197">
        <f ca="1">$B13*'Alberta Curve'!AU10</f>
        <v>98.501243471804116</v>
      </c>
      <c r="AA13" s="197">
        <f ca="1">$B13*'Alberta Curve'!AV10</f>
        <v>94.040387680588594</v>
      </c>
      <c r="AB13" s="197">
        <f ca="1">$B13*'Alberta Curve'!AW10</f>
        <v>88.000233180542494</v>
      </c>
      <c r="AC13" s="197">
        <f ca="1">$B13*'Alberta Curve'!AX10</f>
        <v>75.376931561905366</v>
      </c>
      <c r="AD13" s="197">
        <f t="shared" ca="1" si="6"/>
        <v>33</v>
      </c>
    </row>
    <row r="14" spans="1:30" x14ac:dyDescent="0.2">
      <c r="A14" s="39">
        <v>36950</v>
      </c>
      <c r="B14" s="12">
        <f ca="1">'Alberta Curve'!F48</f>
        <v>87.526645319728701</v>
      </c>
      <c r="C14" s="12">
        <f ca="1">'Alberta Curve'!J48</f>
        <v>30</v>
      </c>
      <c r="D14" s="12">
        <f t="shared" ca="1" si="1"/>
        <v>88.711795003992691</v>
      </c>
      <c r="E14" s="12">
        <f t="shared" ca="1" si="2"/>
        <v>68.35109687981911</v>
      </c>
      <c r="F14" s="12">
        <f t="shared" ca="1" si="3"/>
        <v>82.390996687918019</v>
      </c>
      <c r="G14" s="197">
        <f t="shared" ca="1" si="7"/>
        <v>30</v>
      </c>
      <c r="H14" s="197">
        <f t="shared" ref="H14:M14" ca="1" si="9">G14</f>
        <v>30</v>
      </c>
      <c r="I14" s="197">
        <f t="shared" ca="1" si="9"/>
        <v>30</v>
      </c>
      <c r="J14" s="197">
        <f t="shared" ca="1" si="9"/>
        <v>30</v>
      </c>
      <c r="K14" s="197">
        <f t="shared" ca="1" si="9"/>
        <v>30</v>
      </c>
      <c r="L14" s="197">
        <f t="shared" ca="1" si="9"/>
        <v>30</v>
      </c>
      <c r="M14" s="197">
        <f t="shared" ca="1" si="9"/>
        <v>30</v>
      </c>
      <c r="N14" s="197">
        <f ca="1">$B14*'Alberta Curve'!AI11</f>
        <v>77.799728350419073</v>
      </c>
      <c r="O14" s="197">
        <f ca="1">$B14*'Alberta Curve'!AJ11</f>
        <v>83.865845859688605</v>
      </c>
      <c r="P14" s="197">
        <f ca="1">$B14*'Alberta Curve'!AK11</f>
        <v>84.444888415807768</v>
      </c>
      <c r="Q14" s="197">
        <f ca="1">$B14*'Alberta Curve'!AL11</f>
        <v>85.448315333215362</v>
      </c>
      <c r="R14" s="197">
        <f ca="1">$B14*'Alberta Curve'!AM11</f>
        <v>86.224657865591411</v>
      </c>
      <c r="S14" s="197">
        <f ca="1">$B14*'Alberta Curve'!AN11</f>
        <v>85.840426402044216</v>
      </c>
      <c r="T14" s="197">
        <f ca="1">$B14*'Alberta Curve'!AO11</f>
        <v>84.992347720023673</v>
      </c>
      <c r="U14" s="197">
        <f ca="1">$B14*'Alberta Curve'!AP11</f>
        <v>80.996367381775201</v>
      </c>
      <c r="V14" s="197">
        <f ca="1">$B14*'Alberta Curve'!AQ11</f>
        <v>82.139101052296979</v>
      </c>
      <c r="W14" s="197">
        <f ca="1">$B14*'Alberta Curve'!AR11</f>
        <v>88.699443059982897</v>
      </c>
      <c r="X14" s="197">
        <f ca="1">$B14*'Alberta Curve'!AS11</f>
        <v>103.61284681290371</v>
      </c>
      <c r="Y14" s="197">
        <f ca="1">$B14*'Alberta Curve'!AT11</f>
        <v>109.85157930933551</v>
      </c>
      <c r="Z14" s="197">
        <f ca="1">$B14*'Alberta Curve'!AU11</f>
        <v>99.337787488820624</v>
      </c>
      <c r="AA14" s="197">
        <f ca="1">$B14*'Alberta Curve'!AV11</f>
        <v>90.739521835397326</v>
      </c>
      <c r="AB14" s="197">
        <f ca="1">$B14*'Alberta Curve'!AW11</f>
        <v>83.861160364756799</v>
      </c>
      <c r="AC14" s="197">
        <f ca="1">$B14*'Alberta Curve'!AX11</f>
        <v>72.57230786359996</v>
      </c>
      <c r="AD14" s="197">
        <f t="shared" ca="1" si="6"/>
        <v>30</v>
      </c>
    </row>
    <row r="15" spans="1:30" x14ac:dyDescent="0.2">
      <c r="A15" s="39">
        <v>36980</v>
      </c>
      <c r="B15" s="12">
        <f ca="1">'Alberta Curve'!F49</f>
        <v>82.489032106523752</v>
      </c>
      <c r="C15" s="12">
        <f ca="1">'Alberta Curve'!J49</f>
        <v>31</v>
      </c>
      <c r="D15" s="12">
        <f t="shared" ca="1" si="1"/>
        <v>82.277378733006557</v>
      </c>
      <c r="E15" s="12">
        <f t="shared" ca="1" si="2"/>
        <v>65.326021404349163</v>
      </c>
      <c r="F15" s="12">
        <f t="shared" ca="1" si="3"/>
        <v>83.406196725098269</v>
      </c>
      <c r="G15" s="197">
        <f t="shared" ca="1" si="7"/>
        <v>31</v>
      </c>
      <c r="H15" s="197">
        <f t="shared" ref="H15:M15" ca="1" si="10">G15</f>
        <v>31</v>
      </c>
      <c r="I15" s="197">
        <f t="shared" ca="1" si="10"/>
        <v>31</v>
      </c>
      <c r="J15" s="197">
        <f t="shared" ca="1" si="10"/>
        <v>31</v>
      </c>
      <c r="K15" s="197">
        <f t="shared" ca="1" si="10"/>
        <v>31</v>
      </c>
      <c r="L15" s="197">
        <f t="shared" ca="1" si="10"/>
        <v>31</v>
      </c>
      <c r="M15" s="197">
        <f t="shared" ca="1" si="10"/>
        <v>31</v>
      </c>
      <c r="N15" s="197">
        <f ca="1">$B15*'Alberta Curve'!AI12</f>
        <v>61.978473814012453</v>
      </c>
      <c r="O15" s="197">
        <f ca="1">$B15*'Alberta Curve'!AJ12</f>
        <v>71.99999559207474</v>
      </c>
      <c r="P15" s="197">
        <f ca="1">$B15*'Alberta Curve'!AK12</f>
        <v>91.46893636761466</v>
      </c>
      <c r="Q15" s="197">
        <f ca="1">$B15*'Alberta Curve'!AL12</f>
        <v>87.559597448276421</v>
      </c>
      <c r="R15" s="197">
        <f ca="1">$B15*'Alberta Curve'!AM12</f>
        <v>85.465179636561189</v>
      </c>
      <c r="S15" s="197">
        <f ca="1">$B15*'Alberta Curve'!AN12</f>
        <v>82.113638932424493</v>
      </c>
      <c r="T15" s="197">
        <f ca="1">$B15*'Alberta Curve'!AO12</f>
        <v>80.073096943879023</v>
      </c>
      <c r="U15" s="197">
        <f ca="1">$B15*'Alberta Curve'!AP12</f>
        <v>79.288296185416456</v>
      </c>
      <c r="V15" s="197">
        <f ca="1">$B15*'Alberta Curve'!AQ12</f>
        <v>78.030200090888613</v>
      </c>
      <c r="W15" s="197">
        <f ca="1">$B15*'Alberta Curve'!AR12</f>
        <v>82.961597741699535</v>
      </c>
      <c r="X15" s="197">
        <f ca="1">$B15*'Alberta Curve'!AS12</f>
        <v>86.122217167999949</v>
      </c>
      <c r="Y15" s="197">
        <f ca="1">$B15*'Alberta Curve'!AT12</f>
        <v>81.708190183514986</v>
      </c>
      <c r="Z15" s="197">
        <f ca="1">$B15*'Alberta Curve'!AU12</f>
        <v>100.83650342472289</v>
      </c>
      <c r="AA15" s="197">
        <f ca="1">$B15*'Alberta Curve'!AV12</f>
        <v>96.821626285694123</v>
      </c>
      <c r="AB15" s="197">
        <f ca="1">$B15*'Alberta Curve'!AW12</f>
        <v>85.457348392639972</v>
      </c>
      <c r="AC15" s="197">
        <f ca="1">$B15*'Alberta Curve'!AX12</f>
        <v>67.939615496960727</v>
      </c>
      <c r="AD15" s="197">
        <f t="shared" ca="1" si="6"/>
        <v>31</v>
      </c>
    </row>
    <row r="16" spans="1:30" x14ac:dyDescent="0.2">
      <c r="A16" s="39">
        <v>37011</v>
      </c>
      <c r="B16" s="12">
        <f ca="1">'Alberta Curve'!F50</f>
        <v>76.885873780335103</v>
      </c>
      <c r="C16" s="12">
        <f ca="1">'Alberta Curve'!J50</f>
        <v>29.5</v>
      </c>
      <c r="D16" s="12">
        <f t="shared" ca="1" si="1"/>
        <v>77.844300307362005</v>
      </c>
      <c r="E16" s="12">
        <f t="shared" ca="1" si="2"/>
        <v>61.0905825202234</v>
      </c>
      <c r="F16" s="12">
        <f t="shared" ca="1" si="3"/>
        <v>72.732692163218545</v>
      </c>
      <c r="G16" s="197">
        <f t="shared" ca="1" si="7"/>
        <v>29.5</v>
      </c>
      <c r="H16" s="197">
        <f t="shared" ref="H16:M16" ca="1" si="11">G16</f>
        <v>29.5</v>
      </c>
      <c r="I16" s="197">
        <f t="shared" ca="1" si="11"/>
        <v>29.5</v>
      </c>
      <c r="J16" s="197">
        <f t="shared" ca="1" si="11"/>
        <v>29.5</v>
      </c>
      <c r="K16" s="197">
        <f t="shared" ca="1" si="11"/>
        <v>29.5</v>
      </c>
      <c r="L16" s="197">
        <f t="shared" ca="1" si="11"/>
        <v>29.5</v>
      </c>
      <c r="M16" s="197">
        <f t="shared" ca="1" si="11"/>
        <v>29.5</v>
      </c>
      <c r="N16" s="197">
        <f ca="1">$B16*'Alberta Curve'!AI13</f>
        <v>56.221248833971188</v>
      </c>
      <c r="O16" s="197">
        <f ca="1">$B16*'Alberta Curve'!AJ13</f>
        <v>73.599690400689269</v>
      </c>
      <c r="P16" s="197">
        <f ca="1">$B16*'Alberta Curve'!AK13</f>
        <v>79.207582460444101</v>
      </c>
      <c r="Q16" s="197">
        <f ca="1">$B16*'Alberta Curve'!AL13</f>
        <v>83.06778079523194</v>
      </c>
      <c r="R16" s="197">
        <f ca="1">$B16*'Alberta Curve'!AM13</f>
        <v>82.471767242314584</v>
      </c>
      <c r="S16" s="197">
        <f ca="1">$B16*'Alberta Curve'!AN13</f>
        <v>83.400738107777514</v>
      </c>
      <c r="T16" s="197">
        <f ca="1">$B16*'Alberta Curve'!AO13</f>
        <v>83.231513257988226</v>
      </c>
      <c r="U16" s="197">
        <f ca="1">$B16*'Alberta Curve'!AP13</f>
        <v>89.816419095337523</v>
      </c>
      <c r="V16" s="197">
        <f ca="1">$B16*'Alberta Curve'!AQ13</f>
        <v>80.689199700891351</v>
      </c>
      <c r="W16" s="197">
        <f ca="1">$B16*'Alberta Curve'!AR13</f>
        <v>81.602768111613386</v>
      </c>
      <c r="X16" s="197">
        <f ca="1">$B16*'Alberta Curve'!AS13</f>
        <v>84.685412761228548</v>
      </c>
      <c r="Y16" s="197">
        <f ca="1">$B16*'Alberta Curve'!AT13</f>
        <v>69.653423353879646</v>
      </c>
      <c r="Z16" s="197">
        <f ca="1">$B16*'Alberta Curve'!AU13</f>
        <v>64.328359874338858</v>
      </c>
      <c r="AA16" s="197">
        <f ca="1">$B16*'Alberta Curve'!AV13</f>
        <v>70.91949411584649</v>
      </c>
      <c r="AB16" s="197">
        <f ca="1">$B16*'Alberta Curve'!AW13</f>
        <v>83.314440316112268</v>
      </c>
      <c r="AC16" s="197">
        <f ca="1">$B16*'Alberta Curve'!AX13</f>
        <v>63.964142057696876</v>
      </c>
      <c r="AD16" s="197">
        <f t="shared" ca="1" si="6"/>
        <v>29.5</v>
      </c>
    </row>
    <row r="17" spans="1:30" x14ac:dyDescent="0.2">
      <c r="A17" s="39">
        <v>37041</v>
      </c>
      <c r="B17" s="12">
        <f ca="1">'Alberta Curve'!F51</f>
        <v>74.72377543445306</v>
      </c>
      <c r="C17" s="12">
        <f ca="1">'Alberta Curve'!J51</f>
        <v>32</v>
      </c>
      <c r="D17" s="12">
        <f t="shared" ca="1" si="1"/>
        <v>76.34102274214068</v>
      </c>
      <c r="E17" s="12">
        <f t="shared" ca="1" si="2"/>
        <v>60.482516956302049</v>
      </c>
      <c r="F17" s="12">
        <f t="shared" ca="1" si="3"/>
        <v>67.715703767806758</v>
      </c>
      <c r="G17" s="197">
        <f t="shared" ca="1" si="7"/>
        <v>32</v>
      </c>
      <c r="H17" s="197">
        <f t="shared" ref="H17:M17" ca="1" si="12">G17</f>
        <v>32</v>
      </c>
      <c r="I17" s="197">
        <f t="shared" ca="1" si="12"/>
        <v>32</v>
      </c>
      <c r="J17" s="197">
        <f t="shared" ca="1" si="12"/>
        <v>32</v>
      </c>
      <c r="K17" s="197">
        <f t="shared" ca="1" si="12"/>
        <v>32</v>
      </c>
      <c r="L17" s="197">
        <f t="shared" ca="1" si="12"/>
        <v>32</v>
      </c>
      <c r="M17" s="197">
        <f t="shared" ca="1" si="12"/>
        <v>32</v>
      </c>
      <c r="N17" s="197">
        <f ca="1">$B17*'Alberta Curve'!AI14</f>
        <v>48.476942960111906</v>
      </c>
      <c r="O17" s="197">
        <f ca="1">$B17*'Alberta Curve'!AJ14</f>
        <v>58.509308059841743</v>
      </c>
      <c r="P17" s="197">
        <f ca="1">$B17*'Alberta Curve'!AK14</f>
        <v>67.431854406396795</v>
      </c>
      <c r="Q17" s="197">
        <f ca="1">$B17*'Alberta Curve'!AL14</f>
        <v>81.655114329249656</v>
      </c>
      <c r="R17" s="197">
        <f ca="1">$B17*'Alberta Curve'!AM14</f>
        <v>86.134865831726756</v>
      </c>
      <c r="S17" s="197">
        <f ca="1">$B17*'Alberta Curve'!AN14</f>
        <v>80.087265196083251</v>
      </c>
      <c r="T17" s="197">
        <f ca="1">$B17*'Alberta Curve'!AO14</f>
        <v>82.659143053599735</v>
      </c>
      <c r="U17" s="197">
        <f ca="1">$B17*'Alberta Curve'!AP14</f>
        <v>86.291203841040044</v>
      </c>
      <c r="V17" s="197">
        <f ca="1">$B17*'Alberta Curve'!AQ14</f>
        <v>79.372192341010589</v>
      </c>
      <c r="W17" s="197">
        <f ca="1">$B17*'Alberta Curve'!AR14</f>
        <v>90.515772798163184</v>
      </c>
      <c r="X17" s="197">
        <f ca="1">$B17*'Alberta Curve'!AS14</f>
        <v>91.23569219771727</v>
      </c>
      <c r="Y17" s="197">
        <f ca="1">$B17*'Alberta Curve'!AT14</f>
        <v>71.365998030123095</v>
      </c>
      <c r="Z17" s="197">
        <f ca="1">$B17*'Alberta Curve'!AU14</f>
        <v>68.697942602764741</v>
      </c>
      <c r="AA17" s="197">
        <f ca="1">$B17*'Alberta Curve'!AV14</f>
        <v>66.771677272521544</v>
      </c>
      <c r="AB17" s="197">
        <f ca="1">$B17*'Alberta Curve'!AW14</f>
        <v>69.199072400824789</v>
      </c>
      <c r="AC17" s="197">
        <f ca="1">$B17*'Alberta Curve'!AX14</f>
        <v>67.176361630073941</v>
      </c>
      <c r="AD17" s="197">
        <f t="shared" ca="1" si="6"/>
        <v>32</v>
      </c>
    </row>
    <row r="18" spans="1:30" x14ac:dyDescent="0.2">
      <c r="A18" s="39">
        <v>37072</v>
      </c>
      <c r="B18" s="12">
        <f ca="1">'Alberta Curve'!F52</f>
        <v>74.113125386515861</v>
      </c>
      <c r="C18" s="12">
        <f ca="1">'Alberta Curve'!J52</f>
        <v>32</v>
      </c>
      <c r="D18" s="12">
        <f t="shared" ca="1" si="1"/>
        <v>78.582326445756763</v>
      </c>
      <c r="E18" s="12">
        <f t="shared" ca="1" si="2"/>
        <v>60.075416924343919</v>
      </c>
      <c r="F18" s="12">
        <f t="shared" ca="1" si="3"/>
        <v>54.746587463138617</v>
      </c>
      <c r="G18" s="197">
        <f t="shared" ca="1" si="7"/>
        <v>32</v>
      </c>
      <c r="H18" s="197">
        <f t="shared" ref="H18:M18" ca="1" si="13">G18</f>
        <v>32</v>
      </c>
      <c r="I18" s="197">
        <f t="shared" ca="1" si="13"/>
        <v>32</v>
      </c>
      <c r="J18" s="197">
        <f t="shared" ca="1" si="13"/>
        <v>32</v>
      </c>
      <c r="K18" s="197">
        <f t="shared" ca="1" si="13"/>
        <v>32</v>
      </c>
      <c r="L18" s="197">
        <f t="shared" ca="1" si="13"/>
        <v>32</v>
      </c>
      <c r="M18" s="197">
        <f t="shared" ca="1" si="13"/>
        <v>32</v>
      </c>
      <c r="N18" s="197">
        <f ca="1">$B18*'Alberta Curve'!AI15</f>
        <v>45.924443845908577</v>
      </c>
      <c r="O18" s="197">
        <f ca="1">$B18*'Alberta Curve'!AJ15</f>
        <v>56.438939713640622</v>
      </c>
      <c r="P18" s="197">
        <f ca="1">$B18*'Alberta Curve'!AK15</f>
        <v>68.337155746223019</v>
      </c>
      <c r="Q18" s="197">
        <f ca="1">$B18*'Alberta Curve'!AL15</f>
        <v>79.195343435260696</v>
      </c>
      <c r="R18" s="197">
        <f ca="1">$B18*'Alberta Curve'!AM15</f>
        <v>91.989288293843146</v>
      </c>
      <c r="S18" s="197">
        <f ca="1">$B18*'Alberta Curve'!AN15</f>
        <v>101.93651693519563</v>
      </c>
      <c r="T18" s="197">
        <f ca="1">$B18*'Alberta Curve'!AO15</f>
        <v>89.447918861173633</v>
      </c>
      <c r="U18" s="197">
        <f ca="1">$B18*'Alberta Curve'!AP15</f>
        <v>90.382533740566018</v>
      </c>
      <c r="V18" s="197">
        <f ca="1">$B18*'Alberta Curve'!AQ15</f>
        <v>97.15198599345355</v>
      </c>
      <c r="W18" s="197">
        <f ca="1">$B18*'Alberta Curve'!AR15</f>
        <v>95.141375764457976</v>
      </c>
      <c r="X18" s="197">
        <f ca="1">$B18*'Alberta Curve'!AS15</f>
        <v>83.479512863454531</v>
      </c>
      <c r="Y18" s="197">
        <f ca="1">$B18*'Alberta Curve'!AT15</f>
        <v>63.926277804327484</v>
      </c>
      <c r="Z18" s="197">
        <f ca="1">$B18*'Alberta Curve'!AU15</f>
        <v>58.218950797333122</v>
      </c>
      <c r="AA18" s="197">
        <f ca="1">$B18*'Alberta Curve'!AV15</f>
        <v>55.596719431055746</v>
      </c>
      <c r="AB18" s="197">
        <f ca="1">$B18*'Alberta Curve'!AW15</f>
        <v>54.925103154408447</v>
      </c>
      <c r="AC18" s="197">
        <f ca="1">$B18*'Alberta Curve'!AX15</f>
        <v>53.717939803951658</v>
      </c>
      <c r="AD18" s="197">
        <f t="shared" ca="1" si="6"/>
        <v>32</v>
      </c>
    </row>
    <row r="19" spans="1:30" x14ac:dyDescent="0.2">
      <c r="A19" s="39">
        <v>37102</v>
      </c>
      <c r="B19" s="12">
        <f ca="1">'Alberta Curve'!F53</f>
        <v>74.142467018526702</v>
      </c>
      <c r="C19" s="12">
        <f ca="1">'Alberta Curve'!J53</f>
        <v>30</v>
      </c>
      <c r="D19" s="12">
        <f t="shared" ca="1" si="1"/>
        <v>77.320853478993598</v>
      </c>
      <c r="E19" s="12">
        <f t="shared" ca="1" si="2"/>
        <v>59.42831134568447</v>
      </c>
      <c r="F19" s="12">
        <f t="shared" ca="1" si="3"/>
        <v>60.369459023170187</v>
      </c>
      <c r="G19" s="197">
        <f t="shared" ca="1" si="7"/>
        <v>30</v>
      </c>
      <c r="H19" s="197">
        <f t="shared" ref="H19:M19" ca="1" si="14">G19</f>
        <v>30</v>
      </c>
      <c r="I19" s="197">
        <f t="shared" ca="1" si="14"/>
        <v>30</v>
      </c>
      <c r="J19" s="197">
        <f t="shared" ca="1" si="14"/>
        <v>30</v>
      </c>
      <c r="K19" s="197">
        <f t="shared" ca="1" si="14"/>
        <v>30</v>
      </c>
      <c r="L19" s="197">
        <f t="shared" ca="1" si="14"/>
        <v>30</v>
      </c>
      <c r="M19" s="197">
        <f t="shared" ca="1" si="14"/>
        <v>30</v>
      </c>
      <c r="N19" s="197">
        <f ca="1">$B19*'Alberta Curve'!AI16</f>
        <v>48.636325094765155</v>
      </c>
      <c r="O19" s="197">
        <f ca="1">$B19*'Alberta Curve'!AJ16</f>
        <v>58.805410906450824</v>
      </c>
      <c r="P19" s="197">
        <f ca="1">$B19*'Alberta Curve'!AK16</f>
        <v>66.66060694779668</v>
      </c>
      <c r="Q19" s="197">
        <f ca="1">$B19*'Alberta Curve'!AL16</f>
        <v>75.807947755849526</v>
      </c>
      <c r="R19" s="197">
        <f ca="1">$B19*'Alberta Curve'!AM16</f>
        <v>89.958133902525816</v>
      </c>
      <c r="S19" s="197">
        <f ca="1">$B19*'Alberta Curve'!AN16</f>
        <v>99.998908182964371</v>
      </c>
      <c r="T19" s="197">
        <f ca="1">$B19*'Alberta Curve'!AO16</f>
        <v>84.720513497350012</v>
      </c>
      <c r="U19" s="197">
        <f ca="1">$B19*'Alberta Curve'!AP16</f>
        <v>85.472322790989864</v>
      </c>
      <c r="V19" s="197">
        <f ca="1">$B19*'Alberta Curve'!AQ16</f>
        <v>82.659444451838723</v>
      </c>
      <c r="W19" s="197">
        <f ca="1">$B19*'Alberta Curve'!AR16</f>
        <v>102.39342183244131</v>
      </c>
      <c r="X19" s="197">
        <f ca="1">$B19*'Alberta Curve'!AS16</f>
        <v>77.0119143183815</v>
      </c>
      <c r="Y19" s="197">
        <f ca="1">$B19*'Alberta Curve'!AT16</f>
        <v>68.813155282221572</v>
      </c>
      <c r="Z19" s="197">
        <f ca="1">$B19*'Alberta Curve'!AU16</f>
        <v>64.23299026334135</v>
      </c>
      <c r="AA19" s="197">
        <f ca="1">$B19*'Alberta Curve'!AV16</f>
        <v>61.332955852711088</v>
      </c>
      <c r="AB19" s="197">
        <f ca="1">$B19*'Alberta Curve'!AW16</f>
        <v>59.787664620732606</v>
      </c>
      <c r="AC19" s="197">
        <f ca="1">$B19*'Alberta Curve'!AX16</f>
        <v>59.98775659606688</v>
      </c>
      <c r="AD19" s="197">
        <f t="shared" ca="1" si="6"/>
        <v>30</v>
      </c>
    </row>
    <row r="20" spans="1:30" x14ac:dyDescent="0.2">
      <c r="A20" s="39">
        <v>37133</v>
      </c>
      <c r="B20" s="12">
        <f ca="1">'Alberta Curve'!F54</f>
        <v>74.141584888767099</v>
      </c>
      <c r="C20" s="12">
        <f ca="1">'Alberta Curve'!J54</f>
        <v>30</v>
      </c>
      <c r="D20" s="12">
        <f t="shared" ca="1" si="1"/>
        <v>78.607807602184465</v>
      </c>
      <c r="E20" s="12">
        <f t="shared" ca="1" si="2"/>
        <v>59.427723259178073</v>
      </c>
      <c r="F20" s="12">
        <f t="shared" ca="1" si="3"/>
        <v>54.787953130625205</v>
      </c>
      <c r="G20" s="197">
        <f t="shared" ca="1" si="7"/>
        <v>30</v>
      </c>
      <c r="H20" s="197">
        <f t="shared" ref="H20:M20" ca="1" si="15">G20</f>
        <v>30</v>
      </c>
      <c r="I20" s="197">
        <f t="shared" ca="1" si="15"/>
        <v>30</v>
      </c>
      <c r="J20" s="197">
        <f t="shared" ca="1" si="15"/>
        <v>30</v>
      </c>
      <c r="K20" s="197">
        <f t="shared" ca="1" si="15"/>
        <v>30</v>
      </c>
      <c r="L20" s="197">
        <f t="shared" ca="1" si="15"/>
        <v>30</v>
      </c>
      <c r="M20" s="197">
        <f t="shared" ca="1" si="15"/>
        <v>30</v>
      </c>
      <c r="N20" s="197">
        <f ca="1">$B20*'Alberta Curve'!AI17</f>
        <v>42.162383509077166</v>
      </c>
      <c r="O20" s="197">
        <f ca="1">$B20*'Alberta Curve'!AJ17</f>
        <v>48.103663077725571</v>
      </c>
      <c r="P20" s="197">
        <f ca="1">$B20*'Alberta Curve'!AK17</f>
        <v>57.264117948617198</v>
      </c>
      <c r="Q20" s="197">
        <f ca="1">$B20*'Alberta Curve'!AL17</f>
        <v>68.193434784829492</v>
      </c>
      <c r="R20" s="197">
        <f ca="1">$B20*'Alberta Curve'!AM17</f>
        <v>82.342441969058342</v>
      </c>
      <c r="S20" s="197">
        <f ca="1">$B20*'Alberta Curve'!AN17</f>
        <v>100.02233221977451</v>
      </c>
      <c r="T20" s="197">
        <f ca="1">$B20*'Alberta Curve'!AO17</f>
        <v>100.01103768557445</v>
      </c>
      <c r="U20" s="197">
        <f ca="1">$B20*'Alberta Curve'!AP17</f>
        <v>98.35114430340181</v>
      </c>
      <c r="V20" s="197">
        <f ca="1">$B20*'Alberta Curve'!AQ17</f>
        <v>101.28741887979865</v>
      </c>
      <c r="W20" s="197">
        <f ca="1">$B20*'Alberta Curve'!AR17</f>
        <v>101.67288452957196</v>
      </c>
      <c r="X20" s="197">
        <f ca="1">$B20*'Alberta Curve'!AS17</f>
        <v>103.92556020996817</v>
      </c>
      <c r="Y20" s="197">
        <f ca="1">$B20*'Alberta Curve'!AT17</f>
        <v>63.133400506421438</v>
      </c>
      <c r="Z20" s="197">
        <f ca="1">$B20*'Alberta Curve'!AU17</f>
        <v>55.431679204579204</v>
      </c>
      <c r="AA20" s="197">
        <f ca="1">$B20*'Alberta Curve'!AV17</f>
        <v>54.555422652435311</v>
      </c>
      <c r="AB20" s="197">
        <f ca="1">$B20*'Alberta Curve'!AW17</f>
        <v>57.839785542388881</v>
      </c>
      <c r="AC20" s="197">
        <f ca="1">$B20*'Alberta Curve'!AX17</f>
        <v>51.968651197051443</v>
      </c>
      <c r="AD20" s="197">
        <f t="shared" ca="1" si="6"/>
        <v>30</v>
      </c>
    </row>
    <row r="21" spans="1:30" x14ac:dyDescent="0.2">
      <c r="A21" s="39">
        <v>37164</v>
      </c>
      <c r="B21" s="12">
        <f ca="1">'Alberta Curve'!F55</f>
        <v>74.114616124169942</v>
      </c>
      <c r="C21" s="12">
        <f ca="1">'Alberta Curve'!J55</f>
        <v>30</v>
      </c>
      <c r="D21" s="12">
        <f t="shared" ca="1" si="1"/>
        <v>75.648028223464891</v>
      </c>
      <c r="E21" s="12">
        <f t="shared" ca="1" si="2"/>
        <v>59.409744082779959</v>
      </c>
      <c r="F21" s="12">
        <f t="shared" ca="1" si="3"/>
        <v>67.469830360558475</v>
      </c>
      <c r="G21" s="197">
        <f t="shared" ca="1" si="7"/>
        <v>30</v>
      </c>
      <c r="H21" s="197">
        <f t="shared" ref="H21:M21" ca="1" si="16">G21</f>
        <v>30</v>
      </c>
      <c r="I21" s="197">
        <f t="shared" ca="1" si="16"/>
        <v>30</v>
      </c>
      <c r="J21" s="197">
        <f t="shared" ca="1" si="16"/>
        <v>30</v>
      </c>
      <c r="K21" s="197">
        <f t="shared" ca="1" si="16"/>
        <v>30</v>
      </c>
      <c r="L21" s="197">
        <f t="shared" ca="1" si="16"/>
        <v>30</v>
      </c>
      <c r="M21" s="197">
        <f t="shared" ca="1" si="16"/>
        <v>30</v>
      </c>
      <c r="N21" s="197">
        <f ca="1">$B21*'Alberta Curve'!AI18</f>
        <v>54.442048611259388</v>
      </c>
      <c r="O21" s="197">
        <f ca="1">$B21*'Alberta Curve'!AJ18</f>
        <v>59.4593028332458</v>
      </c>
      <c r="P21" s="197">
        <f ca="1">$B21*'Alberta Curve'!AK18</f>
        <v>66.694175354703333</v>
      </c>
      <c r="Q21" s="197">
        <f ca="1">$B21*'Alberta Curve'!AL18</f>
        <v>71.28644354859361</v>
      </c>
      <c r="R21" s="197">
        <f ca="1">$B21*'Alberta Curve'!AM18</f>
        <v>74.476018776322945</v>
      </c>
      <c r="S21" s="197">
        <f ca="1">$B21*'Alberta Curve'!AN18</f>
        <v>94.974793771104785</v>
      </c>
      <c r="T21" s="197">
        <f ca="1">$B21*'Alberta Curve'!AO18</f>
        <v>88.470220024117282</v>
      </c>
      <c r="U21" s="197">
        <f ca="1">$B21*'Alberta Curve'!AP18</f>
        <v>88.330039681937862</v>
      </c>
      <c r="V21" s="197">
        <f ca="1">$B21*'Alberta Curve'!AQ18</f>
        <v>92.647255439070307</v>
      </c>
      <c r="W21" s="197">
        <f ca="1">$B21*'Alberta Curve'!AR18</f>
        <v>82.59507774009964</v>
      </c>
      <c r="X21" s="197">
        <f ca="1">$B21*'Alberta Curve'!AS18</f>
        <v>76.263327741459406</v>
      </c>
      <c r="Y21" s="197">
        <f ca="1">$B21*'Alberta Curve'!AT18</f>
        <v>67.539658549256856</v>
      </c>
      <c r="Z21" s="197">
        <f ca="1">$B21*'Alberta Curve'!AU18</f>
        <v>66.246004833872391</v>
      </c>
      <c r="AA21" s="197">
        <f ca="1">$B21*'Alberta Curve'!AV18</f>
        <v>76.454840219558534</v>
      </c>
      <c r="AB21" s="197">
        <f ca="1">$B21*'Alberta Curve'!AW18</f>
        <v>68.602692466490637</v>
      </c>
      <c r="AC21" s="197">
        <f ca="1">$B21*'Alberta Curve'!AX18</f>
        <v>57.351958395626262</v>
      </c>
      <c r="AD21" s="197">
        <f t="shared" ca="1" si="6"/>
        <v>30</v>
      </c>
    </row>
    <row r="22" spans="1:30" x14ac:dyDescent="0.2">
      <c r="A22" s="39">
        <v>37194</v>
      </c>
      <c r="B22" s="12">
        <f ca="1">'Alberta Curve'!F56</f>
        <v>74.557157582600894</v>
      </c>
      <c r="C22" s="12">
        <f ca="1">'Alberta Curve'!J56</f>
        <v>30</v>
      </c>
      <c r="D22" s="12">
        <f t="shared" ca="1" si="1"/>
        <v>75.532831570344896</v>
      </c>
      <c r="E22" s="12">
        <f t="shared" ca="1" si="2"/>
        <v>59.704771721733927</v>
      </c>
      <c r="F22" s="12">
        <f t="shared" ca="1" si="3"/>
        <v>70.329236969043578</v>
      </c>
      <c r="G22" s="197">
        <f t="shared" ca="1" si="7"/>
        <v>30</v>
      </c>
      <c r="H22" s="197">
        <f t="shared" ref="H22:M22" ca="1" si="17">G22</f>
        <v>30</v>
      </c>
      <c r="I22" s="197">
        <f t="shared" ca="1" si="17"/>
        <v>30</v>
      </c>
      <c r="J22" s="197">
        <f t="shared" ca="1" si="17"/>
        <v>30</v>
      </c>
      <c r="K22" s="197">
        <f t="shared" ca="1" si="17"/>
        <v>30</v>
      </c>
      <c r="L22" s="197">
        <f t="shared" ca="1" si="17"/>
        <v>30</v>
      </c>
      <c r="M22" s="197">
        <f t="shared" ca="1" si="17"/>
        <v>30</v>
      </c>
      <c r="N22" s="197">
        <f ca="1">$B22*'Alberta Curve'!AI19</f>
        <v>59.141904678272262</v>
      </c>
      <c r="O22" s="197">
        <f ca="1">$B22*'Alberta Curve'!AJ19</f>
        <v>66.769436395720916</v>
      </c>
      <c r="P22" s="197">
        <f ca="1">$B22*'Alberta Curve'!AK19</f>
        <v>66.899476695129309</v>
      </c>
      <c r="Q22" s="197">
        <f ca="1">$B22*'Alberta Curve'!AL19</f>
        <v>71.695352654496318</v>
      </c>
      <c r="R22" s="197">
        <f ca="1">$B22*'Alberta Curve'!AM19</f>
        <v>80.252502558314561</v>
      </c>
      <c r="S22" s="197">
        <f ca="1">$B22*'Alberta Curve'!AN19</f>
        <v>77.313572371122504</v>
      </c>
      <c r="T22" s="197">
        <f ca="1">$B22*'Alberta Curve'!AO19</f>
        <v>73.239405673558721</v>
      </c>
      <c r="U22" s="197">
        <f ca="1">$B22*'Alberta Curve'!AP19</f>
        <v>74.834181305730795</v>
      </c>
      <c r="V22" s="197">
        <f ca="1">$B22*'Alberta Curve'!AQ19</f>
        <v>71.88916766809055</v>
      </c>
      <c r="W22" s="197">
        <f ca="1">$B22*'Alberta Curve'!AR19</f>
        <v>79.787059200904622</v>
      </c>
      <c r="X22" s="197">
        <f ca="1">$B22*'Alberta Curve'!AS19</f>
        <v>89.985244537449432</v>
      </c>
      <c r="Y22" s="197">
        <f ca="1">$B22*'Alberta Curve'!AT19</f>
        <v>82.296820912328826</v>
      </c>
      <c r="Z22" s="197">
        <f ca="1">$B22*'Alberta Curve'!AU19</f>
        <v>87.822685763364774</v>
      </c>
      <c r="AA22" s="197">
        <f ca="1">$B22*'Alberta Curve'!AV19</f>
        <v>84.838628418300985</v>
      </c>
      <c r="AB22" s="197">
        <f ca="1">$B22*'Alberta Curve'!AW19</f>
        <v>71.549428204221712</v>
      </c>
      <c r="AC22" s="197">
        <f ca="1">$B22*'Alberta Curve'!AX19</f>
        <v>54.599654284608029</v>
      </c>
      <c r="AD22" s="197">
        <f t="shared" ca="1" si="6"/>
        <v>30</v>
      </c>
    </row>
    <row r="23" spans="1:30" x14ac:dyDescent="0.2">
      <c r="A23" s="39">
        <v>37225</v>
      </c>
      <c r="B23" s="12">
        <f ca="1">'Alberta Curve'!F57</f>
        <v>77.326779438922415</v>
      </c>
      <c r="C23" s="12">
        <f ca="1">'Alberta Curve'!J57</f>
        <v>33</v>
      </c>
      <c r="D23" s="12">
        <f t="shared" ca="1" si="1"/>
        <v>78.28074057646576</v>
      </c>
      <c r="E23" s="12">
        <f t="shared" ca="1" si="2"/>
        <v>62.551186292614943</v>
      </c>
      <c r="F23" s="12">
        <f t="shared" ca="1" si="3"/>
        <v>73.19294784290129</v>
      </c>
      <c r="G23" s="197">
        <f t="shared" ca="1" si="7"/>
        <v>33</v>
      </c>
      <c r="H23" s="197">
        <f t="shared" ref="H23:M23" ca="1" si="18">G23</f>
        <v>33</v>
      </c>
      <c r="I23" s="197">
        <f t="shared" ca="1" si="18"/>
        <v>33</v>
      </c>
      <c r="J23" s="197">
        <f t="shared" ca="1" si="18"/>
        <v>33</v>
      </c>
      <c r="K23" s="197">
        <f t="shared" ca="1" si="18"/>
        <v>33</v>
      </c>
      <c r="L23" s="197">
        <f t="shared" ca="1" si="18"/>
        <v>33</v>
      </c>
      <c r="M23" s="197">
        <f t="shared" ca="1" si="18"/>
        <v>33</v>
      </c>
      <c r="N23" s="197">
        <f ca="1">$B23*'Alberta Curve'!AI20</f>
        <v>68.400262203759922</v>
      </c>
      <c r="O23" s="197">
        <f ca="1">$B23*'Alberta Curve'!AJ20</f>
        <v>73.941759523611282</v>
      </c>
      <c r="P23" s="197">
        <f ca="1">$B23*'Alberta Curve'!AK20</f>
        <v>75.405856280788569</v>
      </c>
      <c r="Q23" s="197">
        <f ca="1">$B23*'Alberta Curve'!AL20</f>
        <v>76.407495460066158</v>
      </c>
      <c r="R23" s="197">
        <f ca="1">$B23*'Alberta Curve'!AM20</f>
        <v>77.073797134278124</v>
      </c>
      <c r="S23" s="197">
        <f ca="1">$B23*'Alberta Curve'!AN20</f>
        <v>75.973666230415049</v>
      </c>
      <c r="T23" s="197">
        <f ca="1">$B23*'Alberta Curve'!AO20</f>
        <v>73.908222010181547</v>
      </c>
      <c r="U23" s="197">
        <f ca="1">$B23*'Alberta Curve'!AP20</f>
        <v>73.317280736937008</v>
      </c>
      <c r="V23" s="197">
        <f ca="1">$B23*'Alberta Curve'!AQ20</f>
        <v>74.342923773290636</v>
      </c>
      <c r="W23" s="197">
        <f ca="1">$B23*'Alberta Curve'!AR20</f>
        <v>83.514635067598093</v>
      </c>
      <c r="X23" s="197">
        <f ca="1">$B23*'Alberta Curve'!AS20</f>
        <v>99.08594384163338</v>
      </c>
      <c r="Y23" s="197">
        <f ca="1">$B23*'Alberta Curve'!AT20</f>
        <v>85.766671517572419</v>
      </c>
      <c r="Z23" s="197">
        <f ca="1">$B23*'Alberta Curve'!AU20</f>
        <v>80.511113713922654</v>
      </c>
      <c r="AA23" s="197">
        <f ca="1">$B23*'Alberta Curve'!AV20</f>
        <v>78.010016263058787</v>
      </c>
      <c r="AB23" s="197">
        <f ca="1">$B23*'Alberta Curve'!AW20</f>
        <v>74.906717360264551</v>
      </c>
      <c r="AC23" s="197">
        <f ca="1">$B23*'Alberta Curve'!AX20</f>
        <v>66.662109905380504</v>
      </c>
      <c r="AD23" s="197">
        <f t="shared" ca="1" si="6"/>
        <v>33</v>
      </c>
    </row>
    <row r="24" spans="1:30" x14ac:dyDescent="0.2">
      <c r="A24" s="39">
        <v>37255</v>
      </c>
      <c r="B24" s="12">
        <f ca="1">'Alberta Curve'!F58</f>
        <v>79.456641069643609</v>
      </c>
      <c r="C24" s="12">
        <f ca="1">'Alberta Curve'!J58</f>
        <v>33</v>
      </c>
      <c r="D24" s="12">
        <f t="shared" ca="1" si="1"/>
        <v>80.119789723800622</v>
      </c>
      <c r="E24" s="12">
        <f t="shared" ca="1" si="2"/>
        <v>64.197532200895338</v>
      </c>
      <c r="F24" s="12">
        <f t="shared" ca="1" si="3"/>
        <v>78.394502137360135</v>
      </c>
      <c r="G24" s="197">
        <f t="shared" ca="1" si="7"/>
        <v>33</v>
      </c>
      <c r="H24" s="197">
        <f t="shared" ref="H24:M24" ca="1" si="19">G24</f>
        <v>33</v>
      </c>
      <c r="I24" s="197">
        <f t="shared" ca="1" si="19"/>
        <v>33</v>
      </c>
      <c r="J24" s="197">
        <f t="shared" ca="1" si="19"/>
        <v>33</v>
      </c>
      <c r="K24" s="197">
        <f t="shared" ca="1" si="19"/>
        <v>33</v>
      </c>
      <c r="L24" s="197">
        <f t="shared" ca="1" si="19"/>
        <v>33</v>
      </c>
      <c r="M24" s="197">
        <f t="shared" ca="1" si="19"/>
        <v>33</v>
      </c>
      <c r="N24" s="197">
        <f ca="1">$B24*'Alberta Curve'!AI21</f>
        <v>61.532829660833627</v>
      </c>
      <c r="O24" s="197">
        <f ca="1">$B24*'Alberta Curve'!AJ21</f>
        <v>68.977931790109992</v>
      </c>
      <c r="P24" s="197">
        <f ca="1">$B24*'Alberta Curve'!AK21</f>
        <v>68.559803500980678</v>
      </c>
      <c r="Q24" s="197">
        <f ca="1">$B24*'Alberta Curve'!AL21</f>
        <v>72.17589086539499</v>
      </c>
      <c r="R24" s="197">
        <f ca="1">$B24*'Alberta Curve'!AM21</f>
        <v>68.569498785373568</v>
      </c>
      <c r="S24" s="197">
        <f ca="1">$B24*'Alberta Curve'!AN21</f>
        <v>67.340031387816381</v>
      </c>
      <c r="T24" s="197">
        <f ca="1">$B24*'Alberta Curve'!AO21</f>
        <v>66.45344070466696</v>
      </c>
      <c r="U24" s="197">
        <f ca="1">$B24*'Alberta Curve'!AP21</f>
        <v>64.782816296025658</v>
      </c>
      <c r="V24" s="197">
        <f ca="1">$B24*'Alberta Curve'!AQ21</f>
        <v>65.204197477440189</v>
      </c>
      <c r="W24" s="197">
        <f ca="1">$B24*'Alberta Curve'!AR21</f>
        <v>92.361112055944474</v>
      </c>
      <c r="X24" s="197">
        <f ca="1">$B24*'Alberta Curve'!AS21</f>
        <v>128.94284428768134</v>
      </c>
      <c r="Y24" s="197">
        <f ca="1">$B24*'Alberta Curve'!AT21</f>
        <v>125.01437054189709</v>
      </c>
      <c r="Z24" s="197">
        <f ca="1">$B24*'Alberta Curve'!AU21</f>
        <v>91.642499055243135</v>
      </c>
      <c r="AA24" s="197">
        <f ca="1">$B24*'Alberta Curve'!AV21</f>
        <v>90.425501331134626</v>
      </c>
      <c r="AB24" s="197">
        <f ca="1">$B24*'Alberta Curve'!AW21</f>
        <v>80.04971486941858</v>
      </c>
      <c r="AC24" s="197">
        <f ca="1">$B24*'Alberta Curve'!AX21</f>
        <v>64.708290211527228</v>
      </c>
      <c r="AD24" s="197">
        <f t="shared" ca="1" si="6"/>
        <v>33</v>
      </c>
    </row>
    <row r="25" spans="1:30" x14ac:dyDescent="0.2">
      <c r="A25" s="39"/>
      <c r="B25" s="12"/>
      <c r="C25" s="12"/>
      <c r="D25" s="12"/>
      <c r="E25" s="12"/>
      <c r="F25" s="12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</row>
    <row r="26" spans="1:30" x14ac:dyDescent="0.2">
      <c r="A26" s="10"/>
      <c r="B26" s="12"/>
      <c r="C26" s="12"/>
      <c r="D26" s="12"/>
      <c r="E26" s="12"/>
      <c r="F26" s="12"/>
    </row>
    <row r="27" spans="1:30" x14ac:dyDescent="0.2">
      <c r="A27" s="27" t="s">
        <v>347</v>
      </c>
      <c r="B27" s="12"/>
      <c r="C27" s="12"/>
      <c r="D27" s="12"/>
      <c r="E27" s="12"/>
      <c r="F27" s="12"/>
    </row>
    <row r="28" spans="1:30" x14ac:dyDescent="0.2">
      <c r="B28" s="12"/>
      <c r="C28" s="12"/>
      <c r="D28" s="12"/>
      <c r="E28" s="12"/>
      <c r="F28" s="12"/>
    </row>
    <row r="29" spans="1:30" x14ac:dyDescent="0.2">
      <c r="A29" s="121" t="s">
        <v>16</v>
      </c>
      <c r="B29" s="198" t="s">
        <v>374</v>
      </c>
      <c r="C29" s="198" t="s">
        <v>323</v>
      </c>
      <c r="D29" s="198" t="s">
        <v>354</v>
      </c>
      <c r="E29" s="198" t="s">
        <v>355</v>
      </c>
      <c r="F29" s="198" t="s">
        <v>373</v>
      </c>
      <c r="G29" s="142" t="s">
        <v>321</v>
      </c>
      <c r="H29" s="142" t="s">
        <v>324</v>
      </c>
      <c r="I29" s="142" t="s">
        <v>325</v>
      </c>
      <c r="J29" s="142" t="s">
        <v>326</v>
      </c>
      <c r="K29" s="142" t="s">
        <v>327</v>
      </c>
      <c r="L29" s="142" t="s">
        <v>328</v>
      </c>
      <c r="M29" s="142" t="s">
        <v>329</v>
      </c>
      <c r="N29" s="142" t="s">
        <v>330</v>
      </c>
      <c r="O29" s="142" t="s">
        <v>331</v>
      </c>
      <c r="P29" s="142" t="s">
        <v>332</v>
      </c>
      <c r="Q29" s="142" t="s">
        <v>333</v>
      </c>
      <c r="R29" s="142" t="s">
        <v>334</v>
      </c>
      <c r="S29" s="142" t="s">
        <v>335</v>
      </c>
      <c r="T29" s="142" t="s">
        <v>336</v>
      </c>
      <c r="U29" s="142" t="s">
        <v>337</v>
      </c>
      <c r="V29" s="142" t="s">
        <v>338</v>
      </c>
      <c r="W29" s="142" t="s">
        <v>339</v>
      </c>
      <c r="X29" s="142" t="s">
        <v>340</v>
      </c>
      <c r="Y29" s="142" t="s">
        <v>341</v>
      </c>
      <c r="Z29" s="142" t="s">
        <v>342</v>
      </c>
      <c r="AA29" s="142" t="s">
        <v>343</v>
      </c>
      <c r="AB29" s="142" t="s">
        <v>344</v>
      </c>
      <c r="AC29" s="142" t="s">
        <v>345</v>
      </c>
      <c r="AD29" s="142" t="s">
        <v>346</v>
      </c>
    </row>
    <row r="30" spans="1:30" x14ac:dyDescent="0.2">
      <c r="A30" s="39">
        <f ca="1">A6</f>
        <v>36707</v>
      </c>
      <c r="B30" s="12">
        <f ca="1">'Alberta Curve'!O11</f>
        <v>52.875</v>
      </c>
      <c r="C30" s="12">
        <f ca="1">C6</f>
        <v>35</v>
      </c>
      <c r="D30" s="12">
        <f ca="1">AVERAGE(N30:Z30)</f>
        <v>56.063490632056897</v>
      </c>
      <c r="E30" s="12">
        <f ca="1">AVERAGE(G30:AD30)</f>
        <v>46.916666666666664</v>
      </c>
      <c r="F30" s="12">
        <f ca="1">AVERAGE(AA30:AC30)</f>
        <v>39.058207261086856</v>
      </c>
      <c r="G30" s="12">
        <f ca="1">C30</f>
        <v>35</v>
      </c>
      <c r="H30" s="12">
        <f t="shared" ref="H30:M30" ca="1" si="20">G30</f>
        <v>35</v>
      </c>
      <c r="I30" s="12">
        <f t="shared" ca="1" si="20"/>
        <v>35</v>
      </c>
      <c r="J30" s="12">
        <f t="shared" ca="1" si="20"/>
        <v>35</v>
      </c>
      <c r="K30" s="12">
        <f t="shared" ca="1" si="20"/>
        <v>35</v>
      </c>
      <c r="L30" s="12">
        <f t="shared" ca="1" si="20"/>
        <v>35</v>
      </c>
      <c r="M30" s="12">
        <f t="shared" ca="1" si="20"/>
        <v>35</v>
      </c>
      <c r="N30" s="12">
        <f ca="1">$B30*'Alberta Curve'!AI15</f>
        <v>32.764169041428829</v>
      </c>
      <c r="O30" s="12">
        <f ca="1">$B30*'Alberta Curve'!AJ15</f>
        <v>40.265592926967493</v>
      </c>
      <c r="P30" s="12">
        <f ca="1">$B30*'Alberta Curve'!AK15</f>
        <v>48.754213119973898</v>
      </c>
      <c r="Q30" s="12">
        <f ca="1">$B30*'Alberta Curve'!AL15</f>
        <v>56.500839254867998</v>
      </c>
      <c r="R30" s="12">
        <f ca="1">$B30*'Alberta Curve'!AM15</f>
        <v>65.628504980332409</v>
      </c>
      <c r="S30" s="12">
        <f ca="1">$B30*'Alberta Curve'!AN15</f>
        <v>72.725219788519482</v>
      </c>
      <c r="T30" s="12">
        <f ca="1">$B30*'Alberta Curve'!AO15</f>
        <v>63.815399568145203</v>
      </c>
      <c r="U30" s="12">
        <f ca="1">$B30*'Alberta Curve'!AP15</f>
        <v>64.482187825827609</v>
      </c>
      <c r="V30" s="12">
        <f ca="1">$B30*'Alberta Curve'!AQ15</f>
        <v>69.311761346101136</v>
      </c>
      <c r="W30" s="12">
        <f ca="1">$B30*'Alberta Curve'!AR15</f>
        <v>67.877318859649421</v>
      </c>
      <c r="X30" s="12">
        <f ca="1">$B30*'Alberta Curve'!AS15</f>
        <v>59.557321589601145</v>
      </c>
      <c r="Y30" s="12">
        <f ca="1">$B30*'Alberta Curve'!AT15</f>
        <v>45.607332321715738</v>
      </c>
      <c r="Z30" s="12">
        <f ca="1">$B30*'Alberta Curve'!AU15</f>
        <v>41.535517593609129</v>
      </c>
      <c r="AA30" s="12">
        <f ca="1">$B30*'Alberta Curve'!AV15</f>
        <v>39.664722336104816</v>
      </c>
      <c r="AB30" s="12">
        <f ca="1">$B30*'Alberta Curve'!AW15</f>
        <v>39.185566849913606</v>
      </c>
      <c r="AC30" s="12">
        <f ca="1">$B30*'Alberta Curve'!AX15</f>
        <v>38.32433259724214</v>
      </c>
      <c r="AD30" s="12">
        <f ca="1">C30</f>
        <v>35</v>
      </c>
    </row>
    <row r="31" spans="1:30" x14ac:dyDescent="0.2">
      <c r="A31" s="39">
        <f t="shared" ref="A31:A36" ca="1" si="21">A7</f>
        <v>36737</v>
      </c>
      <c r="B31" s="12">
        <f ca="1">'Alberta Curve'!O12</f>
        <v>53.550000000000004</v>
      </c>
      <c r="C31" s="12">
        <f t="shared" ref="C31:C36" ca="1" si="22">C7</f>
        <v>35</v>
      </c>
      <c r="D31" s="12">
        <f t="shared" ref="D31:D36" ca="1" si="23">AVERAGE(N31:Z31)</f>
        <v>55.845615479256601</v>
      </c>
      <c r="E31" s="12">
        <f t="shared" ref="E31:E36" ca="1" si="24">AVERAGE(G31:AD31)</f>
        <v>47.366666666666674</v>
      </c>
      <c r="F31" s="12">
        <f t="shared" ref="F31:F36" ca="1" si="25">AVERAGE(AA31:AC31)</f>
        <v>43.602332923221404</v>
      </c>
      <c r="G31" s="12">
        <f t="shared" ref="G31:G36" ca="1" si="26">C31</f>
        <v>35</v>
      </c>
      <c r="H31" s="12">
        <f t="shared" ref="H31:M36" ca="1" si="27">G31</f>
        <v>35</v>
      </c>
      <c r="I31" s="12">
        <f t="shared" ca="1" si="27"/>
        <v>35</v>
      </c>
      <c r="J31" s="12">
        <f t="shared" ca="1" si="27"/>
        <v>35</v>
      </c>
      <c r="K31" s="12">
        <f t="shared" ca="1" si="27"/>
        <v>35</v>
      </c>
      <c r="L31" s="12">
        <f t="shared" ca="1" si="27"/>
        <v>35</v>
      </c>
      <c r="M31" s="12">
        <f t="shared" ca="1" si="27"/>
        <v>35</v>
      </c>
      <c r="N31" s="12">
        <f ca="1">$B31*'Alberta Curve'!AI16</f>
        <v>35.127981486964394</v>
      </c>
      <c r="O31" s="12">
        <f ca="1">$B31*'Alberta Curve'!AJ16</f>
        <v>42.472686446400054</v>
      </c>
      <c r="P31" s="12">
        <f ca="1">$B31*'Alberta Curve'!AK16</f>
        <v>48.146165694250811</v>
      </c>
      <c r="Q31" s="12">
        <f ca="1">$B31*'Alberta Curve'!AL16</f>
        <v>54.75290701227074</v>
      </c>
      <c r="R31" s="12">
        <f ca="1">$B31*'Alberta Curve'!AM16</f>
        <v>64.972994077422896</v>
      </c>
      <c r="S31" s="12">
        <f ca="1">$B31*'Alberta Curve'!AN16</f>
        <v>72.225024989519852</v>
      </c>
      <c r="T31" s="12">
        <f ca="1">$B31*'Alberta Curve'!AO16</f>
        <v>61.19008012842955</v>
      </c>
      <c r="U31" s="12">
        <f ca="1">$B31*'Alberta Curve'!AP16</f>
        <v>61.733080507205095</v>
      </c>
      <c r="V31" s="12">
        <f ca="1">$B31*'Alberta Curve'!AQ16</f>
        <v>59.701456242208572</v>
      </c>
      <c r="W31" s="12">
        <f ca="1">$B31*'Alberta Curve'!AR16</f>
        <v>73.954481953737798</v>
      </c>
      <c r="X31" s="12">
        <f ca="1">$B31*'Alberta Curve'!AS16</f>
        <v>55.622481657089025</v>
      </c>
      <c r="Y31" s="12">
        <f ca="1">$B31*'Alberta Curve'!AT16</f>
        <v>49.700861241131513</v>
      </c>
      <c r="Z31" s="12">
        <f ca="1">$B31*'Alberta Curve'!AU16</f>
        <v>46.392799793705599</v>
      </c>
      <c r="AA31" s="12">
        <f ca="1">$B31*'Alberta Curve'!AV16</f>
        <v>44.298226347013497</v>
      </c>
      <c r="AB31" s="12">
        <f ca="1">$B31*'Alberta Curve'!AW16</f>
        <v>43.182127182795377</v>
      </c>
      <c r="AC31" s="12">
        <f ca="1">$B31*'Alberta Curve'!AX16</f>
        <v>43.326645239855345</v>
      </c>
      <c r="AD31" s="12">
        <f t="shared" ref="AD31:AD36" ca="1" si="28">C31</f>
        <v>35</v>
      </c>
    </row>
    <row r="32" spans="1:30" x14ac:dyDescent="0.2">
      <c r="A32" s="39">
        <f t="shared" ca="1" si="21"/>
        <v>36768</v>
      </c>
      <c r="B32" s="12">
        <f ca="1">'Alberta Curve'!O13</f>
        <v>59.4</v>
      </c>
      <c r="C32" s="12">
        <f t="shared" ca="1" si="22"/>
        <v>32</v>
      </c>
      <c r="D32" s="12">
        <f t="shared" ca="1" si="23"/>
        <v>62.978202834145044</v>
      </c>
      <c r="E32" s="12">
        <f t="shared" ca="1" si="24"/>
        <v>50.266666666666673</v>
      </c>
      <c r="F32" s="12">
        <f t="shared" ca="1" si="25"/>
        <v>43.894454385371517</v>
      </c>
      <c r="G32" s="12">
        <f t="shared" ca="1" si="26"/>
        <v>32</v>
      </c>
      <c r="H32" s="12">
        <f t="shared" ca="1" si="27"/>
        <v>32</v>
      </c>
      <c r="I32" s="12">
        <f t="shared" ca="1" si="27"/>
        <v>32</v>
      </c>
      <c r="J32" s="12">
        <f t="shared" ca="1" si="27"/>
        <v>32</v>
      </c>
      <c r="K32" s="12">
        <f t="shared" ca="1" si="27"/>
        <v>32</v>
      </c>
      <c r="L32" s="12">
        <f t="shared" ca="1" si="27"/>
        <v>32</v>
      </c>
      <c r="M32" s="12">
        <f t="shared" ca="1" si="27"/>
        <v>32</v>
      </c>
      <c r="N32" s="12">
        <f ca="1">$B32*'Alberta Curve'!AI17</f>
        <v>33.779229081716359</v>
      </c>
      <c r="O32" s="12">
        <f ca="1">$B32*'Alberta Curve'!AJ17</f>
        <v>38.539202946682707</v>
      </c>
      <c r="P32" s="12">
        <f ca="1">$B32*'Alberta Curve'!AK17</f>
        <v>45.878282899550044</v>
      </c>
      <c r="Q32" s="12">
        <f ca="1">$B32*'Alberta Curve'!AL17</f>
        <v>54.634521669533072</v>
      </c>
      <c r="R32" s="12">
        <f ca="1">$B32*'Alberta Curve'!AM17</f>
        <v>65.970279166545069</v>
      </c>
      <c r="S32" s="12">
        <f ca="1">$B32*'Alberta Curve'!AN17</f>
        <v>80.134873603905831</v>
      </c>
      <c r="T32" s="12">
        <f ca="1">$B32*'Alberta Curve'!AO17</f>
        <v>80.125824764007277</v>
      </c>
      <c r="U32" s="12">
        <f ca="1">$B32*'Alberta Curve'!AP17</f>
        <v>78.795968286714825</v>
      </c>
      <c r="V32" s="12">
        <f ca="1">$B32*'Alberta Curve'!AQ17</f>
        <v>81.148422851850469</v>
      </c>
      <c r="W32" s="12">
        <f ca="1">$B32*'Alberta Curve'!AR17</f>
        <v>81.457246295952544</v>
      </c>
      <c r="X32" s="12">
        <f ca="1">$B32*'Alberta Curve'!AS17</f>
        <v>83.26202205865421</v>
      </c>
      <c r="Y32" s="12">
        <f ca="1">$B32*'Alberta Curve'!AT17</f>
        <v>50.580574932511325</v>
      </c>
      <c r="Z32" s="12">
        <f ca="1">$B32*'Alberta Curve'!AU17</f>
        <v>44.410188286261736</v>
      </c>
      <c r="AA32" s="12">
        <f ca="1">$B32*'Alberta Curve'!AV17</f>
        <v>43.70815798470511</v>
      </c>
      <c r="AB32" s="12">
        <f ca="1">$B32*'Alberta Curve'!AW17</f>
        <v>46.339490400324934</v>
      </c>
      <c r="AC32" s="12">
        <f ca="1">$B32*'Alberta Curve'!AX17</f>
        <v>41.635714771084501</v>
      </c>
      <c r="AD32" s="12">
        <f t="shared" ca="1" si="28"/>
        <v>32</v>
      </c>
    </row>
    <row r="33" spans="1:30" x14ac:dyDescent="0.2">
      <c r="A33" s="39">
        <f t="shared" ca="1" si="21"/>
        <v>36799</v>
      </c>
      <c r="B33" s="12">
        <f ca="1">'Alberta Curve'!O14</f>
        <v>58.5</v>
      </c>
      <c r="C33" s="12">
        <f t="shared" ca="1" si="22"/>
        <v>32</v>
      </c>
      <c r="D33" s="12">
        <f t="shared" ca="1" si="23"/>
        <v>59.710349759600263</v>
      </c>
      <c r="E33" s="12">
        <f t="shared" ca="1" si="24"/>
        <v>49.666666666666679</v>
      </c>
      <c r="F33" s="12">
        <f t="shared" ca="1" si="25"/>
        <v>53.255151041732198</v>
      </c>
      <c r="G33" s="12">
        <f t="shared" ca="1" si="26"/>
        <v>32</v>
      </c>
      <c r="H33" s="12">
        <f t="shared" ca="1" si="27"/>
        <v>32</v>
      </c>
      <c r="I33" s="12">
        <f t="shared" ca="1" si="27"/>
        <v>32</v>
      </c>
      <c r="J33" s="12">
        <f t="shared" ca="1" si="27"/>
        <v>32</v>
      </c>
      <c r="K33" s="12">
        <f t="shared" ca="1" si="27"/>
        <v>32</v>
      </c>
      <c r="L33" s="12">
        <f t="shared" ca="1" si="27"/>
        <v>32</v>
      </c>
      <c r="M33" s="12">
        <f t="shared" ca="1" si="27"/>
        <v>32</v>
      </c>
      <c r="N33" s="12">
        <f ca="1">$B33*'Alberta Curve'!AI18</f>
        <v>42.972088507114876</v>
      </c>
      <c r="O33" s="12">
        <f ca="1">$B33*'Alberta Curve'!AJ18</f>
        <v>46.932297536525027</v>
      </c>
      <c r="P33" s="12">
        <f ca="1">$B33*'Alberta Curve'!AK18</f>
        <v>52.642912589784963</v>
      </c>
      <c r="Q33" s="12">
        <f ca="1">$B33*'Alberta Curve'!AL18</f>
        <v>56.267672500738222</v>
      </c>
      <c r="R33" s="12">
        <f ca="1">$B33*'Alberta Curve'!AM18</f>
        <v>58.785261615813134</v>
      </c>
      <c r="S33" s="12">
        <f ca="1">$B33*'Alberta Curve'!AN18</f>
        <v>74.965313539520892</v>
      </c>
      <c r="T33" s="12">
        <f ca="1">$B33*'Alberta Curve'!AO18</f>
        <v>69.831136448712527</v>
      </c>
      <c r="U33" s="12">
        <f ca="1">$B33*'Alberta Curve'!AP18</f>
        <v>69.720489582462065</v>
      </c>
      <c r="V33" s="12">
        <f ca="1">$B33*'Alberta Curve'!AQ18</f>
        <v>73.128145656253494</v>
      </c>
      <c r="W33" s="12">
        <f ca="1">$B33*'Alberta Curve'!AR18</f>
        <v>65.19378093655267</v>
      </c>
      <c r="X33" s="12">
        <f ca="1">$B33*'Alberta Curve'!AS18</f>
        <v>60.196016739813366</v>
      </c>
      <c r="Y33" s="12">
        <f ca="1">$B33*'Alberta Curve'!AT18</f>
        <v>53.310267687442284</v>
      </c>
      <c r="Z33" s="12">
        <f ca="1">$B33*'Alberta Curve'!AU18</f>
        <v>52.289163534069878</v>
      </c>
      <c r="AA33" s="12">
        <f ca="1">$B33*'Alberta Curve'!AV18</f>
        <v>60.34718098452899</v>
      </c>
      <c r="AB33" s="12">
        <f ca="1">$B33*'Alberta Curve'!AW18</f>
        <v>54.149339484751323</v>
      </c>
      <c r="AC33" s="12">
        <f ca="1">$B33*'Alberta Curve'!AX18</f>
        <v>45.268932655916288</v>
      </c>
      <c r="AD33" s="12">
        <f t="shared" ca="1" si="28"/>
        <v>32</v>
      </c>
    </row>
    <row r="34" spans="1:30" x14ac:dyDescent="0.2">
      <c r="A34" s="39">
        <f t="shared" ca="1" si="21"/>
        <v>36829</v>
      </c>
      <c r="B34" s="12">
        <f ca="1">'Alberta Curve'!O15</f>
        <v>66.600000000000009</v>
      </c>
      <c r="C34" s="12">
        <f t="shared" ca="1" si="22"/>
        <v>33</v>
      </c>
      <c r="D34" s="12">
        <f t="shared" ca="1" si="23"/>
        <v>67.471544593310981</v>
      </c>
      <c r="E34" s="12">
        <f t="shared" ca="1" si="24"/>
        <v>55.400000000000006</v>
      </c>
      <c r="F34" s="12">
        <f t="shared" ca="1" si="25"/>
        <v>62.823306762319113</v>
      </c>
      <c r="G34" s="12">
        <f t="shared" ca="1" si="26"/>
        <v>33</v>
      </c>
      <c r="H34" s="12">
        <f t="shared" ca="1" si="27"/>
        <v>33</v>
      </c>
      <c r="I34" s="12">
        <f t="shared" ca="1" si="27"/>
        <v>33</v>
      </c>
      <c r="J34" s="12">
        <f t="shared" ca="1" si="27"/>
        <v>33</v>
      </c>
      <c r="K34" s="12">
        <f t="shared" ca="1" si="27"/>
        <v>33</v>
      </c>
      <c r="L34" s="12">
        <f t="shared" ca="1" si="27"/>
        <v>33</v>
      </c>
      <c r="M34" s="12">
        <f t="shared" ca="1" si="27"/>
        <v>33</v>
      </c>
      <c r="N34" s="12">
        <f ca="1">$B34*'Alberta Curve'!AI19</f>
        <v>52.829949253485587</v>
      </c>
      <c r="O34" s="12">
        <f ca="1">$B34*'Alberta Curve'!AJ19</f>
        <v>59.643428050867051</v>
      </c>
      <c r="P34" s="12">
        <f ca="1">$B34*'Alberta Curve'!AK19</f>
        <v>59.75958972093882</v>
      </c>
      <c r="Q34" s="12">
        <f ca="1">$B34*'Alberta Curve'!AL19</f>
        <v>64.043622927810716</v>
      </c>
      <c r="R34" s="12">
        <f ca="1">$B34*'Alberta Curve'!AM19</f>
        <v>71.687505850290748</v>
      </c>
      <c r="S34" s="12">
        <f ca="1">$B34*'Alberta Curve'!AN19</f>
        <v>69.06223475877762</v>
      </c>
      <c r="T34" s="12">
        <f ca="1">$B34*'Alberta Curve'!AO19</f>
        <v>65.422885957730117</v>
      </c>
      <c r="U34" s="12">
        <f ca="1">$B34*'Alberta Curve'!AP19</f>
        <v>66.847458199301826</v>
      </c>
      <c r="V34" s="12">
        <f ca="1">$B34*'Alberta Curve'!AQ19</f>
        <v>64.2167529172564</v>
      </c>
      <c r="W34" s="12">
        <f ca="1">$B34*'Alberta Curve'!AR19</f>
        <v>71.271737215748047</v>
      </c>
      <c r="X34" s="12">
        <f ca="1">$B34*'Alberta Curve'!AS19</f>
        <v>80.381515075256829</v>
      </c>
      <c r="Y34" s="12">
        <f ca="1">$B34*'Alberta Curve'!AT19</f>
        <v>73.513643095752514</v>
      </c>
      <c r="Z34" s="12">
        <f ca="1">$B34*'Alberta Curve'!AU19</f>
        <v>78.449756689826529</v>
      </c>
      <c r="AA34" s="12">
        <f ca="1">$B34*'Alberta Curve'!AV19</f>
        <v>75.784174663566077</v>
      </c>
      <c r="AB34" s="12">
        <f ca="1">$B34*'Alberta Curve'!AW19</f>
        <v>63.913272352448168</v>
      </c>
      <c r="AC34" s="12">
        <f ca="1">$B34*'Alberta Curve'!AX19</f>
        <v>48.772473270943109</v>
      </c>
      <c r="AD34" s="12">
        <f t="shared" ca="1" si="28"/>
        <v>33</v>
      </c>
    </row>
    <row r="35" spans="1:30" x14ac:dyDescent="0.2">
      <c r="A35" s="39">
        <f t="shared" ca="1" si="21"/>
        <v>36860</v>
      </c>
      <c r="B35" s="12">
        <f ca="1">'Alberta Curve'!O16</f>
        <v>51.75</v>
      </c>
      <c r="C35" s="12">
        <f t="shared" ca="1" si="22"/>
        <v>28.75</v>
      </c>
      <c r="D35" s="12">
        <f t="shared" ca="1" si="23"/>
        <v>52.388426806677778</v>
      </c>
      <c r="E35" s="12">
        <f t="shared" ca="1" si="24"/>
        <v>44.083333333333336</v>
      </c>
      <c r="F35" s="12">
        <f t="shared" ca="1" si="25"/>
        <v>48.983483837729644</v>
      </c>
      <c r="G35" s="12">
        <f t="shared" ca="1" si="26"/>
        <v>28.75</v>
      </c>
      <c r="H35" s="12">
        <f t="shared" ca="1" si="27"/>
        <v>28.75</v>
      </c>
      <c r="I35" s="12">
        <f t="shared" ca="1" si="27"/>
        <v>28.75</v>
      </c>
      <c r="J35" s="12">
        <f t="shared" ca="1" si="27"/>
        <v>28.75</v>
      </c>
      <c r="K35" s="12">
        <f t="shared" ca="1" si="27"/>
        <v>28.75</v>
      </c>
      <c r="L35" s="12">
        <f t="shared" ca="1" si="27"/>
        <v>28.75</v>
      </c>
      <c r="M35" s="12">
        <f t="shared" ca="1" si="27"/>
        <v>28.75</v>
      </c>
      <c r="N35" s="12">
        <f ca="1">$B35*'Alberta Curve'!AI20</f>
        <v>45.776037677095623</v>
      </c>
      <c r="O35" s="12">
        <f ca="1">$B35*'Alberta Curve'!AJ20</f>
        <v>49.484616883201305</v>
      </c>
      <c r="P35" s="12">
        <f ca="1">$B35*'Alberta Curve'!AK20</f>
        <v>50.464445704906865</v>
      </c>
      <c r="Q35" s="12">
        <f ca="1">$B35*'Alberta Curve'!AL20</f>
        <v>51.134780457029279</v>
      </c>
      <c r="R35" s="12">
        <f ca="1">$B35*'Alberta Curve'!AM20</f>
        <v>51.580694691278552</v>
      </c>
      <c r="S35" s="12">
        <f ca="1">$B35*'Alberta Curve'!AN20</f>
        <v>50.844445558856286</v>
      </c>
      <c r="T35" s="12">
        <f ca="1">$B35*'Alberta Curve'!AO20</f>
        <v>49.462172313123745</v>
      </c>
      <c r="U35" s="12">
        <f ca="1">$B35*'Alberta Curve'!AP20</f>
        <v>49.066692104167679</v>
      </c>
      <c r="V35" s="12">
        <f ca="1">$B35*'Alberta Curve'!AQ20</f>
        <v>49.753091143626243</v>
      </c>
      <c r="W35" s="12">
        <f ca="1">$B35*'Alberta Curve'!AR20</f>
        <v>55.891146587346206</v>
      </c>
      <c r="X35" s="12">
        <f ca="1">$B35*'Alberta Curve'!AS20</f>
        <v>66.31205425870229</v>
      </c>
      <c r="Y35" s="12">
        <f ca="1">$B35*'Alberta Curve'!AT20</f>
        <v>57.398294397351982</v>
      </c>
      <c r="Z35" s="12">
        <f ca="1">$B35*'Alberta Curve'!AU20</f>
        <v>53.881076710125029</v>
      </c>
      <c r="AA35" s="12">
        <f ca="1">$B35*'Alberta Curve'!AV20</f>
        <v>52.207247875905459</v>
      </c>
      <c r="AB35" s="12">
        <f ca="1">$B35*'Alberta Curve'!AW20</f>
        <v>50.130403096064981</v>
      </c>
      <c r="AC35" s="12">
        <f ca="1">$B35*'Alberta Curve'!AX20</f>
        <v>44.612800541218498</v>
      </c>
      <c r="AD35" s="12">
        <f t="shared" ca="1" si="28"/>
        <v>28.75</v>
      </c>
    </row>
    <row r="36" spans="1:30" x14ac:dyDescent="0.2">
      <c r="A36" s="39">
        <f t="shared" ca="1" si="21"/>
        <v>36890</v>
      </c>
      <c r="B36" s="12">
        <f ca="1">'Alberta Curve'!O17</f>
        <v>54.675000000000004</v>
      </c>
      <c r="C36" s="12">
        <f t="shared" ca="1" si="22"/>
        <v>28.75</v>
      </c>
      <c r="D36" s="12">
        <f t="shared" ca="1" si="23"/>
        <v>55.131319977511453</v>
      </c>
      <c r="E36" s="12">
        <f t="shared" ca="1" si="24"/>
        <v>46.189147950321647</v>
      </c>
      <c r="F36" s="12">
        <f t="shared" ca="1" si="25"/>
        <v>53.944130366690217</v>
      </c>
      <c r="G36" s="12">
        <f t="shared" ca="1" si="26"/>
        <v>28.75</v>
      </c>
      <c r="H36" s="12">
        <f t="shared" ca="1" si="27"/>
        <v>28.75</v>
      </c>
      <c r="I36" s="12">
        <f t="shared" ca="1" si="27"/>
        <v>28.75</v>
      </c>
      <c r="J36" s="12">
        <f t="shared" ca="1" si="27"/>
        <v>28.75</v>
      </c>
      <c r="K36" s="12">
        <f t="shared" ca="1" si="27"/>
        <v>28.75</v>
      </c>
      <c r="L36" s="12">
        <f t="shared" ca="1" si="27"/>
        <v>28.75</v>
      </c>
      <c r="M36" s="12">
        <f t="shared" ca="1" si="27"/>
        <v>28.75</v>
      </c>
      <c r="N36" s="12">
        <f ca="1">$B36*'Alberta Curve'!AI21</f>
        <v>42.341425668337394</v>
      </c>
      <c r="O36" s="12">
        <f ca="1">$B36*'Alberta Curve'!AJ21</f>
        <v>47.464483394391998</v>
      </c>
      <c r="P36" s="12">
        <f ca="1">$B36*'Alberta Curve'!AK21</f>
        <v>47.176764659993104</v>
      </c>
      <c r="Q36" s="12">
        <f ca="1">$B36*'Alberta Curve'!AL21</f>
        <v>49.665034664712536</v>
      </c>
      <c r="R36" s="12">
        <f ca="1">$B36*'Alberta Curve'!AM21</f>
        <v>47.183436093205543</v>
      </c>
      <c r="S36" s="12">
        <f ca="1">$B36*'Alberta Curve'!AN21</f>
        <v>46.337425878621715</v>
      </c>
      <c r="T36" s="12">
        <f ca="1">$B36*'Alberta Curve'!AO21</f>
        <v>45.727352951442391</v>
      </c>
      <c r="U36" s="12">
        <f ca="1">$B36*'Alberta Curve'!AP21</f>
        <v>44.577777682304067</v>
      </c>
      <c r="V36" s="12">
        <f ca="1">$B36*'Alberta Curve'!AQ21</f>
        <v>44.867734768127086</v>
      </c>
      <c r="W36" s="12">
        <f ca="1">$B36*'Alberta Curve'!AR21</f>
        <v>63.554710263080274</v>
      </c>
      <c r="X36" s="12">
        <f ca="1">$B36*'Alberta Curve'!AS21</f>
        <v>88.727007793466981</v>
      </c>
      <c r="Y36" s="12">
        <f ca="1">$B36*'Alberta Curve'!AT21</f>
        <v>86.02378123921973</v>
      </c>
      <c r="Z36" s="12">
        <f ca="1">$B36*'Alberta Curve'!AU21</f>
        <v>63.060224650746022</v>
      </c>
      <c r="AA36" s="12">
        <f ca="1">$B36*'Alberta Curve'!AV21</f>
        <v>62.222794957395273</v>
      </c>
      <c r="AB36" s="12">
        <f ca="1">$B36*'Alberta Curve'!AW21</f>
        <v>55.083100689459997</v>
      </c>
      <c r="AC36" s="12">
        <f ca="1">$B36*'Alberta Curve'!AX21</f>
        <v>44.526495453215368</v>
      </c>
      <c r="AD36" s="12">
        <f t="shared" ca="1" si="28"/>
        <v>28.75</v>
      </c>
    </row>
    <row r="37" spans="1:30" x14ac:dyDescent="0.2">
      <c r="A37" s="39">
        <v>36921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0" x14ac:dyDescent="0.2">
      <c r="A38" s="39">
        <v>36950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0" x14ac:dyDescent="0.2">
      <c r="A39" s="39">
        <v>36980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0" x14ac:dyDescent="0.2">
      <c r="A40" s="39">
        <v>37011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x14ac:dyDescent="0.2">
      <c r="A41" s="39">
        <v>37041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x14ac:dyDescent="0.2">
      <c r="A42" s="39">
        <v>37072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x14ac:dyDescent="0.2">
      <c r="A43" s="39">
        <v>37102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spans="1:30" x14ac:dyDescent="0.2">
      <c r="A44" s="39">
        <v>37133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spans="1:30" x14ac:dyDescent="0.2">
      <c r="A45" s="39">
        <v>37164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spans="1:30" x14ac:dyDescent="0.2">
      <c r="A46" s="39">
        <v>37194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spans="1:30" x14ac:dyDescent="0.2">
      <c r="A47" s="39">
        <v>37225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spans="1:30" x14ac:dyDescent="0.2">
      <c r="A48" s="39">
        <v>37255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spans="1:30" x14ac:dyDescent="0.2">
      <c r="B49" s="12"/>
      <c r="C49" s="12"/>
      <c r="D49" s="12"/>
      <c r="E49" s="12"/>
      <c r="F49" s="12"/>
    </row>
    <row r="50" spans="1:30" x14ac:dyDescent="0.2">
      <c r="A50" s="27" t="s">
        <v>348</v>
      </c>
      <c r="B50" s="12"/>
      <c r="C50" s="12"/>
      <c r="D50" s="12"/>
      <c r="E50" s="12"/>
      <c r="F50" s="12"/>
    </row>
    <row r="51" spans="1:30" x14ac:dyDescent="0.2">
      <c r="B51" s="12"/>
      <c r="C51" s="12"/>
      <c r="D51" s="12"/>
      <c r="E51" s="12"/>
      <c r="F51" s="12"/>
    </row>
    <row r="52" spans="1:30" x14ac:dyDescent="0.2">
      <c r="A52" s="121" t="s">
        <v>16</v>
      </c>
      <c r="B52" s="198" t="s">
        <v>374</v>
      </c>
      <c r="C52" s="198" t="s">
        <v>323</v>
      </c>
      <c r="D52" s="198" t="s">
        <v>354</v>
      </c>
      <c r="E52" s="198" t="s">
        <v>355</v>
      </c>
      <c r="F52" s="198" t="s">
        <v>373</v>
      </c>
      <c r="G52" s="142" t="s">
        <v>321</v>
      </c>
      <c r="H52" s="142" t="s">
        <v>324</v>
      </c>
      <c r="I52" s="142" t="s">
        <v>325</v>
      </c>
      <c r="J52" s="142" t="s">
        <v>326</v>
      </c>
      <c r="K52" s="142" t="s">
        <v>327</v>
      </c>
      <c r="L52" s="142" t="s">
        <v>328</v>
      </c>
      <c r="M52" s="142" t="s">
        <v>329</v>
      </c>
      <c r="N52" s="142" t="s">
        <v>330</v>
      </c>
      <c r="O52" s="142" t="s">
        <v>331</v>
      </c>
      <c r="P52" s="142" t="s">
        <v>332</v>
      </c>
      <c r="Q52" s="142" t="s">
        <v>333</v>
      </c>
      <c r="R52" s="142" t="s">
        <v>334</v>
      </c>
      <c r="S52" s="142" t="s">
        <v>335</v>
      </c>
      <c r="T52" s="142" t="s">
        <v>336</v>
      </c>
      <c r="U52" s="142" t="s">
        <v>337</v>
      </c>
      <c r="V52" s="142" t="s">
        <v>338</v>
      </c>
      <c r="W52" s="142" t="s">
        <v>339</v>
      </c>
      <c r="X52" s="142" t="s">
        <v>340</v>
      </c>
      <c r="Y52" s="142" t="s">
        <v>341</v>
      </c>
      <c r="Z52" s="142" t="s">
        <v>342</v>
      </c>
      <c r="AA52" s="142" t="s">
        <v>343</v>
      </c>
      <c r="AB52" s="142" t="s">
        <v>344</v>
      </c>
      <c r="AC52" s="142" t="s">
        <v>345</v>
      </c>
      <c r="AD52" s="142" t="s">
        <v>346</v>
      </c>
    </row>
    <row r="53" spans="1:30" x14ac:dyDescent="0.2">
      <c r="A53" s="39">
        <f ca="1">A30</f>
        <v>36707</v>
      </c>
      <c r="B53" s="12">
        <f ca="1">'Alberta Curve'!S11</f>
        <v>49.9375</v>
      </c>
      <c r="C53" s="12">
        <f t="shared" ref="C53:C59" ca="1" si="29">C30</f>
        <v>35</v>
      </c>
      <c r="D53" s="12">
        <f ca="1">AVERAGE(N53:Z53)</f>
        <v>52.948852263609282</v>
      </c>
      <c r="E53" s="12">
        <f ca="1">AVERAGE(G53:AD53)</f>
        <v>44.958333333333336</v>
      </c>
      <c r="F53" s="12">
        <f ca="1">AVERAGE(AA53:AC53)</f>
        <v>36.888306857693145</v>
      </c>
      <c r="G53" s="12">
        <f ca="1">C53</f>
        <v>35</v>
      </c>
      <c r="H53" s="12">
        <f t="shared" ref="H53:M53" ca="1" si="30">G53</f>
        <v>35</v>
      </c>
      <c r="I53" s="12">
        <f t="shared" ca="1" si="30"/>
        <v>35</v>
      </c>
      <c r="J53" s="12">
        <f t="shared" ca="1" si="30"/>
        <v>35</v>
      </c>
      <c r="K53" s="12">
        <f t="shared" ca="1" si="30"/>
        <v>35</v>
      </c>
      <c r="L53" s="12">
        <f t="shared" ca="1" si="30"/>
        <v>35</v>
      </c>
      <c r="M53" s="12">
        <f t="shared" ca="1" si="30"/>
        <v>35</v>
      </c>
      <c r="N53" s="12">
        <f ca="1">$B53*'Alberta Curve'!AI15</f>
        <v>30.943937428016117</v>
      </c>
      <c r="O53" s="12">
        <f ca="1">$B53*'Alberta Curve'!AJ15</f>
        <v>38.028615542135967</v>
      </c>
      <c r="P53" s="12">
        <f ca="1">$B53*'Alberta Curve'!AK15</f>
        <v>46.045645724419792</v>
      </c>
      <c r="Q53" s="12">
        <f ca="1">$B53*'Alberta Curve'!AL15</f>
        <v>53.361903740708662</v>
      </c>
      <c r="R53" s="12">
        <f ca="1">$B53*'Alberta Curve'!AM15</f>
        <v>61.982476925869491</v>
      </c>
      <c r="S53" s="12">
        <f ca="1">$B53*'Alberta Curve'!AN15</f>
        <v>68.684929800268407</v>
      </c>
      <c r="T53" s="12">
        <f ca="1">$B53*'Alberta Curve'!AO15</f>
        <v>60.270099592137136</v>
      </c>
      <c r="U53" s="12">
        <f ca="1">$B53*'Alberta Curve'!AP15</f>
        <v>60.899844057726071</v>
      </c>
      <c r="V53" s="12">
        <f ca="1">$B53*'Alberta Curve'!AQ15</f>
        <v>65.461107937984409</v>
      </c>
      <c r="W53" s="12">
        <f ca="1">$B53*'Alberta Curve'!AR15</f>
        <v>64.106356700780012</v>
      </c>
      <c r="X53" s="12">
        <f ca="1">$B53*'Alberta Curve'!AS15</f>
        <v>56.248581501289976</v>
      </c>
      <c r="Y53" s="12">
        <f ca="1">$B53*'Alberta Curve'!AT15</f>
        <v>43.073591637175973</v>
      </c>
      <c r="Z53" s="12">
        <f ca="1">$B53*'Alberta Curve'!AU15</f>
        <v>39.227988838408621</v>
      </c>
      <c r="AA53" s="12">
        <f ca="1">$B53*'Alberta Curve'!AV15</f>
        <v>37.461126650765664</v>
      </c>
      <c r="AB53" s="12">
        <f ca="1">$B53*'Alberta Curve'!AW15</f>
        <v>37.008590913807296</v>
      </c>
      <c r="AC53" s="12">
        <f ca="1">$B53*'Alberta Curve'!AX15</f>
        <v>36.195203008506468</v>
      </c>
      <c r="AD53" s="12">
        <f ca="1">M53</f>
        <v>35</v>
      </c>
    </row>
    <row r="54" spans="1:30" x14ac:dyDescent="0.2">
      <c r="A54" s="39">
        <f t="shared" ref="A54:A59" ca="1" si="31">A31</f>
        <v>36737</v>
      </c>
      <c r="B54" s="12">
        <f ca="1">'Alberta Curve'!S12</f>
        <v>50.574999999999996</v>
      </c>
      <c r="C54" s="12">
        <f t="shared" ca="1" si="29"/>
        <v>35</v>
      </c>
      <c r="D54" s="12">
        <f t="shared" ref="D54:D59" ca="1" si="32">AVERAGE(N54:Z54)</f>
        <v>52.743081285964571</v>
      </c>
      <c r="E54" s="12">
        <f t="shared" ref="E54:E59" ca="1" si="33">AVERAGE(G54:AD54)</f>
        <v>45.383333333333333</v>
      </c>
      <c r="F54" s="12">
        <f t="shared" ref="F54:F59" ca="1" si="34">AVERAGE(AA54:AC54)</f>
        <v>41.17998109415354</v>
      </c>
      <c r="G54" s="12">
        <f t="shared" ref="G54:G59" ca="1" si="35">C54</f>
        <v>35</v>
      </c>
      <c r="H54" s="12">
        <f t="shared" ref="H54:M59" ca="1" si="36">G54</f>
        <v>35</v>
      </c>
      <c r="I54" s="12">
        <f t="shared" ca="1" si="36"/>
        <v>35</v>
      </c>
      <c r="J54" s="12">
        <f t="shared" ca="1" si="36"/>
        <v>35</v>
      </c>
      <c r="K54" s="12">
        <f t="shared" ca="1" si="36"/>
        <v>35</v>
      </c>
      <c r="L54" s="12">
        <f t="shared" ca="1" si="36"/>
        <v>35</v>
      </c>
      <c r="M54" s="12">
        <f t="shared" ca="1" si="36"/>
        <v>35</v>
      </c>
      <c r="N54" s="12">
        <f ca="1">$B54*'Alberta Curve'!AI16</f>
        <v>33.176426959910813</v>
      </c>
      <c r="O54" s="12">
        <f ca="1">$B54*'Alberta Curve'!AJ16</f>
        <v>40.113092754933376</v>
      </c>
      <c r="P54" s="12">
        <f ca="1">$B54*'Alberta Curve'!AK16</f>
        <v>45.471378711236866</v>
      </c>
      <c r="Q54" s="12">
        <f ca="1">$B54*'Alberta Curve'!AL16</f>
        <v>51.711078844922355</v>
      </c>
      <c r="R54" s="12">
        <f ca="1">$B54*'Alberta Curve'!AM16</f>
        <v>61.363383295343844</v>
      </c>
      <c r="S54" s="12">
        <f ca="1">$B54*'Alberta Curve'!AN16</f>
        <v>68.212523601213178</v>
      </c>
      <c r="T54" s="12">
        <f ca="1">$B54*'Alberta Curve'!AO16</f>
        <v>57.790631232405673</v>
      </c>
      <c r="U54" s="12">
        <f ca="1">$B54*'Alberta Curve'!AP16</f>
        <v>58.303464923471466</v>
      </c>
      <c r="V54" s="12">
        <f ca="1">$B54*'Alberta Curve'!AQ16</f>
        <v>56.384708673196975</v>
      </c>
      <c r="W54" s="12">
        <f ca="1">$B54*'Alberta Curve'!AR16</f>
        <v>69.845899622974571</v>
      </c>
      <c r="X54" s="12">
        <f ca="1">$B54*'Alberta Curve'!AS16</f>
        <v>52.532343787250738</v>
      </c>
      <c r="Y54" s="12">
        <f ca="1">$B54*'Alberta Curve'!AT16</f>
        <v>46.93970228329087</v>
      </c>
      <c r="Z54" s="12">
        <f ca="1">$B54*'Alberta Curve'!AU16</f>
        <v>43.815422027388614</v>
      </c>
      <c r="AA54" s="12">
        <f ca="1">$B54*'Alberta Curve'!AV16</f>
        <v>41.83721377217941</v>
      </c>
      <c r="AB54" s="12">
        <f ca="1">$B54*'Alberta Curve'!AW16</f>
        <v>40.783120117084515</v>
      </c>
      <c r="AC54" s="12">
        <f ca="1">$B54*'Alberta Curve'!AX16</f>
        <v>40.919609393196708</v>
      </c>
      <c r="AD54" s="12">
        <f t="shared" ref="AD54:AD59" ca="1" si="37">M54</f>
        <v>35</v>
      </c>
    </row>
    <row r="55" spans="1:30" x14ac:dyDescent="0.2">
      <c r="A55" s="39">
        <f t="shared" ca="1" si="31"/>
        <v>36768</v>
      </c>
      <c r="B55" s="12">
        <f ca="1">'Alberta Curve'!S13</f>
        <v>56.1</v>
      </c>
      <c r="C55" s="12">
        <f t="shared" ca="1" si="29"/>
        <v>32</v>
      </c>
      <c r="D55" s="12">
        <f t="shared" ca="1" si="32"/>
        <v>59.479413787803644</v>
      </c>
      <c r="E55" s="12">
        <f t="shared" ca="1" si="33"/>
        <v>48.066666666666663</v>
      </c>
      <c r="F55" s="12">
        <f t="shared" ca="1" si="34"/>
        <v>41.455873586184211</v>
      </c>
      <c r="G55" s="12">
        <f t="shared" ca="1" si="35"/>
        <v>32</v>
      </c>
      <c r="H55" s="12">
        <f t="shared" ca="1" si="36"/>
        <v>32</v>
      </c>
      <c r="I55" s="12">
        <f t="shared" ca="1" si="36"/>
        <v>32</v>
      </c>
      <c r="J55" s="12">
        <f t="shared" ca="1" si="36"/>
        <v>32</v>
      </c>
      <c r="K55" s="12">
        <f t="shared" ca="1" si="36"/>
        <v>32</v>
      </c>
      <c r="L55" s="12">
        <f t="shared" ca="1" si="36"/>
        <v>32</v>
      </c>
      <c r="M55" s="12">
        <f t="shared" ca="1" si="36"/>
        <v>32</v>
      </c>
      <c r="N55" s="12">
        <f ca="1">$B55*'Alberta Curve'!AI17</f>
        <v>31.902605243843226</v>
      </c>
      <c r="O55" s="12">
        <f ca="1">$B55*'Alberta Curve'!AJ17</f>
        <v>36.398136116311441</v>
      </c>
      <c r="P55" s="12">
        <f ca="1">$B55*'Alberta Curve'!AK17</f>
        <v>43.329489405130602</v>
      </c>
      <c r="Q55" s="12">
        <f ca="1">$B55*'Alberta Curve'!AL17</f>
        <v>51.599270465670131</v>
      </c>
      <c r="R55" s="12">
        <f ca="1">$B55*'Alberta Curve'!AM17</f>
        <v>62.305263657292578</v>
      </c>
      <c r="S55" s="12">
        <f ca="1">$B55*'Alberta Curve'!AN17</f>
        <v>75.682936181466616</v>
      </c>
      <c r="T55" s="12">
        <f ca="1">$B55*'Alberta Curve'!AO17</f>
        <v>75.674390054895767</v>
      </c>
      <c r="U55" s="12">
        <f ca="1">$B55*'Alberta Curve'!AP17</f>
        <v>74.418414493008456</v>
      </c>
      <c r="V55" s="12">
        <f ca="1">$B55*'Alberta Curve'!AQ17</f>
        <v>76.640177137858785</v>
      </c>
      <c r="W55" s="12">
        <f ca="1">$B55*'Alberta Curve'!AR17</f>
        <v>76.931843723955183</v>
      </c>
      <c r="X55" s="12">
        <f ca="1">$B55*'Alberta Curve'!AS17</f>
        <v>78.636354166506749</v>
      </c>
      <c r="Y55" s="12">
        <f ca="1">$B55*'Alberta Curve'!AT17</f>
        <v>47.770542991816257</v>
      </c>
      <c r="Z55" s="12">
        <f ca="1">$B55*'Alberta Curve'!AU17</f>
        <v>41.942955603691644</v>
      </c>
      <c r="AA55" s="12">
        <f ca="1">$B55*'Alberta Curve'!AV17</f>
        <v>41.27992698555483</v>
      </c>
      <c r="AB55" s="12">
        <f ca="1">$B55*'Alberta Curve'!AW17</f>
        <v>43.765074266973556</v>
      </c>
      <c r="AC55" s="12">
        <f ca="1">$B55*'Alberta Curve'!AX17</f>
        <v>39.322619506024253</v>
      </c>
      <c r="AD55" s="12">
        <f t="shared" ca="1" si="37"/>
        <v>32</v>
      </c>
    </row>
    <row r="56" spans="1:30" x14ac:dyDescent="0.2">
      <c r="A56" s="39">
        <f t="shared" ca="1" si="31"/>
        <v>36799</v>
      </c>
      <c r="B56" s="12">
        <f ca="1">'Alberta Curve'!S14</f>
        <v>55.25</v>
      </c>
      <c r="C56" s="12">
        <f t="shared" ca="1" si="29"/>
        <v>32</v>
      </c>
      <c r="D56" s="12">
        <f t="shared" ca="1" si="32"/>
        <v>56.39310810628912</v>
      </c>
      <c r="E56" s="12">
        <f t="shared" ca="1" si="33"/>
        <v>47.499999999999993</v>
      </c>
      <c r="F56" s="12">
        <f t="shared" ca="1" si="34"/>
        <v>50.296531539413742</v>
      </c>
      <c r="G56" s="12">
        <f t="shared" ca="1" si="35"/>
        <v>32</v>
      </c>
      <c r="H56" s="12">
        <f t="shared" ca="1" si="36"/>
        <v>32</v>
      </c>
      <c r="I56" s="12">
        <f t="shared" ca="1" si="36"/>
        <v>32</v>
      </c>
      <c r="J56" s="12">
        <f t="shared" ca="1" si="36"/>
        <v>32</v>
      </c>
      <c r="K56" s="12">
        <f t="shared" ca="1" si="36"/>
        <v>32</v>
      </c>
      <c r="L56" s="12">
        <f t="shared" ca="1" si="36"/>
        <v>32</v>
      </c>
      <c r="M56" s="12">
        <f t="shared" ca="1" si="36"/>
        <v>32</v>
      </c>
      <c r="N56" s="12">
        <f ca="1">$B56*'Alberta Curve'!AI18</f>
        <v>40.584750256719609</v>
      </c>
      <c r="O56" s="12">
        <f ca="1">$B56*'Alberta Curve'!AJ18</f>
        <v>44.324947673384749</v>
      </c>
      <c r="P56" s="12">
        <f ca="1">$B56*'Alberta Curve'!AK18</f>
        <v>49.718306334796907</v>
      </c>
      <c r="Q56" s="12">
        <f ca="1">$B56*'Alberta Curve'!AL18</f>
        <v>53.141690695141655</v>
      </c>
      <c r="R56" s="12">
        <f ca="1">$B56*'Alberta Curve'!AM18</f>
        <v>55.519413748267958</v>
      </c>
      <c r="S56" s="12">
        <f ca="1">$B56*'Alberta Curve'!AN18</f>
        <v>70.800573898436397</v>
      </c>
      <c r="T56" s="12">
        <f ca="1">$B56*'Alberta Curve'!AO18</f>
        <v>65.951628868228497</v>
      </c>
      <c r="U56" s="12">
        <f ca="1">$B56*'Alberta Curve'!AP18</f>
        <v>65.847129050103064</v>
      </c>
      <c r="V56" s="12">
        <f ca="1">$B56*'Alberta Curve'!AQ18</f>
        <v>69.065470897572737</v>
      </c>
      <c r="W56" s="12">
        <f ca="1">$B56*'Alberta Curve'!AR18</f>
        <v>61.571904217855291</v>
      </c>
      <c r="X56" s="12">
        <f ca="1">$B56*'Alberta Curve'!AS18</f>
        <v>56.851793587601513</v>
      </c>
      <c r="Y56" s="12">
        <f ca="1">$B56*'Alberta Curve'!AT18</f>
        <v>50.348586149251048</v>
      </c>
      <c r="Z56" s="12">
        <f ca="1">$B56*'Alberta Curve'!AU18</f>
        <v>49.384210004399328</v>
      </c>
      <c r="AA56" s="12">
        <f ca="1">$B56*'Alberta Curve'!AV18</f>
        <v>56.994559818721825</v>
      </c>
      <c r="AB56" s="12">
        <f ca="1">$B56*'Alberta Curve'!AW18</f>
        <v>51.141042846709581</v>
      </c>
      <c r="AC56" s="12">
        <f ca="1">$B56*'Alberta Curve'!AX18</f>
        <v>42.753991952809827</v>
      </c>
      <c r="AD56" s="12">
        <f t="shared" ca="1" si="37"/>
        <v>32</v>
      </c>
    </row>
    <row r="57" spans="1:30" x14ac:dyDescent="0.2">
      <c r="A57" s="39">
        <f t="shared" ca="1" si="31"/>
        <v>36829</v>
      </c>
      <c r="B57" s="12">
        <f ca="1">'Alberta Curve'!S15</f>
        <v>62.9</v>
      </c>
      <c r="C57" s="12">
        <f t="shared" ca="1" si="29"/>
        <v>33</v>
      </c>
      <c r="D57" s="12">
        <f t="shared" ca="1" si="32"/>
        <v>63.72312544923814</v>
      </c>
      <c r="E57" s="12">
        <f t="shared" ca="1" si="33"/>
        <v>52.933333333333337</v>
      </c>
      <c r="F57" s="12">
        <f t="shared" ca="1" si="34"/>
        <v>59.333123053301371</v>
      </c>
      <c r="G57" s="12">
        <f t="shared" ca="1" si="35"/>
        <v>33</v>
      </c>
      <c r="H57" s="12">
        <f t="shared" ca="1" si="36"/>
        <v>33</v>
      </c>
      <c r="I57" s="12">
        <f t="shared" ca="1" si="36"/>
        <v>33</v>
      </c>
      <c r="J57" s="12">
        <f t="shared" ca="1" si="36"/>
        <v>33</v>
      </c>
      <c r="K57" s="12">
        <f t="shared" ca="1" si="36"/>
        <v>33</v>
      </c>
      <c r="L57" s="12">
        <f t="shared" ca="1" si="36"/>
        <v>33</v>
      </c>
      <c r="M57" s="12">
        <f t="shared" ca="1" si="36"/>
        <v>33</v>
      </c>
      <c r="N57" s="12">
        <f ca="1">$B57*'Alberta Curve'!AI19</f>
        <v>49.89495207273638</v>
      </c>
      <c r="O57" s="12">
        <f ca="1">$B57*'Alberta Curve'!AJ19</f>
        <v>56.32990427026332</v>
      </c>
      <c r="P57" s="12">
        <f ca="1">$B57*'Alberta Curve'!AK19</f>
        <v>56.439612514219988</v>
      </c>
      <c r="Q57" s="12">
        <f ca="1">$B57*'Alberta Curve'!AL19</f>
        <v>60.485643876265662</v>
      </c>
      <c r="R57" s="12">
        <f ca="1">$B57*'Alberta Curve'!AM19</f>
        <v>67.704866636385688</v>
      </c>
      <c r="S57" s="12">
        <f ca="1">$B57*'Alberta Curve'!AN19</f>
        <v>65.225443938845515</v>
      </c>
      <c r="T57" s="12">
        <f ca="1">$B57*'Alberta Curve'!AO19</f>
        <v>61.788281182300651</v>
      </c>
      <c r="U57" s="12">
        <f ca="1">$B57*'Alberta Curve'!AP19</f>
        <v>63.133710521562818</v>
      </c>
      <c r="V57" s="12">
        <f ca="1">$B57*'Alberta Curve'!AQ19</f>
        <v>60.649155532964365</v>
      </c>
      <c r="W57" s="12">
        <f ca="1">$B57*'Alberta Curve'!AR19</f>
        <v>67.312196259317602</v>
      </c>
      <c r="X57" s="12">
        <f ca="1">$B57*'Alberta Curve'!AS19</f>
        <v>75.91587534885366</v>
      </c>
      <c r="Y57" s="12">
        <f ca="1">$B57*'Alberta Curve'!AT19</f>
        <v>69.429551812655149</v>
      </c>
      <c r="Z57" s="12">
        <f ca="1">$B57*'Alberta Curve'!AU19</f>
        <v>74.091436873725044</v>
      </c>
      <c r="AA57" s="12">
        <f ca="1">$B57*'Alberta Curve'!AV19</f>
        <v>71.573942737812388</v>
      </c>
      <c r="AB57" s="12">
        <f ca="1">$B57*'Alberta Curve'!AW19</f>
        <v>60.362534999534368</v>
      </c>
      <c r="AC57" s="12">
        <f ca="1">$B57*'Alberta Curve'!AX19</f>
        <v>46.062891422557371</v>
      </c>
      <c r="AD57" s="12">
        <f t="shared" ca="1" si="37"/>
        <v>33</v>
      </c>
    </row>
    <row r="58" spans="1:30" x14ac:dyDescent="0.2">
      <c r="A58" s="39">
        <f t="shared" ca="1" si="31"/>
        <v>36860</v>
      </c>
      <c r="B58" s="12">
        <f ca="1">'Alberta Curve'!S16</f>
        <v>48.875</v>
      </c>
      <c r="C58" s="12">
        <f t="shared" ca="1" si="29"/>
        <v>28.75</v>
      </c>
      <c r="D58" s="12">
        <f t="shared" ca="1" si="32"/>
        <v>49.477958650751241</v>
      </c>
      <c r="E58" s="12">
        <f t="shared" ca="1" si="33"/>
        <v>42.166666666666671</v>
      </c>
      <c r="F58" s="12">
        <f t="shared" ca="1" si="34"/>
        <v>46.262179180078</v>
      </c>
      <c r="G58" s="12">
        <f t="shared" ca="1" si="35"/>
        <v>28.75</v>
      </c>
      <c r="H58" s="12">
        <f t="shared" ca="1" si="36"/>
        <v>28.75</v>
      </c>
      <c r="I58" s="12">
        <f t="shared" ca="1" si="36"/>
        <v>28.75</v>
      </c>
      <c r="J58" s="12">
        <f t="shared" ca="1" si="36"/>
        <v>28.75</v>
      </c>
      <c r="K58" s="12">
        <f t="shared" ca="1" si="36"/>
        <v>28.75</v>
      </c>
      <c r="L58" s="12">
        <f t="shared" ca="1" si="36"/>
        <v>28.75</v>
      </c>
      <c r="M58" s="12">
        <f t="shared" ca="1" si="36"/>
        <v>28.75</v>
      </c>
      <c r="N58" s="12">
        <f ca="1">$B58*'Alberta Curve'!AI20</f>
        <v>43.232924472812535</v>
      </c>
      <c r="O58" s="12">
        <f ca="1">$B58*'Alberta Curve'!AJ20</f>
        <v>46.735471500801232</v>
      </c>
      <c r="P58" s="12">
        <f ca="1">$B58*'Alberta Curve'!AK20</f>
        <v>47.66086538796759</v>
      </c>
      <c r="Q58" s="12">
        <f ca="1">$B58*'Alberta Curve'!AL20</f>
        <v>48.293959320527655</v>
      </c>
      <c r="R58" s="12">
        <f ca="1">$B58*'Alberta Curve'!AM20</f>
        <v>48.715100541763071</v>
      </c>
      <c r="S58" s="12">
        <f ca="1">$B58*'Alberta Curve'!AN20</f>
        <v>48.019754138919829</v>
      </c>
      <c r="T58" s="12">
        <f ca="1">$B58*'Alberta Curve'!AO20</f>
        <v>46.714273851283536</v>
      </c>
      <c r="U58" s="12">
        <f ca="1">$B58*'Alberta Curve'!AP20</f>
        <v>46.340764765047247</v>
      </c>
      <c r="V58" s="12">
        <f ca="1">$B58*'Alberta Curve'!AQ20</f>
        <v>46.989030524535892</v>
      </c>
      <c r="W58" s="12">
        <f ca="1">$B58*'Alberta Curve'!AR20</f>
        <v>52.786082888049194</v>
      </c>
      <c r="X58" s="12">
        <f ca="1">$B58*'Alberta Curve'!AS20</f>
        <v>62.628051244329939</v>
      </c>
      <c r="Y58" s="12">
        <f ca="1">$B58*'Alberta Curve'!AT20</f>
        <v>54.209500264165762</v>
      </c>
      <c r="Z58" s="12">
        <f ca="1">$B58*'Alberta Curve'!AU20</f>
        <v>50.887683559562532</v>
      </c>
      <c r="AA58" s="12">
        <f ca="1">$B58*'Alberta Curve'!AV20</f>
        <v>49.306845216132935</v>
      </c>
      <c r="AB58" s="12">
        <f ca="1">$B58*'Alberta Curve'!AW20</f>
        <v>47.345380701839154</v>
      </c>
      <c r="AC58" s="12">
        <f ca="1">$B58*'Alberta Curve'!AX20</f>
        <v>42.134311622261912</v>
      </c>
      <c r="AD58" s="12">
        <f t="shared" ca="1" si="37"/>
        <v>28.75</v>
      </c>
    </row>
    <row r="59" spans="1:30" x14ac:dyDescent="0.2">
      <c r="A59" s="39">
        <f t="shared" ca="1" si="31"/>
        <v>36890</v>
      </c>
      <c r="B59" s="12">
        <f ca="1">'Alberta Curve'!S17</f>
        <v>51.637499999999996</v>
      </c>
      <c r="C59" s="12">
        <f t="shared" ca="1" si="29"/>
        <v>28.75</v>
      </c>
      <c r="D59" s="12">
        <f t="shared" ca="1" si="32"/>
        <v>52.068468867649699</v>
      </c>
      <c r="E59" s="12">
        <f t="shared" ca="1" si="33"/>
        <v>44.155491582711171</v>
      </c>
      <c r="F59" s="12">
        <f t="shared" ca="1" si="34"/>
        <v>50.947234235207418</v>
      </c>
      <c r="G59" s="12">
        <f t="shared" ca="1" si="35"/>
        <v>28.75</v>
      </c>
      <c r="H59" s="12">
        <f t="shared" ca="1" si="36"/>
        <v>28.75</v>
      </c>
      <c r="I59" s="12">
        <f t="shared" ca="1" si="36"/>
        <v>28.75</v>
      </c>
      <c r="J59" s="12">
        <f t="shared" ca="1" si="36"/>
        <v>28.75</v>
      </c>
      <c r="K59" s="12">
        <f t="shared" ca="1" si="36"/>
        <v>28.75</v>
      </c>
      <c r="L59" s="12">
        <f t="shared" ca="1" si="36"/>
        <v>28.75</v>
      </c>
      <c r="M59" s="12">
        <f t="shared" ca="1" si="36"/>
        <v>28.75</v>
      </c>
      <c r="N59" s="12">
        <f ca="1">$B59*'Alberta Curve'!AI21</f>
        <v>39.989124242318638</v>
      </c>
      <c r="O59" s="12">
        <f ca="1">$B59*'Alberta Curve'!AJ21</f>
        <v>44.827567650259098</v>
      </c>
      <c r="P59" s="12">
        <f ca="1">$B59*'Alberta Curve'!AK21</f>
        <v>44.55583328999348</v>
      </c>
      <c r="Q59" s="12">
        <f ca="1">$B59*'Alberta Curve'!AL21</f>
        <v>46.905866072228498</v>
      </c>
      <c r="R59" s="12">
        <f ca="1">$B59*'Alberta Curve'!AM21</f>
        <v>44.562134088027456</v>
      </c>
      <c r="S59" s="12">
        <f ca="1">$B59*'Alberta Curve'!AN21</f>
        <v>43.763124440920507</v>
      </c>
      <c r="T59" s="12">
        <f ca="1">$B59*'Alberta Curve'!AO21</f>
        <v>43.186944454140026</v>
      </c>
      <c r="U59" s="12">
        <f ca="1">$B59*'Alberta Curve'!AP21</f>
        <v>42.101234477731609</v>
      </c>
      <c r="V59" s="12">
        <f ca="1">$B59*'Alberta Curve'!AQ21</f>
        <v>42.375082836564459</v>
      </c>
      <c r="W59" s="12">
        <f ca="1">$B59*'Alberta Curve'!AR21</f>
        <v>60.023893026242469</v>
      </c>
      <c r="X59" s="12">
        <f ca="1">$B59*'Alberta Curve'!AS21</f>
        <v>83.797729582718802</v>
      </c>
      <c r="Y59" s="12">
        <f ca="1">$B59*'Alberta Curve'!AT21</f>
        <v>81.244682281485296</v>
      </c>
      <c r="Z59" s="12">
        <f ca="1">$B59*'Alberta Curve'!AU21</f>
        <v>59.556878836815677</v>
      </c>
      <c r="AA59" s="12">
        <f ca="1">$B59*'Alberta Curve'!AV21</f>
        <v>58.765973015317748</v>
      </c>
      <c r="AB59" s="12">
        <f ca="1">$B59*'Alberta Curve'!AW21</f>
        <v>52.022928428934428</v>
      </c>
      <c r="AC59" s="12">
        <f ca="1">$B59*'Alberta Curve'!AX21</f>
        <v>42.052801261370064</v>
      </c>
      <c r="AD59" s="12">
        <f t="shared" ca="1" si="37"/>
        <v>28.75</v>
      </c>
    </row>
    <row r="60" spans="1:30" x14ac:dyDescent="0.2">
      <c r="A60" s="39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spans="1:30" x14ac:dyDescent="0.2">
      <c r="A61" s="39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0" x14ac:dyDescent="0.2">
      <c r="A62" s="39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x14ac:dyDescent="0.2">
      <c r="A63" s="39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0" x14ac:dyDescent="0.2">
      <c r="A64" s="39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0" x14ac:dyDescent="0.2">
      <c r="A65" s="39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0" x14ac:dyDescent="0.2">
      <c r="A66" s="39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spans="1:30" x14ac:dyDescent="0.2">
      <c r="A67" s="39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spans="1:30" x14ac:dyDescent="0.2">
      <c r="A68" s="39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spans="1:30" x14ac:dyDescent="0.2">
      <c r="A69" s="39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spans="1:30" x14ac:dyDescent="0.2">
      <c r="A70" s="39"/>
    </row>
    <row r="71" spans="1:30" x14ac:dyDescent="0.2">
      <c r="A71" s="39"/>
    </row>
  </sheetData>
  <pageMargins left="0.75" right="0.75" top="1" bottom="1" header="0.5" footer="0.5"/>
  <pageSetup paperSize="5" scale="4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summary_P&amp;L</vt:lpstr>
      <vt:lpstr>All</vt:lpstr>
      <vt:lpstr>Non-Peak</vt:lpstr>
      <vt:lpstr>Peak</vt:lpstr>
      <vt:lpstr>external_curves</vt:lpstr>
      <vt:lpstr>Trades</vt:lpstr>
      <vt:lpstr>Sheet2</vt:lpstr>
      <vt:lpstr>ROM_hrs</vt:lpstr>
      <vt:lpstr>hourly_curves</vt:lpstr>
      <vt:lpstr>Alberta Curve</vt:lpstr>
      <vt:lpstr>Fwd_curves</vt:lpstr>
      <vt:lpstr>swap_model</vt:lpstr>
      <vt:lpstr>H-rate_model</vt:lpstr>
      <vt:lpstr>ab_gas_deal</vt:lpstr>
      <vt:lpstr>PJM_deal</vt:lpstr>
      <vt:lpstr>BasisTable</vt:lpstr>
      <vt:lpstr>BigTable</vt:lpstr>
      <vt:lpstr>DailyScalarsTable</vt:lpstr>
      <vt:lpstr>IRFirstMonth</vt:lpstr>
      <vt:lpstr>IRTable</vt:lpstr>
      <vt:lpstr>PositionBasis</vt:lpstr>
      <vt:lpstr>PositionRegion</vt:lpstr>
      <vt:lpstr>PriceTable</vt:lpstr>
      <vt:lpstr>external_curves!Print_Area</vt:lpstr>
      <vt:lpstr>Fwd_curves!Print_Area</vt:lpstr>
      <vt:lpstr>swap_model!Print_Area</vt:lpstr>
      <vt:lpstr>Trades!Print_Area</vt:lpstr>
      <vt:lpstr>VolSmileBook</vt:lpstr>
      <vt:lpstr>VolSmileModel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bgreeni</dc:creator>
  <cp:lastModifiedBy>Felienne</cp:lastModifiedBy>
  <cp:lastPrinted>2000-06-19T23:00:00Z</cp:lastPrinted>
  <dcterms:created xsi:type="dcterms:W3CDTF">1999-08-24T14:03:29Z</dcterms:created>
  <dcterms:modified xsi:type="dcterms:W3CDTF">2014-09-05T10:48:39Z</dcterms:modified>
</cp:coreProperties>
</file>