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H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H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H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H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H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H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H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H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<sst xmlns="http://schemas.openxmlformats.org/spreadsheetml/2006/main" count="1130" uniqueCount="129">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</sst>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0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9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3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2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1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2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topLeftCell="B1" workbookViewId="0">
      <selection activeCell="AJ27" sqref="AJ2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159.51517000000001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171.65071</v>
      </c>
      <c r="AJ16" s="61"/>
      <c r="AK16" s="48">
        <v>193.4</v>
      </c>
      <c r="AL16"/>
      <c r="AM16" s="48">
        <v>-21.749290000000002</v>
      </c>
      <c r="AN16" s="74"/>
      <c r="AO16" s="61">
        <v>171.65071</v>
      </c>
      <c r="AP16" s="28"/>
      <c r="AQ16" s="26">
        <v>-25.349290000000014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-58.446509999999989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600.62063000000001</v>
      </c>
      <c r="AJ19" s="61"/>
      <c r="AK19" s="48">
        <v>101.9</v>
      </c>
      <c r="AL19"/>
      <c r="AM19" s="48">
        <v>498.72063000000003</v>
      </c>
      <c r="AN19" s="74"/>
      <c r="AO19" s="61">
        <v>600.62063000000001</v>
      </c>
      <c r="AP19" s="28"/>
      <c r="AQ19" s="26">
        <v>401.22063000000003</v>
      </c>
      <c r="AR19" s="29"/>
    </row>
    <row r="20" spans="1:44" ht="12.75" customHeight="1" x14ac:dyDescent="0.25">
      <c r="A20" s="50" t="s">
        <v>10</v>
      </c>
      <c r="B20" s="23"/>
      <c r="E20" s="68">
        <v>206.71517</v>
      </c>
      <c r="F20" s="77"/>
      <c r="G20" s="68">
        <v>0</v>
      </c>
      <c r="H20" s="23"/>
      <c r="I20" s="68">
        <v>-411.71096999999997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454.07134000000002</v>
      </c>
      <c r="AJ20" s="61"/>
      <c r="AK20" s="68">
        <v>-22.9</v>
      </c>
      <c r="AL20"/>
      <c r="AM20" s="68">
        <v>476.97134000000005</v>
      </c>
      <c r="AN20" s="74"/>
      <c r="AO20" s="69">
        <v>454.07134000000002</v>
      </c>
      <c r="AP20" s="38"/>
      <c r="AQ20" s="68">
        <v>460.67133999999999</v>
      </c>
      <c r="AR20" s="59"/>
    </row>
    <row r="21" spans="1:44" ht="12.75" customHeight="1" x14ac:dyDescent="0.2">
      <c r="A21" s="10" t="s">
        <v>24</v>
      </c>
      <c r="E21" s="2">
        <v>-22.084830000000011</v>
      </c>
      <c r="G21" s="2">
        <v>0</v>
      </c>
      <c r="I21" s="2">
        <v>287.28903000000003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476.97134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61"/>
  <sheetViews>
    <sheetView topLeftCell="A2" workbookViewId="0">
      <selection activeCell="C20" sqref="C19:C20"/>
    </sheetView>
  </sheetViews>
  <sheetFormatPr defaultRowHeight="12.75" x14ac:dyDescent="0.2"/>
  <cols>
    <col min="1" max="1" width="17.5703125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7" ht="13.5" x14ac:dyDescent="0.25">
      <c r="A1" s="83"/>
      <c r="H1" s="84" t="s">
        <v>21</v>
      </c>
      <c r="I1" s="78">
        <f ca="1">SUMIF(O$8:O$39,H1,I$8:I$39)</f>
        <v>2628201</v>
      </c>
      <c r="J1" s="78">
        <f ca="1">SUMIF(O$8:O$39,H1,J$8:J$39)</f>
        <v>-236657.09999999998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5" x14ac:dyDescent="0.25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5" x14ac:dyDescent="0.25">
      <c r="A3" s="88" t="str">
        <f ca="1">IF(A4=A5,"OK","ERROR")</f>
        <v>OK</v>
      </c>
      <c r="H3" s="84" t="s">
        <v>19</v>
      </c>
      <c r="I3" s="78">
        <f ca="1">SUMIF(O$8:O$39,H3,I$8:I$39)</f>
        <v>171727</v>
      </c>
      <c r="J3" s="78">
        <f ca="1">SUMIF(O$8:O$39,H3,J$8:J$39)</f>
        <v>-55000.000000000007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5" x14ac:dyDescent="0.25">
      <c r="A4" s="89">
        <f>MAX(A7:A39)</f>
        <v>36696</v>
      </c>
      <c r="B4" t="s">
        <v>50</v>
      </c>
      <c r="H4" s="84" t="s">
        <v>51</v>
      </c>
      <c r="I4" s="78">
        <f ca="1">SUMIF(E$8:E$39,H4,I$8:I$39)</f>
        <v>-1274316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">
      <c r="A5" s="89">
        <f>MIN(A7:A39)</f>
        <v>36696</v>
      </c>
      <c r="B5" t="s">
        <v>55</v>
      </c>
      <c r="H5" s="90">
        <f>MAX(H7:H39)</f>
        <v>36800</v>
      </c>
      <c r="I5" s="78">
        <f>SUBTOTAL(9,I7:I39)</f>
        <v>-991873</v>
      </c>
      <c r="J5" s="78">
        <f>SUBTOTAL(9,J7:J39)</f>
        <v>-840000</v>
      </c>
      <c r="K5" s="78"/>
      <c r="L5" s="80"/>
      <c r="M5" s="81">
        <f>SUBTOTAL(9,M7:M39)</f>
        <v>-99.187299999999965</v>
      </c>
      <c r="N5" s="81">
        <f>SUBTOTAL(9,N7:N39)</f>
        <v>-84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str">
        <f ca="1">INDEX(AG$2:AH$200,MATCH(D8&amp;G8,AH$2:AH$200,0),1)</f>
        <v>G</v>
      </c>
      <c r="P8" s="93" t="str">
        <f ca="1">INDEX([17]Portfolios!A$3:G$929,MATCH(D8,[17]Portfolios!B$3:B$929,0),7)</f>
        <v>IMCANADA</v>
      </c>
      <c r="Q8" s="93">
        <f ca="1">IF($O8="P",INDEX('[17]Date Master'!I$3:J$332,MATCH($H8,'[17]Date Master'!I$3:I$332,0),2),0)</f>
        <v>0</v>
      </c>
      <c r="R8" s="93">
        <f ca="1">IF($O8="D",INDEX('[17]Date Master'!O$3:P$332,MATCH($H8,'[17]Date Master'!O$3:O$332,0),2),0)</f>
        <v>0</v>
      </c>
      <c r="S8" s="93">
        <f ca="1">IF($O8="PHY",INDEX('[17]Date Master'!R$3:S$332,MATCH($H8,'[17]Date Master'!R$3:R$332,0),2),0)</f>
        <v>0</v>
      </c>
      <c r="T8" s="93">
        <f ca="1">IF($O8="G",INDEX('[17]Date Master'!R$3:S$332,MATCH($H8,'[17]Date Master'!R$3:R$332,0),2),0)</f>
        <v>1</v>
      </c>
      <c r="U8" s="93">
        <f>SUM(Q8:T8)</f>
        <v>1</v>
      </c>
      <c r="V8" s="93" t="str">
        <f ca="1">P8&amp;O8&amp;U8</f>
        <v>IMCANADAG1</v>
      </c>
      <c r="W8" s="93" t="str">
        <f ca="1">IF(ISNA(V8),"-",INDEX([17]Portfolios!A$3:H$827,MATCH(D8,[17]Portfolios!B$3:B$827,0),7)&amp;H8)</f>
        <v>IMCANADA36678</v>
      </c>
      <c r="X8" s="93" t="str">
        <f ca="1">IF(ISNA(V8),"-",P8&amp;E8&amp;H8)</f>
        <v>IMCANADAM36678</v>
      </c>
      <c r="Y8" s="93" t="str">
        <f ca="1">P8&amp;O8</f>
        <v>IMCANADAG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si="0"/>
        <v>INTRA-CAND-EAST-PHYGD-NIAGARA</v>
      </c>
      <c r="AI8" s="87" t="s">
        <v>86</v>
      </c>
      <c r="AJ8" s="79">
        <v>1</v>
      </c>
    </row>
    <row r="9" spans="1:37" x14ac:dyDescent="0.2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si="1">IF(ISNA(K9),0,(I9*K9))</f>
        <v>0</v>
      </c>
      <c r="K9" s="82" t="e">
        <f t="shared" ref="K9:K72" si="2">VLOOKUP(G9,CurveTable,2,FALSE)</f>
        <v>#N/A</v>
      </c>
      <c r="L9" s="82" t="str">
        <f t="shared" ref="L9:L72" si="3">G9&amp;H9</f>
        <v>GD-CGPR-AECO/AV36708</v>
      </c>
      <c r="M9" s="82">
        <f t="shared" ref="M9:M72" si="4">SUM(I9/UOM)</f>
        <v>-30.9407</v>
      </c>
      <c r="N9" s="82">
        <f t="shared" ref="N9:N72" si="5">SUM(J9/UOM)</f>
        <v>0</v>
      </c>
      <c r="O9" s="93" t="str">
        <f ca="1">INDEX(AG$2:AH$200,MATCH(D9&amp;G9,AH$2:AH$200,0),1)</f>
        <v>G</v>
      </c>
      <c r="P9" s="93" t="str">
        <f ca="1">INDEX([17]Portfolios!A$3:G$929,MATCH(D9,[17]Portfolios!B$3:B$929,0),7)</f>
        <v>IMCANADA</v>
      </c>
      <c r="Q9" s="93">
        <f ca="1">IF($O9="P",INDEX('[17]Date Master'!I$3:J$332,MATCH($H9,'[17]Date Master'!I$3:I$332,0),2),0)</f>
        <v>0</v>
      </c>
      <c r="R9" s="93">
        <f ca="1">IF($O9="D",INDEX('[17]Date Master'!O$3:P$332,MATCH($H9,'[17]Date Master'!O$3:O$332,0),2),0)</f>
        <v>0</v>
      </c>
      <c r="S9" s="93">
        <f ca="1">IF($O9="PHY",INDEX('[17]Date Master'!R$3:S$332,MATCH($H9,'[17]Date Master'!R$3:R$332,0),2),0)</f>
        <v>0</v>
      </c>
      <c r="T9" s="93">
        <f ca="1">IF($O9="G",INDEX('[17]Date Master'!R$3:S$332,MATCH($H9,'[17]Date Master'!R$3:R$332,0),2),0)</f>
        <v>3</v>
      </c>
      <c r="U9" s="93">
        <f t="shared" ref="U9:U72" si="6">SUM(Q9:T9)</f>
        <v>3</v>
      </c>
      <c r="V9" s="93" t="str">
        <f t="shared" ref="V9:V72" si="7">P9&amp;O9&amp;U9</f>
        <v>IMCANADAG3</v>
      </c>
      <c r="W9" s="93" t="str">
        <f ca="1">IF(ISNA(V9),"-",INDEX([17]Portfolios!A$3:H$827,MATCH(D9,[17]Portfolios!B$3:B$827,0),7)&amp;H9)</f>
        <v>IMCANADA36708</v>
      </c>
      <c r="X9" s="93" t="str">
        <f t="shared" ref="X9:X72" si="8">IF(ISNA(V9),"-",P9&amp;E9&amp;H9)</f>
        <v>IMCANADAM36708</v>
      </c>
      <c r="Y9" s="93" t="str">
        <f t="shared" ref="Y9:Y72" si="9">P9&amp;O9</f>
        <v>IMCANADAG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si="0"/>
        <v>INTRA-CAND-EAST-PHYGDM-WADDINGTON</v>
      </c>
      <c r="AI9" s="87" t="s">
        <v>88</v>
      </c>
      <c r="AJ9" s="79">
        <v>0.8</v>
      </c>
    </row>
    <row r="10" spans="1:37" x14ac:dyDescent="0.2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si="1"/>
        <v>0</v>
      </c>
      <c r="K10" s="82" t="e">
        <f t="shared" si="2"/>
        <v>#N/A</v>
      </c>
      <c r="L10" s="82" t="str">
        <f t="shared" si="3"/>
        <v>GD-CGPR-AECO/AV36739</v>
      </c>
      <c r="M10" s="82">
        <f t="shared" si="4"/>
        <v>0</v>
      </c>
      <c r="N10" s="82">
        <f t="shared" si="5"/>
        <v>0</v>
      </c>
      <c r="O10" s="93" t="str">
        <f t="shared" ref="O10:O73" si="10">INDEX(AG$2:AH$200,MATCH(D10&amp;G10,AH$2:AH$200,0),1)</f>
        <v>G</v>
      </c>
      <c r="P10" s="93" t="str">
        <f ca="1">INDEX([17]Portfolios!A$3:G$929,MATCH(D10,[17]Portfolios!B$3:B$929,0),7)</f>
        <v>IMCANADA</v>
      </c>
      <c r="Q10" s="93">
        <f ca="1">IF($O10="P",INDEX('[17]Date Master'!I$3:J$332,MATCH($H10,'[17]Date Master'!I$3:I$332,0),2),0)</f>
        <v>0</v>
      </c>
      <c r="R10" s="93">
        <f ca="1">IF($O10="D",INDEX('[17]Date Master'!O$3:P$332,MATCH($H10,'[17]Date Master'!O$3:O$332,0),2),0)</f>
        <v>0</v>
      </c>
      <c r="S10" s="93">
        <f ca="1">IF($O10="PHY",INDEX('[17]Date Master'!R$3:S$332,MATCH($H10,'[17]Date Master'!R$3:R$332,0),2),0)</f>
        <v>0</v>
      </c>
      <c r="T10" s="93">
        <f ca="1">IF($O10="G",INDEX('[17]Date Master'!R$3:S$332,MATCH($H10,'[17]Date Master'!R$3:R$332,0),2),0)</f>
        <v>4</v>
      </c>
      <c r="U10" s="93">
        <f t="shared" si="6"/>
        <v>4</v>
      </c>
      <c r="V10" s="93" t="str">
        <f t="shared" si="7"/>
        <v>IMCANADAG4</v>
      </c>
      <c r="W10" s="93" t="str">
        <f ca="1">IF(ISNA(V10),"-",INDEX([17]Portfolios!A$3:H$827,MATCH(D10,[17]Portfolios!B$3:B$827,0),7)&amp;H10)</f>
        <v>IMCANADA36739</v>
      </c>
      <c r="X10" s="93" t="str">
        <f t="shared" si="8"/>
        <v>IMCANADAM36739</v>
      </c>
      <c r="Y10" s="93" t="str">
        <f t="shared" si="9"/>
        <v>IMCANADAG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si="0"/>
        <v>INTRA-CAND-EAST-PHYNIAGARA/IM</v>
      </c>
      <c r="AI10" s="87" t="s">
        <v>90</v>
      </c>
      <c r="AJ10" s="79">
        <v>0.8</v>
      </c>
    </row>
    <row r="11" spans="1:37" x14ac:dyDescent="0.2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si="1"/>
        <v>0</v>
      </c>
      <c r="K11" s="82" t="e">
        <f t="shared" si="2"/>
        <v>#N/A</v>
      </c>
      <c r="L11" s="82" t="str">
        <f t="shared" si="3"/>
        <v>GD-CGPR-AECO/AV36770</v>
      </c>
      <c r="M11" s="82">
        <f t="shared" si="4"/>
        <v>0</v>
      </c>
      <c r="N11" s="82">
        <f t="shared" si="5"/>
        <v>0</v>
      </c>
      <c r="O11" s="93" t="str">
        <f t="shared" si="10"/>
        <v>G</v>
      </c>
      <c r="P11" s="93" t="str">
        <f ca="1">INDEX([17]Portfolios!A$3:G$929,MATCH(D11,[17]Portfolios!B$3:B$929,0),7)</f>
        <v>IMCANADA</v>
      </c>
      <c r="Q11" s="93">
        <f ca="1">IF($O11="P",INDEX('[17]Date Master'!I$3:J$332,MATCH($H11,'[17]Date Master'!I$3:I$332,0),2),0)</f>
        <v>0</v>
      </c>
      <c r="R11" s="93">
        <f ca="1">IF($O11="D",INDEX('[17]Date Master'!O$3:P$332,MATCH($H11,'[17]Date Master'!O$3:O$332,0),2),0)</f>
        <v>0</v>
      </c>
      <c r="S11" s="93">
        <f ca="1">IF($O11="PHY",INDEX('[17]Date Master'!R$3:S$332,MATCH($H11,'[17]Date Master'!R$3:R$332,0),2),0)</f>
        <v>0</v>
      </c>
      <c r="T11" s="93">
        <f ca="1">IF($O11="G",INDEX('[17]Date Master'!R$3:S$332,MATCH($H11,'[17]Date Master'!R$3:R$332,0),2),0)</f>
        <v>5</v>
      </c>
      <c r="U11" s="93">
        <f t="shared" si="6"/>
        <v>5</v>
      </c>
      <c r="V11" s="93" t="str">
        <f t="shared" si="7"/>
        <v>IMCANADAG5</v>
      </c>
      <c r="W11" s="93" t="str">
        <f ca="1">IF(ISNA(V11),"-",INDEX([17]Portfolios!A$3:H$827,MATCH(D11,[17]Portfolios!B$3:B$827,0),7)&amp;H11)</f>
        <v>IMCANADA36770</v>
      </c>
      <c r="X11" s="93" t="str">
        <f t="shared" si="8"/>
        <v>IMCANADAM36770</v>
      </c>
      <c r="Y11" s="93" t="str">
        <f t="shared" si="9"/>
        <v>IMCANADAG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si="0"/>
        <v>INTRA-CAND-EAST-PHYPARK-CDN/IM</v>
      </c>
    </row>
    <row r="12" spans="1:37" x14ac:dyDescent="0.2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si="1"/>
        <v>0</v>
      </c>
      <c r="K12" s="82" t="e">
        <f t="shared" si="2"/>
        <v>#N/A</v>
      </c>
      <c r="L12" s="82" t="str">
        <f t="shared" si="3"/>
        <v>GD-CGPR-AECO/AV36800</v>
      </c>
      <c r="M12" s="82">
        <f t="shared" si="4"/>
        <v>0</v>
      </c>
      <c r="N12" s="82">
        <f t="shared" si="5"/>
        <v>0</v>
      </c>
      <c r="O12" s="93" t="str">
        <f t="shared" si="10"/>
        <v>G</v>
      </c>
      <c r="P12" s="93" t="str">
        <f ca="1">INDEX([17]Portfolios!A$3:G$929,MATCH(D12,[17]Portfolios!B$3:B$929,0),7)</f>
        <v>IMCANADA</v>
      </c>
      <c r="Q12" s="93">
        <f ca="1">IF($O12="P",INDEX('[17]Date Master'!I$3:J$332,MATCH($H12,'[17]Date Master'!I$3:I$332,0),2),0)</f>
        <v>0</v>
      </c>
      <c r="R12" s="93">
        <f ca="1">IF($O12="D",INDEX('[17]Date Master'!O$3:P$332,MATCH($H12,'[17]Date Master'!O$3:O$332,0),2),0)</f>
        <v>0</v>
      </c>
      <c r="S12" s="93">
        <f ca="1">IF($O12="PHY",INDEX('[17]Date Master'!R$3:S$332,MATCH($H12,'[17]Date Master'!R$3:R$332,0),2),0)</f>
        <v>0</v>
      </c>
      <c r="T12" s="93">
        <f ca="1">IF($O12="G",INDEX('[17]Date Master'!R$3:S$332,MATCH($H12,'[17]Date Master'!R$3:R$332,0),2),0)</f>
        <v>6</v>
      </c>
      <c r="U12" s="93">
        <f t="shared" si="6"/>
        <v>6</v>
      </c>
      <c r="V12" s="93" t="str">
        <f t="shared" si="7"/>
        <v>IMCANADAG6</v>
      </c>
      <c r="W12" s="93" t="str">
        <f ca="1">IF(ISNA(V12),"-",INDEX([17]Portfolios!A$3:H$827,MATCH(D12,[17]Portfolios!B$3:B$827,0),7)&amp;H12)</f>
        <v>IMCANADA36800</v>
      </c>
      <c r="X12" s="93" t="str">
        <f t="shared" si="8"/>
        <v>IMCANADAM36800</v>
      </c>
      <c r="Y12" s="93" t="str">
        <f t="shared" si="9"/>
        <v>IMCANADAG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si="0"/>
        <v>INTRA-CAND-EAST-PHYPARKWAY/IM</v>
      </c>
      <c r="AJ12" s="79"/>
    </row>
    <row r="13" spans="1:37" x14ac:dyDescent="0.2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si="1"/>
        <v>0</v>
      </c>
      <c r="K13" s="82">
        <f t="shared" si="2"/>
        <v>-0.2</v>
      </c>
      <c r="L13" s="82" t="str">
        <f t="shared" si="3"/>
        <v>GD-AECOUS-DAILY36678</v>
      </c>
      <c r="M13" s="82">
        <f t="shared" si="4"/>
        <v>0</v>
      </c>
      <c r="N13" s="82">
        <f t="shared" si="5"/>
        <v>0</v>
      </c>
      <c r="O13" s="93" t="str">
        <f t="shared" si="10"/>
        <v>G</v>
      </c>
      <c r="P13" s="93" t="str">
        <f ca="1">INDEX([17]Portfolios!A$3:G$929,MATCH(D13,[17]Portfolios!B$3:B$929,0),7)</f>
        <v>IMCANADA</v>
      </c>
      <c r="Q13" s="93">
        <f ca="1">IF($O13="P",INDEX('[17]Date Master'!I$3:J$332,MATCH($H13,'[17]Date Master'!I$3:I$332,0),2),0)</f>
        <v>0</v>
      </c>
      <c r="R13" s="93">
        <f ca="1">IF($O13="D",INDEX('[17]Date Master'!O$3:P$332,MATCH($H13,'[17]Date Master'!O$3:O$332,0),2),0)</f>
        <v>0</v>
      </c>
      <c r="S13" s="93">
        <f ca="1">IF($O13="PHY",INDEX('[17]Date Master'!R$3:S$332,MATCH($H13,'[17]Date Master'!R$3:R$332,0),2),0)</f>
        <v>0</v>
      </c>
      <c r="T13" s="93">
        <f ca="1">IF($O13="G",INDEX('[17]Date Master'!R$3:S$332,MATCH($H13,'[17]Date Master'!R$3:R$332,0),2),0)</f>
        <v>1</v>
      </c>
      <c r="U13" s="93">
        <f t="shared" si="6"/>
        <v>1</v>
      </c>
      <c r="V13" s="93" t="str">
        <f t="shared" si="7"/>
        <v>IMCANADAG1</v>
      </c>
      <c r="W13" s="93" t="str">
        <f ca="1">IF(ISNA(V13),"-",INDEX([17]Portfolios!A$3:H$827,MATCH(D13,[17]Portfolios!B$3:B$827,0),7)&amp;H13)</f>
        <v>IMCANADA36678</v>
      </c>
      <c r="X13" s="93" t="str">
        <f t="shared" si="8"/>
        <v>IMCANADAM36678</v>
      </c>
      <c r="Y13" s="93" t="str">
        <f t="shared" si="9"/>
        <v>IMCANADAG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si="0"/>
        <v>INTRA-CAND-EAST-PHYWADDINGTON/IM</v>
      </c>
    </row>
    <row r="14" spans="1:37" x14ac:dyDescent="0.2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-94782</v>
      </c>
      <c r="J14" s="82">
        <f t="shared" si="1"/>
        <v>0</v>
      </c>
      <c r="K14" s="82" t="e">
        <f t="shared" si="2"/>
        <v>#N/A</v>
      </c>
      <c r="L14" s="82" t="str">
        <f t="shared" si="3"/>
        <v>GD-CGPR-AECO/AV36678</v>
      </c>
      <c r="M14" s="82">
        <f t="shared" si="4"/>
        <v>-9.4781999999999993</v>
      </c>
      <c r="N14" s="82">
        <f t="shared" si="5"/>
        <v>0</v>
      </c>
      <c r="O14" s="93" t="str">
        <f t="shared" si="10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si="6"/>
        <v>1</v>
      </c>
      <c r="V14" s="93" t="str">
        <f t="shared" si="7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si="8"/>
        <v>IMCANADAM36678</v>
      </c>
      <c r="Y14" s="93" t="str">
        <f t="shared" si="9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si="1"/>
        <v>0</v>
      </c>
      <c r="K15" s="82" t="e">
        <f t="shared" si="2"/>
        <v>#N/A</v>
      </c>
      <c r="L15" s="82" t="str">
        <f t="shared" si="3"/>
        <v>GD-CGPR-AECO/AV36708</v>
      </c>
      <c r="M15" s="82">
        <f t="shared" si="4"/>
        <v>14.659000000000001</v>
      </c>
      <c r="N15" s="82">
        <f t="shared" si="5"/>
        <v>0</v>
      </c>
      <c r="O15" s="93" t="str">
        <f t="shared" si="10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si="6"/>
        <v>3</v>
      </c>
      <c r="V15" s="93" t="str">
        <f t="shared" si="7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si="8"/>
        <v>IMCANADAM36708</v>
      </c>
      <c r="Y15" s="93" t="str">
        <f t="shared" si="9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si="0"/>
        <v>INTRA-CAND-WE-GD-GDLGD-CGPR-AECO/AV</v>
      </c>
      <c r="AI15" s="87"/>
    </row>
    <row r="16" spans="1:37" x14ac:dyDescent="0.2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-50000</v>
      </c>
      <c r="J16" s="82">
        <f t="shared" si="1"/>
        <v>-55000.000000000007</v>
      </c>
      <c r="K16" s="82">
        <f t="shared" si="2"/>
        <v>1.1000000000000001</v>
      </c>
      <c r="L16" s="82" t="str">
        <f t="shared" si="3"/>
        <v>GDP-HEHUB36678</v>
      </c>
      <c r="M16" s="82">
        <f t="shared" si="4"/>
        <v>-5</v>
      </c>
      <c r="N16" s="82">
        <f t="shared" si="5"/>
        <v>-5.5000000000000009</v>
      </c>
      <c r="O16" s="93" t="str">
        <f t="shared" si="10"/>
        <v>G</v>
      </c>
      <c r="P16" s="93" t="str">
        <f ca="1">INDEX([17]Portfolios!A$3:G$929,MATCH(D16,[17]Portfolios!B$3:B$929,0),7)</f>
        <v>IMCANADA</v>
      </c>
      <c r="Q16" s="93">
        <f ca="1">IF($O16="P",INDEX('[17]Date Master'!I$3:J$332,MATCH($H16,'[17]Date Master'!I$3:I$332,0),2),0)</f>
        <v>0</v>
      </c>
      <c r="R16" s="93">
        <f ca="1">IF($O16="D",INDEX('[17]Date Master'!O$3:P$332,MATCH($H16,'[17]Date Master'!O$3:O$332,0),2),0)</f>
        <v>0</v>
      </c>
      <c r="S16" s="93">
        <f ca="1">IF($O16="PHY",INDEX('[17]Date Master'!R$3:S$332,MATCH($H16,'[17]Date Master'!R$3:R$332,0),2),0)</f>
        <v>0</v>
      </c>
      <c r="T16" s="93">
        <f ca="1">IF($O16="G",INDEX('[17]Date Master'!R$3:S$332,MATCH($H16,'[17]Date Master'!R$3:R$332,0),2),0)</f>
        <v>1</v>
      </c>
      <c r="U16" s="93">
        <f t="shared" si="6"/>
        <v>1</v>
      </c>
      <c r="V16" s="93" t="str">
        <f t="shared" si="7"/>
        <v>IMCANADAG1</v>
      </c>
      <c r="W16" s="93" t="str">
        <f ca="1">IF(ISNA(V16),"-",INDEX([17]Portfolios!A$3:H$827,MATCH(D16,[17]Portfolios!B$3:B$827,0),7)&amp;H16)</f>
        <v>IMCANADA36678</v>
      </c>
      <c r="X16" s="93" t="str">
        <f t="shared" si="8"/>
        <v>IMCANADAM36678</v>
      </c>
      <c r="Y16" s="93" t="str">
        <f t="shared" si="9"/>
        <v>IMCANADAG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si="0"/>
        <v>INTRA-CAND-WE-GD-GDLGDP-HEHUB</v>
      </c>
    </row>
    <row r="17" spans="1:36" x14ac:dyDescent="0.2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400000</v>
      </c>
      <c r="J17" s="82">
        <f t="shared" si="1"/>
        <v>0</v>
      </c>
      <c r="K17" s="82" t="e">
        <f t="shared" si="2"/>
        <v>#N/A</v>
      </c>
      <c r="L17" s="82" t="str">
        <f t="shared" si="3"/>
        <v>GDP-KERN/OPAL36678</v>
      </c>
      <c r="M17" s="82">
        <f t="shared" si="4"/>
        <v>40</v>
      </c>
      <c r="N17" s="82">
        <f t="shared" si="5"/>
        <v>0</v>
      </c>
      <c r="O17" s="93" t="str">
        <f t="shared" si="10"/>
        <v>G</v>
      </c>
      <c r="P17" s="93" t="str">
        <f ca="1">INDEX([17]Portfolios!A$3:G$929,MATCH(D17,[17]Portfolios!B$3:B$929,0),7)</f>
        <v>IMCANADA</v>
      </c>
      <c r="Q17" s="93">
        <f ca="1">IF($O17="P",INDEX('[17]Date Master'!I$3:J$332,MATCH($H17,'[17]Date Master'!I$3:I$332,0),2),0)</f>
        <v>0</v>
      </c>
      <c r="R17" s="93">
        <f ca="1">IF($O17="D",INDEX('[17]Date Master'!O$3:P$332,MATCH($H17,'[17]Date Master'!O$3:O$332,0),2),0)</f>
        <v>0</v>
      </c>
      <c r="S17" s="93">
        <f ca="1">IF($O17="PHY",INDEX('[17]Date Master'!R$3:S$332,MATCH($H17,'[17]Date Master'!R$3:R$332,0),2),0)</f>
        <v>0</v>
      </c>
      <c r="T17" s="93">
        <f ca="1">IF($O17="G",INDEX('[17]Date Master'!R$3:S$332,MATCH($H17,'[17]Date Master'!R$3:R$332,0),2),0)</f>
        <v>1</v>
      </c>
      <c r="U17" s="93">
        <f t="shared" si="6"/>
        <v>1</v>
      </c>
      <c r="V17" s="93" t="str">
        <f t="shared" si="7"/>
        <v>IMCANADAG1</v>
      </c>
      <c r="W17" s="93" t="str">
        <f ca="1">IF(ISNA(V17),"-",INDEX([17]Portfolios!A$3:H$827,MATCH(D17,[17]Portfolios!B$3:B$827,0),7)&amp;H17)</f>
        <v>IMCANADA36678</v>
      </c>
      <c r="X17" s="93" t="str">
        <f t="shared" si="8"/>
        <v>IMCANADAM36678</v>
      </c>
      <c r="Y17" s="93" t="str">
        <f t="shared" si="9"/>
        <v>IMCANADAG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si="0"/>
        <v>INTRA-CAND-WEST-PHYAECO-CDN/IM</v>
      </c>
    </row>
    <row r="18" spans="1:36" x14ac:dyDescent="0.2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90880</v>
      </c>
      <c r="J18" s="82">
        <f t="shared" si="1"/>
        <v>0</v>
      </c>
      <c r="K18" s="82" t="e">
        <f t="shared" si="2"/>
        <v>#N/A</v>
      </c>
      <c r="L18" s="82" t="str">
        <f t="shared" si="3"/>
        <v>GDP-NTHWST/CANB36678</v>
      </c>
      <c r="M18" s="82">
        <f t="shared" si="4"/>
        <v>9.0879999999999992</v>
      </c>
      <c r="N18" s="82">
        <f t="shared" si="5"/>
        <v>0</v>
      </c>
      <c r="O18" s="93" t="str">
        <f t="shared" si="10"/>
        <v>G</v>
      </c>
      <c r="P18" s="93" t="str">
        <f ca="1">INDEX([17]Portfolios!A$3:G$929,MATCH(D18,[17]Portfolios!B$3:B$929,0),7)</f>
        <v>IMCANADA</v>
      </c>
      <c r="Q18" s="93">
        <f ca="1">IF($O18="P",INDEX('[17]Date Master'!I$3:J$332,MATCH($H18,'[17]Date Master'!I$3:I$332,0),2),0)</f>
        <v>0</v>
      </c>
      <c r="R18" s="93">
        <f ca="1">IF($O18="D",INDEX('[17]Date Master'!O$3:P$332,MATCH($H18,'[17]Date Master'!O$3:O$332,0),2),0)</f>
        <v>0</v>
      </c>
      <c r="S18" s="93">
        <f ca="1">IF($O18="PHY",INDEX('[17]Date Master'!R$3:S$332,MATCH($H18,'[17]Date Master'!R$3:R$332,0),2),0)</f>
        <v>0</v>
      </c>
      <c r="T18" s="93">
        <f ca="1">IF($O18="G",INDEX('[17]Date Master'!R$3:S$332,MATCH($H18,'[17]Date Master'!R$3:R$332,0),2),0)</f>
        <v>1</v>
      </c>
      <c r="U18" s="93">
        <f t="shared" si="6"/>
        <v>1</v>
      </c>
      <c r="V18" s="93" t="str">
        <f t="shared" si="7"/>
        <v>IMCANADAG1</v>
      </c>
      <c r="W18" s="93" t="str">
        <f ca="1">IF(ISNA(V18),"-",INDEX([17]Portfolios!A$3:H$827,MATCH(D18,[17]Portfolios!B$3:B$827,0),7)&amp;H18)</f>
        <v>IMCANADA36678</v>
      </c>
      <c r="X18" s="93" t="str">
        <f t="shared" si="8"/>
        <v>IMCANADAM36678</v>
      </c>
      <c r="Y18" s="93" t="str">
        <f t="shared" si="9"/>
        <v>IMCANADAG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si="0"/>
        <v>INTRA-CAND-WEST-PHYAECO-US/IM</v>
      </c>
      <c r="AI18" s="87"/>
    </row>
    <row r="19" spans="1:36" x14ac:dyDescent="0.2">
      <c r="A19" s="86">
        <v>36696</v>
      </c>
      <c r="B19" s="87" t="s">
        <v>82</v>
      </c>
      <c r="C19" s="87" t="s">
        <v>83</v>
      </c>
      <c r="D19" s="87" t="s">
        <v>123</v>
      </c>
      <c r="E19" s="87" t="s">
        <v>51</v>
      </c>
      <c r="F19" s="87" t="s">
        <v>21</v>
      </c>
      <c r="G19" s="87" t="s">
        <v>124</v>
      </c>
      <c r="H19" s="86">
        <v>36678</v>
      </c>
      <c r="I19" s="87">
        <v>-56496</v>
      </c>
      <c r="J19" s="82">
        <f t="shared" si="1"/>
        <v>0</v>
      </c>
      <c r="K19" s="82" t="e">
        <f t="shared" si="2"/>
        <v>#N/A</v>
      </c>
      <c r="L19" s="82" t="str">
        <f t="shared" si="3"/>
        <v>GD-ST. 2 (C$)36678</v>
      </c>
      <c r="M19" s="82">
        <f t="shared" si="4"/>
        <v>-5.6496000000000004</v>
      </c>
      <c r="N19" s="82">
        <f t="shared" si="5"/>
        <v>0</v>
      </c>
      <c r="O19" s="93" t="str">
        <f t="shared" si="10"/>
        <v>PHY</v>
      </c>
      <c r="P19" s="93" t="str">
        <f ca="1">INDEX([17]Portfolios!A$3:G$929,MATCH(D19,[17]Portfolios!B$3:B$929,0),7)</f>
        <v>IMCANADA</v>
      </c>
      <c r="Q19" s="93">
        <f ca="1">IF($O19="P",INDEX('[17]Date Master'!I$3:J$332,MATCH($H19,'[17]Date Master'!I$3:I$332,0),2),0)</f>
        <v>0</v>
      </c>
      <c r="R19" s="93">
        <f ca="1">IF($O19="D",INDEX('[17]Date Master'!O$3:P$332,MATCH($H19,'[17]Date Master'!O$3:O$332,0),2),0)</f>
        <v>0</v>
      </c>
      <c r="S19" s="93">
        <f ca="1">IF($O19="PHY",INDEX('[17]Date Master'!R$3:S$332,MATCH($H19,'[17]Date Master'!R$3:R$332,0),2),0)</f>
        <v>1</v>
      </c>
      <c r="T19" s="93">
        <f ca="1">IF($O19="G",INDEX('[17]Date Master'!R$3:S$332,MATCH($H19,'[17]Date Master'!R$3:R$332,0),2),0)</f>
        <v>0</v>
      </c>
      <c r="U19" s="93">
        <f t="shared" si="6"/>
        <v>1</v>
      </c>
      <c r="V19" s="93" t="str">
        <f t="shared" si="7"/>
        <v>IMCANADAPHY1</v>
      </c>
      <c r="W19" s="93" t="str">
        <f ca="1">IF(ISNA(V19),"-",INDEX([17]Portfolios!A$3:H$827,MATCH(D19,[17]Portfolios!B$3:B$827,0),7)&amp;H19)</f>
        <v>IMCANADA36678</v>
      </c>
      <c r="X19" s="93" t="str">
        <f t="shared" si="8"/>
        <v>IMCANADAM36678</v>
      </c>
      <c r="Y19" s="93" t="str">
        <f t="shared" si="9"/>
        <v>IMCANADAPHY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si="0"/>
        <v>INTRA-CAND-WEST-PHYEMPRESS-CDN/IM</v>
      </c>
      <c r="AI19" s="87"/>
    </row>
    <row r="20" spans="1:36" x14ac:dyDescent="0.2">
      <c r="A20" s="86">
        <v>36696</v>
      </c>
      <c r="B20" s="87" t="s">
        <v>82</v>
      </c>
      <c r="C20" s="87" t="s">
        <v>83</v>
      </c>
      <c r="D20" s="87" t="s">
        <v>123</v>
      </c>
      <c r="E20" s="87" t="s">
        <v>51</v>
      </c>
      <c r="F20" s="87" t="s">
        <v>21</v>
      </c>
      <c r="G20" s="87" t="s">
        <v>125</v>
      </c>
      <c r="H20" s="86">
        <v>36678</v>
      </c>
      <c r="I20" s="87">
        <v>-427271</v>
      </c>
      <c r="J20" s="82">
        <f t="shared" si="1"/>
        <v>0</v>
      </c>
      <c r="K20" s="82" t="e">
        <f t="shared" si="2"/>
        <v>#N/A</v>
      </c>
      <c r="L20" s="82" t="str">
        <f t="shared" si="3"/>
        <v>STN2-CDN/IM36678</v>
      </c>
      <c r="M20" s="82">
        <f t="shared" si="4"/>
        <v>-42.7271</v>
      </c>
      <c r="N20" s="82">
        <f t="shared" si="5"/>
        <v>0</v>
      </c>
      <c r="O20" s="93" t="str">
        <f t="shared" si="10"/>
        <v>PHY</v>
      </c>
      <c r="P20" s="93" t="str">
        <f ca="1">INDEX([17]Portfolios!A$3:G$929,MATCH(D20,[17]Portfolios!B$3:B$929,0),7)</f>
        <v>IMCANADA</v>
      </c>
      <c r="Q20" s="93">
        <f ca="1">IF($O20="P",INDEX('[17]Date Master'!I$3:J$332,MATCH($H20,'[17]Date Master'!I$3:I$332,0),2),0)</f>
        <v>0</v>
      </c>
      <c r="R20" s="93">
        <f ca="1">IF($O20="D",INDEX('[17]Date Master'!O$3:P$332,MATCH($H20,'[17]Date Master'!O$3:O$332,0),2),0)</f>
        <v>0</v>
      </c>
      <c r="S20" s="93">
        <f ca="1">IF($O20="PHY",INDEX('[17]Date Master'!R$3:S$332,MATCH($H20,'[17]Date Master'!R$3:R$332,0),2),0)</f>
        <v>1</v>
      </c>
      <c r="T20" s="93">
        <f ca="1">IF($O20="G",INDEX('[17]Date Master'!R$3:S$332,MATCH($H20,'[17]Date Master'!R$3:R$332,0),2),0)</f>
        <v>0</v>
      </c>
      <c r="U20" s="93">
        <f t="shared" si="6"/>
        <v>1</v>
      </c>
      <c r="V20" s="93" t="str">
        <f t="shared" si="7"/>
        <v>IMCANADAPHY1</v>
      </c>
      <c r="W20" s="93" t="str">
        <f ca="1">IF(ISNA(V20),"-",INDEX([17]Portfolios!A$3:H$827,MATCH(D20,[17]Portfolios!B$3:B$827,0),7)&amp;H20)</f>
        <v>IMCANADA36678</v>
      </c>
      <c r="X20" s="93" t="str">
        <f t="shared" si="8"/>
        <v>IMCANADAM36678</v>
      </c>
      <c r="Y20" s="93" t="str">
        <f t="shared" si="9"/>
        <v>IMCANADAPHY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si="0"/>
        <v>INTRA-CAND-WEST-PHYEMPRESS-US/IM</v>
      </c>
    </row>
    <row r="21" spans="1:36" x14ac:dyDescent="0.2">
      <c r="A21" s="86">
        <v>36696</v>
      </c>
      <c r="B21" s="87" t="s">
        <v>82</v>
      </c>
      <c r="C21" s="87" t="s">
        <v>83</v>
      </c>
      <c r="D21" s="87" t="s">
        <v>123</v>
      </c>
      <c r="E21" s="87" t="s">
        <v>51</v>
      </c>
      <c r="F21" s="87" t="s">
        <v>21</v>
      </c>
      <c r="G21" s="87" t="s">
        <v>125</v>
      </c>
      <c r="H21" s="86">
        <v>36708</v>
      </c>
      <c r="I21" s="87">
        <v>-1322729</v>
      </c>
      <c r="J21" s="82">
        <f t="shared" si="1"/>
        <v>0</v>
      </c>
      <c r="K21" s="82" t="e">
        <f t="shared" si="2"/>
        <v>#N/A</v>
      </c>
      <c r="L21" s="82" t="str">
        <f t="shared" si="3"/>
        <v>STN2-CDN/IM36708</v>
      </c>
      <c r="M21" s="82">
        <f t="shared" si="4"/>
        <v>-132.27289999999999</v>
      </c>
      <c r="N21" s="82">
        <f t="shared" si="5"/>
        <v>0</v>
      </c>
      <c r="O21" s="93" t="str">
        <f t="shared" si="10"/>
        <v>PHY</v>
      </c>
      <c r="P21" s="93" t="str">
        <f ca="1">INDEX([17]Portfolios!A$3:G$929,MATCH(D21,[17]Portfolios!B$3:B$929,0),7)</f>
        <v>IMCANADA</v>
      </c>
      <c r="Q21" s="93">
        <f ca="1">IF($O21="P",INDEX('[17]Date Master'!I$3:J$332,MATCH($H21,'[17]Date Master'!I$3:I$332,0),2),0)</f>
        <v>0</v>
      </c>
      <c r="R21" s="93">
        <f ca="1">IF($O21="D",INDEX('[17]Date Master'!O$3:P$332,MATCH($H21,'[17]Date Master'!O$3:O$332,0),2),0)</f>
        <v>0</v>
      </c>
      <c r="S21" s="93">
        <f ca="1">IF($O21="PHY",INDEX('[17]Date Master'!R$3:S$332,MATCH($H21,'[17]Date Master'!R$3:R$332,0),2),0)</f>
        <v>3</v>
      </c>
      <c r="T21" s="93">
        <f ca="1">IF($O21="G",INDEX('[17]Date Master'!R$3:S$332,MATCH($H21,'[17]Date Master'!R$3:R$332,0),2),0)</f>
        <v>0</v>
      </c>
      <c r="U21" s="93">
        <f t="shared" si="6"/>
        <v>3</v>
      </c>
      <c r="V21" s="93" t="str">
        <f t="shared" si="7"/>
        <v>IMCANADAPHY3</v>
      </c>
      <c r="W21" s="93" t="str">
        <f ca="1">IF(ISNA(V21),"-",INDEX([17]Portfolios!A$3:H$827,MATCH(D21,[17]Portfolios!B$3:B$827,0),7)&amp;H21)</f>
        <v>IMCANADA36708</v>
      </c>
      <c r="X21" s="93" t="str">
        <f t="shared" si="8"/>
        <v>IMCANADAM36708</v>
      </c>
      <c r="Y21" s="93" t="str">
        <f t="shared" si="9"/>
        <v>IMCANADAPHY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si="0"/>
        <v>INTRA-CAND-WEST-PHYGD-AECOUS-DAILY</v>
      </c>
    </row>
    <row r="22" spans="1:36" x14ac:dyDescent="0.2">
      <c r="A22" s="86">
        <v>36696</v>
      </c>
      <c r="B22" s="87" t="s">
        <v>82</v>
      </c>
      <c r="C22" s="87" t="s">
        <v>83</v>
      </c>
      <c r="D22" s="87" t="s">
        <v>123</v>
      </c>
      <c r="E22" s="87" t="s">
        <v>51</v>
      </c>
      <c r="F22" s="87" t="s">
        <v>21</v>
      </c>
      <c r="G22" s="87" t="s">
        <v>126</v>
      </c>
      <c r="H22" s="86">
        <v>36678</v>
      </c>
      <c r="I22" s="87">
        <v>225920</v>
      </c>
      <c r="J22" s="82">
        <f t="shared" si="1"/>
        <v>0</v>
      </c>
      <c r="K22" s="82" t="e">
        <f t="shared" si="2"/>
        <v>#N/A</v>
      </c>
      <c r="L22" s="82" t="str">
        <f t="shared" si="3"/>
        <v>STN2-US/IM36678</v>
      </c>
      <c r="M22" s="82">
        <f t="shared" si="4"/>
        <v>22.591999999999999</v>
      </c>
      <c r="N22" s="82">
        <f t="shared" si="5"/>
        <v>0</v>
      </c>
      <c r="O22" s="93" t="str">
        <f t="shared" si="10"/>
        <v>PHY</v>
      </c>
      <c r="P22" s="93" t="str">
        <f ca="1">INDEX([17]Portfolios!A$3:G$929,MATCH(D22,[17]Portfolios!B$3:B$929,0),7)</f>
        <v>IMCANADA</v>
      </c>
      <c r="Q22" s="93">
        <f ca="1">IF($O22="P",INDEX('[17]Date Master'!I$3:J$332,MATCH($H22,'[17]Date Master'!I$3:I$332,0),2),0)</f>
        <v>0</v>
      </c>
      <c r="R22" s="93">
        <f ca="1">IF($O22="D",INDEX('[17]Date Master'!O$3:P$332,MATCH($H22,'[17]Date Master'!O$3:O$332,0),2),0)</f>
        <v>0</v>
      </c>
      <c r="S22" s="93">
        <f ca="1">IF($O22="PHY",INDEX('[17]Date Master'!R$3:S$332,MATCH($H22,'[17]Date Master'!R$3:R$332,0),2),0)</f>
        <v>1</v>
      </c>
      <c r="T22" s="93">
        <f ca="1">IF($O22="G",INDEX('[17]Date Master'!R$3:S$332,MATCH($H22,'[17]Date Master'!R$3:R$332,0),2),0)</f>
        <v>0</v>
      </c>
      <c r="U22" s="93">
        <f t="shared" si="6"/>
        <v>1</v>
      </c>
      <c r="V22" s="93" t="str">
        <f t="shared" si="7"/>
        <v>IMCANADAPHY1</v>
      </c>
      <c r="W22" s="93" t="str">
        <f ca="1">IF(ISNA(V22),"-",INDEX([17]Portfolios!A$3:H$827,MATCH(D22,[17]Portfolios!B$3:B$827,0),7)&amp;H22)</f>
        <v>IMCANADA36678</v>
      </c>
      <c r="X22" s="93" t="str">
        <f t="shared" si="8"/>
        <v>IMCANADAM36678</v>
      </c>
      <c r="Y22" s="93" t="str">
        <f t="shared" si="9"/>
        <v>IMCANADAPHY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si="0"/>
        <v>INTRA-CAND-WEST-PHYGD-CGPR-AECO/AV</v>
      </c>
    </row>
    <row r="23" spans="1:36" x14ac:dyDescent="0.2">
      <c r="A23" s="86">
        <v>36696</v>
      </c>
      <c r="B23" s="87" t="s">
        <v>82</v>
      </c>
      <c r="C23" s="87" t="s">
        <v>83</v>
      </c>
      <c r="D23" s="87" t="s">
        <v>123</v>
      </c>
      <c r="E23" s="87" t="s">
        <v>51</v>
      </c>
      <c r="F23" s="87" t="s">
        <v>21</v>
      </c>
      <c r="G23" s="87" t="s">
        <v>126</v>
      </c>
      <c r="H23" s="86">
        <v>36708</v>
      </c>
      <c r="I23" s="87">
        <v>696326</v>
      </c>
      <c r="J23" s="82">
        <f t="shared" si="1"/>
        <v>0</v>
      </c>
      <c r="K23" s="82" t="e">
        <f t="shared" si="2"/>
        <v>#N/A</v>
      </c>
      <c r="L23" s="82" t="str">
        <f t="shared" si="3"/>
        <v>STN2-US/IM36708</v>
      </c>
      <c r="M23" s="82">
        <f t="shared" si="4"/>
        <v>69.632599999999996</v>
      </c>
      <c r="N23" s="82">
        <f t="shared" si="5"/>
        <v>0</v>
      </c>
      <c r="O23" s="93" t="str">
        <f t="shared" si="10"/>
        <v>PHY</v>
      </c>
      <c r="P23" s="93" t="str">
        <f ca="1">INDEX([17]Portfolios!A$3:G$929,MATCH(D23,[17]Portfolios!B$3:B$929,0),7)</f>
        <v>IMCANADA</v>
      </c>
      <c r="Q23" s="93">
        <f ca="1">IF($O23="P",INDEX('[17]Date Master'!I$3:J$332,MATCH($H23,'[17]Date Master'!I$3:I$332,0),2),0)</f>
        <v>0</v>
      </c>
      <c r="R23" s="93">
        <f ca="1">IF($O23="D",INDEX('[17]Date Master'!O$3:P$332,MATCH($H23,'[17]Date Master'!O$3:O$332,0),2),0)</f>
        <v>0</v>
      </c>
      <c r="S23" s="93">
        <f ca="1">IF($O23="PHY",INDEX('[17]Date Master'!R$3:S$332,MATCH($H23,'[17]Date Master'!R$3:R$332,0),2),0)</f>
        <v>3</v>
      </c>
      <c r="T23" s="93">
        <f ca="1">IF($O23="G",INDEX('[17]Date Master'!R$3:S$332,MATCH($H23,'[17]Date Master'!R$3:R$332,0),2),0)</f>
        <v>0</v>
      </c>
      <c r="U23" s="93">
        <f t="shared" si="6"/>
        <v>3</v>
      </c>
      <c r="V23" s="93" t="str">
        <f t="shared" si="7"/>
        <v>IMCANADAPHY3</v>
      </c>
      <c r="W23" s="93" t="str">
        <f ca="1">IF(ISNA(V23),"-",INDEX([17]Portfolios!A$3:H$827,MATCH(D23,[17]Portfolios!B$3:B$827,0),7)&amp;H23)</f>
        <v>IMCANADA36708</v>
      </c>
      <c r="X23" s="93" t="str">
        <f t="shared" si="8"/>
        <v>IMCANADAM36708</v>
      </c>
      <c r="Y23" s="93" t="str">
        <f t="shared" si="9"/>
        <v>IMCANADAPHY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">
      <c r="A24" s="86">
        <v>36696</v>
      </c>
      <c r="B24" s="87" t="s">
        <v>82</v>
      </c>
      <c r="C24" s="87" t="s">
        <v>83</v>
      </c>
      <c r="D24" s="87" t="s">
        <v>123</v>
      </c>
      <c r="E24" s="87" t="s">
        <v>51</v>
      </c>
      <c r="F24" s="87" t="s">
        <v>21</v>
      </c>
      <c r="G24" s="87" t="s">
        <v>127</v>
      </c>
      <c r="H24" s="86">
        <v>36678</v>
      </c>
      <c r="I24" s="87">
        <v>97981</v>
      </c>
      <c r="J24" s="82">
        <f t="shared" si="1"/>
        <v>0</v>
      </c>
      <c r="K24" s="82" t="e">
        <f t="shared" si="2"/>
        <v>#N/A</v>
      </c>
      <c r="L24" s="82" t="str">
        <f t="shared" si="3"/>
        <v>SUMAS-CDN/IM36678</v>
      </c>
      <c r="M24" s="82">
        <f t="shared" si="4"/>
        <v>9.7980999999999998</v>
      </c>
      <c r="N24" s="82">
        <f t="shared" si="5"/>
        <v>0</v>
      </c>
      <c r="O24" s="93" t="str">
        <f t="shared" si="10"/>
        <v>PHY</v>
      </c>
      <c r="P24" s="93" t="str">
        <f ca="1">INDEX([17]Portfolios!A$3:G$929,MATCH(D24,[17]Portfolios!B$3:B$929,0),7)</f>
        <v>IMCANADA</v>
      </c>
      <c r="Q24" s="93">
        <f ca="1">IF($O24="P",INDEX('[17]Date Master'!I$3:J$332,MATCH($H24,'[17]Date Master'!I$3:I$332,0),2),0)</f>
        <v>0</v>
      </c>
      <c r="R24" s="93">
        <f ca="1">IF($O24="D",INDEX('[17]Date Master'!O$3:P$332,MATCH($H24,'[17]Date Master'!O$3:O$332,0),2),0)</f>
        <v>0</v>
      </c>
      <c r="S24" s="93">
        <f ca="1">IF($O24="PHY",INDEX('[17]Date Master'!R$3:S$332,MATCH($H24,'[17]Date Master'!R$3:R$332,0),2),0)</f>
        <v>1</v>
      </c>
      <c r="T24" s="93">
        <f ca="1">IF($O24="G",INDEX('[17]Date Master'!R$3:S$332,MATCH($H24,'[17]Date Master'!R$3:R$332,0),2),0)</f>
        <v>0</v>
      </c>
      <c r="U24" s="93">
        <f t="shared" si="6"/>
        <v>1</v>
      </c>
      <c r="V24" s="93" t="str">
        <f t="shared" si="7"/>
        <v>IMCANADAPHY1</v>
      </c>
      <c r="W24" s="93" t="str">
        <f ca="1">IF(ISNA(V24),"-",INDEX([17]Portfolios!A$3:H$827,MATCH(D24,[17]Portfolios!B$3:B$827,0),7)&amp;H24)</f>
        <v>IMCANADA36678</v>
      </c>
      <c r="X24" s="93" t="str">
        <f t="shared" si="8"/>
        <v>IMCANADAM36678</v>
      </c>
      <c r="Y24" s="93" t="str">
        <f t="shared" si="9"/>
        <v>IMCANADAPHY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">
      <c r="A25" s="86">
        <v>36696</v>
      </c>
      <c r="B25" s="87" t="s">
        <v>82</v>
      </c>
      <c r="C25" s="87" t="s">
        <v>83</v>
      </c>
      <c r="D25" s="87" t="s">
        <v>123</v>
      </c>
      <c r="E25" s="87" t="s">
        <v>51</v>
      </c>
      <c r="F25" s="87" t="s">
        <v>21</v>
      </c>
      <c r="G25" s="87" t="s">
        <v>127</v>
      </c>
      <c r="H25" s="86">
        <v>36708</v>
      </c>
      <c r="I25" s="87">
        <v>301995</v>
      </c>
      <c r="J25" s="82">
        <f t="shared" si="1"/>
        <v>0</v>
      </c>
      <c r="K25" s="82" t="e">
        <f t="shared" si="2"/>
        <v>#N/A</v>
      </c>
      <c r="L25" s="82" t="str">
        <f t="shared" si="3"/>
        <v>SUMAS-CDN/IM36708</v>
      </c>
      <c r="M25" s="82">
        <f t="shared" si="4"/>
        <v>30.1995</v>
      </c>
      <c r="N25" s="82">
        <f t="shared" si="5"/>
        <v>0</v>
      </c>
      <c r="O25" s="93" t="str">
        <f t="shared" si="10"/>
        <v>PHY</v>
      </c>
      <c r="P25" s="93" t="str">
        <f ca="1">INDEX([17]Portfolios!A$3:G$929,MATCH(D25,[17]Portfolios!B$3:B$929,0),7)</f>
        <v>IMCANADA</v>
      </c>
      <c r="Q25" s="93">
        <f ca="1">IF($O25="P",INDEX('[17]Date Master'!I$3:J$332,MATCH($H25,'[17]Date Master'!I$3:I$332,0),2),0)</f>
        <v>0</v>
      </c>
      <c r="R25" s="93">
        <f ca="1">IF($O25="D",INDEX('[17]Date Master'!O$3:P$332,MATCH($H25,'[17]Date Master'!O$3:O$332,0),2),0)</f>
        <v>0</v>
      </c>
      <c r="S25" s="93">
        <f ca="1">IF($O25="PHY",INDEX('[17]Date Master'!R$3:S$332,MATCH($H25,'[17]Date Master'!R$3:R$332,0),2),0)</f>
        <v>3</v>
      </c>
      <c r="T25" s="93">
        <f ca="1">IF($O25="G",INDEX('[17]Date Master'!R$3:S$332,MATCH($H25,'[17]Date Master'!R$3:R$332,0),2),0)</f>
        <v>0</v>
      </c>
      <c r="U25" s="93">
        <f t="shared" si="6"/>
        <v>3</v>
      </c>
      <c r="V25" s="93" t="str">
        <f t="shared" si="7"/>
        <v>IMCANADAPHY3</v>
      </c>
      <c r="W25" s="93" t="str">
        <f ca="1">IF(ISNA(V25),"-",INDEX([17]Portfolios!A$3:H$827,MATCH(D25,[17]Portfolios!B$3:B$827,0),7)&amp;H25)</f>
        <v>IMCANADA36708</v>
      </c>
      <c r="X25" s="93" t="str">
        <f t="shared" si="8"/>
        <v>IMCANADAM36708</v>
      </c>
      <c r="Y25" s="93" t="str">
        <f t="shared" si="9"/>
        <v>IMCANADAPHY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">
      <c r="A26" s="86">
        <v>36696</v>
      </c>
      <c r="B26" s="87" t="s">
        <v>82</v>
      </c>
      <c r="C26" s="87" t="s">
        <v>83</v>
      </c>
      <c r="D26" s="87" t="s">
        <v>123</v>
      </c>
      <c r="E26" s="87" t="s">
        <v>51</v>
      </c>
      <c r="F26" s="87" t="s">
        <v>21</v>
      </c>
      <c r="G26" s="87" t="s">
        <v>128</v>
      </c>
      <c r="H26" s="86">
        <v>36678</v>
      </c>
      <c r="I26" s="87">
        <v>-189187</v>
      </c>
      <c r="J26" s="82">
        <f t="shared" si="1"/>
        <v>0</v>
      </c>
      <c r="K26" s="82" t="e">
        <f t="shared" si="2"/>
        <v>#N/A</v>
      </c>
      <c r="L26" s="82" t="str">
        <f t="shared" si="3"/>
        <v>SUMAS-US/IM36678</v>
      </c>
      <c r="M26" s="82">
        <f t="shared" si="4"/>
        <v>-18.918700000000001</v>
      </c>
      <c r="N26" s="82">
        <f t="shared" si="5"/>
        <v>0</v>
      </c>
      <c r="O26" s="93" t="str">
        <f t="shared" si="10"/>
        <v>PHY</v>
      </c>
      <c r="P26" s="93" t="str">
        <f ca="1">INDEX([17]Portfolios!A$3:G$929,MATCH(D26,[17]Portfolios!B$3:B$929,0),7)</f>
        <v>IMCANADA</v>
      </c>
      <c r="Q26" s="93">
        <f ca="1">IF($O26="P",INDEX('[17]Date Master'!I$3:J$332,MATCH($H26,'[17]Date Master'!I$3:I$332,0),2),0)</f>
        <v>0</v>
      </c>
      <c r="R26" s="93">
        <f ca="1">IF($O26="D",INDEX('[17]Date Master'!O$3:P$332,MATCH($H26,'[17]Date Master'!O$3:O$332,0),2),0)</f>
        <v>0</v>
      </c>
      <c r="S26" s="93">
        <f ca="1">IF($O26="PHY",INDEX('[17]Date Master'!R$3:S$332,MATCH($H26,'[17]Date Master'!R$3:R$332,0),2),0)</f>
        <v>1</v>
      </c>
      <c r="T26" s="93">
        <f ca="1">IF($O26="G",INDEX('[17]Date Master'!R$3:S$332,MATCH($H26,'[17]Date Master'!R$3:R$332,0),2),0)</f>
        <v>0</v>
      </c>
      <c r="U26" s="93">
        <f t="shared" si="6"/>
        <v>1</v>
      </c>
      <c r="V26" s="93" t="str">
        <f t="shared" si="7"/>
        <v>IMCANADAPHY1</v>
      </c>
      <c r="W26" s="93" t="str">
        <f ca="1">IF(ISNA(V26),"-",INDEX([17]Portfolios!A$3:H$827,MATCH(D26,[17]Portfolios!B$3:B$827,0),7)&amp;H26)</f>
        <v>IMCANADA36678</v>
      </c>
      <c r="X26" s="93" t="str">
        <f t="shared" si="8"/>
        <v>IMCANADAM36678</v>
      </c>
      <c r="Y26" s="93" t="str">
        <f t="shared" si="9"/>
        <v>IMCANADAPHY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">
      <c r="A27" s="86">
        <v>36696</v>
      </c>
      <c r="B27" s="87" t="s">
        <v>82</v>
      </c>
      <c r="C27" s="87" t="s">
        <v>83</v>
      </c>
      <c r="D27" s="87" t="s">
        <v>123</v>
      </c>
      <c r="E27" s="87" t="s">
        <v>51</v>
      </c>
      <c r="F27" s="87" t="s">
        <v>21</v>
      </c>
      <c r="G27" s="87" t="s">
        <v>128</v>
      </c>
      <c r="H27" s="86">
        <v>36708</v>
      </c>
      <c r="I27" s="87">
        <v>-772582</v>
      </c>
      <c r="J27" s="82">
        <f t="shared" si="1"/>
        <v>0</v>
      </c>
      <c r="K27" s="82" t="e">
        <f t="shared" si="2"/>
        <v>#N/A</v>
      </c>
      <c r="L27" s="82" t="str">
        <f t="shared" si="3"/>
        <v>SUMAS-US/IM36708</v>
      </c>
      <c r="M27" s="82">
        <f t="shared" si="4"/>
        <v>-77.258200000000002</v>
      </c>
      <c r="N27" s="82">
        <f t="shared" si="5"/>
        <v>0</v>
      </c>
      <c r="O27" s="93" t="str">
        <f t="shared" si="10"/>
        <v>PHY</v>
      </c>
      <c r="P27" s="93" t="str">
        <f ca="1">INDEX([17]Portfolios!A$3:G$929,MATCH(D27,[17]Portfolios!B$3:B$929,0),7)</f>
        <v>IMCANADA</v>
      </c>
      <c r="Q27" s="93">
        <f ca="1">IF($O27="P",INDEX('[17]Date Master'!I$3:J$332,MATCH($H27,'[17]Date Master'!I$3:I$332,0),2),0)</f>
        <v>0</v>
      </c>
      <c r="R27" s="93">
        <f ca="1">IF($O27="D",INDEX('[17]Date Master'!O$3:P$332,MATCH($H27,'[17]Date Master'!O$3:O$332,0),2),0)</f>
        <v>0</v>
      </c>
      <c r="S27" s="93">
        <f ca="1">IF($O27="PHY",INDEX('[17]Date Master'!R$3:S$332,MATCH($H27,'[17]Date Master'!R$3:R$332,0),2),0)</f>
        <v>3</v>
      </c>
      <c r="T27" s="93">
        <f ca="1">IF($O27="G",INDEX('[17]Date Master'!R$3:S$332,MATCH($H27,'[17]Date Master'!R$3:R$332,0),2),0)</f>
        <v>0</v>
      </c>
      <c r="U27" s="93">
        <f t="shared" si="6"/>
        <v>3</v>
      </c>
      <c r="V27" s="93" t="str">
        <f t="shared" si="7"/>
        <v>IMCANADAPHY3</v>
      </c>
      <c r="W27" s="93" t="str">
        <f ca="1">IF(ISNA(V27),"-",INDEX([17]Portfolios!A$3:H$827,MATCH(D27,[17]Portfolios!B$3:B$827,0),7)&amp;H27)</f>
        <v>IMCANADA36708</v>
      </c>
      <c r="X27" s="93" t="str">
        <f t="shared" si="8"/>
        <v>IMCANADAM36708</v>
      </c>
      <c r="Y27" s="93" t="str">
        <f t="shared" si="9"/>
        <v>IMCANADAPHY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122</v>
      </c>
      <c r="H28" s="86">
        <v>36678</v>
      </c>
      <c r="I28" s="87">
        <v>1054170</v>
      </c>
      <c r="J28" s="82">
        <f t="shared" si="1"/>
        <v>0</v>
      </c>
      <c r="K28" s="82" t="e">
        <f t="shared" si="2"/>
        <v>#N/A</v>
      </c>
      <c r="L28" s="82" t="str">
        <f t="shared" si="3"/>
        <v>IF-NTHWST/CANB36678</v>
      </c>
      <c r="M28" s="82">
        <f t="shared" si="4"/>
        <v>105.417</v>
      </c>
      <c r="N28" s="82">
        <f t="shared" si="5"/>
        <v>0</v>
      </c>
      <c r="O28" s="93" t="str">
        <f t="shared" si="10"/>
        <v>P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#N/A</v>
      </c>
      <c r="R28" s="93">
        <f ca="1">IF($O28="D",INDEX('[17]Date Master'!O$3:P$332,MATCH($H28,'[17]Date Master'!O$3:O$332,0),2),0)</f>
        <v>0</v>
      </c>
      <c r="S28" s="93">
        <f ca="1">IF($O28="PHY",INDEX('[17]Date Master'!R$3:S$332,MATCH($H28,'[17]Date Master'!R$3:R$332,0),2),0)</f>
        <v>0</v>
      </c>
      <c r="T28" s="93">
        <f ca="1">IF($O28="G",INDEX('[17]Date Master'!R$3:S$332,MATCH($H28,'[17]Date Master'!R$3:R$332,0),2),0)</f>
        <v>0</v>
      </c>
      <c r="U28" s="93" t="e">
        <f t="shared" si="6"/>
        <v>#N/A</v>
      </c>
      <c r="V28" s="93" t="e">
        <f t="shared" si="7"/>
        <v>#N/A</v>
      </c>
      <c r="W28" s="93" t="str">
        <f ca="1">IF(ISNA(V28),"-",INDEX([17]Portfolios!A$3:H$827,MATCH(D28,[17]Portfolios!B$3:B$827,0),7)&amp;H28)</f>
        <v>-</v>
      </c>
      <c r="X28" s="93" t="str">
        <f t="shared" si="8"/>
        <v>-</v>
      </c>
      <c r="Y28" s="93" t="str">
        <f t="shared" si="9"/>
        <v>IMCANADAP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122</v>
      </c>
      <c r="H29" s="86">
        <v>36708</v>
      </c>
      <c r="I29" s="87">
        <v>1091108</v>
      </c>
      <c r="J29" s="82">
        <f t="shared" si="1"/>
        <v>0</v>
      </c>
      <c r="K29" s="82" t="e">
        <f t="shared" si="2"/>
        <v>#N/A</v>
      </c>
      <c r="L29" s="82" t="str">
        <f t="shared" si="3"/>
        <v>IF-NTHWST/CANB36708</v>
      </c>
      <c r="M29" s="82">
        <f t="shared" si="4"/>
        <v>109.1108</v>
      </c>
      <c r="N29" s="82">
        <f t="shared" si="5"/>
        <v>0</v>
      </c>
      <c r="O29" s="93" t="str">
        <f t="shared" si="10"/>
        <v>P</v>
      </c>
      <c r="P29" s="93" t="str">
        <f ca="1">INDEX([17]Portfolios!A$3:G$929,MATCH(D29,[17]Portfolios!B$3:B$929,0),7)</f>
        <v>IMCANADA</v>
      </c>
      <c r="Q29" s="93">
        <f ca="1">IF($O29="P",INDEX('[17]Date Master'!I$3:J$332,MATCH($H29,'[17]Date Master'!I$3:I$332,0),2),0)</f>
        <v>3</v>
      </c>
      <c r="R29" s="93">
        <f ca="1">IF($O29="D",INDEX('[17]Date Master'!O$3:P$332,MATCH($H29,'[17]Date Master'!O$3:O$332,0),2),0)</f>
        <v>0</v>
      </c>
      <c r="S29" s="93">
        <f ca="1">IF($O29="PHY",INDEX('[17]Date Master'!R$3:S$332,MATCH($H29,'[17]Date Master'!R$3:R$332,0),2),0)</f>
        <v>0</v>
      </c>
      <c r="T29" s="93">
        <f ca="1">IF($O29="G",INDEX('[17]Date Master'!R$3:S$332,MATCH($H29,'[17]Date Master'!R$3:R$332,0),2),0)</f>
        <v>0</v>
      </c>
      <c r="U29" s="93">
        <f t="shared" si="6"/>
        <v>3</v>
      </c>
      <c r="V29" s="93" t="str">
        <f t="shared" si="7"/>
        <v>IMCANADAP3</v>
      </c>
      <c r="W29" s="93" t="str">
        <f ca="1">IF(ISNA(V29),"-",INDEX([17]Portfolios!A$3:H$827,MATCH(D29,[17]Portfolios!B$3:B$827,0),7)&amp;H29)</f>
        <v>IMCANADA36708</v>
      </c>
      <c r="X29" s="93" t="str">
        <f t="shared" si="8"/>
        <v>IMCANADAP36708</v>
      </c>
      <c r="Y29" s="93" t="str">
        <f t="shared" si="9"/>
        <v>IMCANADAP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63</v>
      </c>
      <c r="H30" s="86">
        <v>36678</v>
      </c>
      <c r="I30">
        <v>-1200000</v>
      </c>
      <c r="J30" s="82">
        <f t="shared" si="1"/>
        <v>-840000</v>
      </c>
      <c r="K30" s="82">
        <f t="shared" si="2"/>
        <v>0.7</v>
      </c>
      <c r="L30" s="82" t="str">
        <f t="shared" si="3"/>
        <v>IF-NTHWST/CANBR36678</v>
      </c>
      <c r="M30" s="82">
        <f t="shared" si="4"/>
        <v>-120</v>
      </c>
      <c r="N30" s="82">
        <f t="shared" si="5"/>
        <v>-84</v>
      </c>
      <c r="O30" s="93" t="str">
        <f t="shared" si="10"/>
        <v>P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#N/A</v>
      </c>
      <c r="R30" s="93">
        <f ca="1">IF($O30="D",INDEX('[17]Date Master'!O$3:P$332,MATCH($H30,'[17]Date Master'!O$3:O$332,0),2),0)</f>
        <v>0</v>
      </c>
      <c r="S30" s="93">
        <f ca="1">IF($O30="PHY",INDEX('[17]Date Master'!R$3:S$332,MATCH($H30,'[17]Date Master'!R$3:R$332,0),2),0)</f>
        <v>0</v>
      </c>
      <c r="T30" s="93">
        <f ca="1">IF($O30="G",INDEX('[17]Date Master'!R$3:S$332,MATCH($H30,'[17]Date Master'!R$3:R$332,0),2),0)</f>
        <v>0</v>
      </c>
      <c r="U30" s="93" t="e">
        <f t="shared" si="6"/>
        <v>#N/A</v>
      </c>
      <c r="V30" s="93" t="e">
        <f t="shared" si="7"/>
        <v>#N/A</v>
      </c>
      <c r="W30" s="93" t="str">
        <f ca="1">IF(ISNA(V30),"-",INDEX([17]Portfolios!A$3:H$827,MATCH(D30,[17]Portfolios!B$3:B$827,0),7)&amp;H30)</f>
        <v>-</v>
      </c>
      <c r="X30" s="93" t="str">
        <f t="shared" si="8"/>
        <v>-</v>
      </c>
      <c r="Y30" s="93" t="str">
        <f t="shared" si="9"/>
        <v>IMCANADAP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63</v>
      </c>
      <c r="H31" s="86">
        <v>36708</v>
      </c>
      <c r="I31">
        <v>309407</v>
      </c>
      <c r="J31" s="82">
        <f t="shared" si="1"/>
        <v>216584.9</v>
      </c>
      <c r="K31" s="82">
        <f t="shared" si="2"/>
        <v>0.7</v>
      </c>
      <c r="L31" s="82" t="str">
        <f t="shared" si="3"/>
        <v>IF-NTHWST/CANBR36708</v>
      </c>
      <c r="M31" s="82">
        <f t="shared" si="4"/>
        <v>30.9407</v>
      </c>
      <c r="N31" s="82">
        <f t="shared" si="5"/>
        <v>21.65849</v>
      </c>
      <c r="O31" s="93" t="str">
        <f t="shared" si="10"/>
        <v>P</v>
      </c>
      <c r="P31" s="93" t="str">
        <f ca="1">INDEX([17]Portfolios!A$3:G$929,MATCH(D31,[17]Portfolios!B$3:B$929,0),7)</f>
        <v>IMCANADA</v>
      </c>
      <c r="Q31" s="93">
        <f ca="1">IF($O31="P",INDEX('[17]Date Master'!I$3:J$332,MATCH($H31,'[17]Date Master'!I$3:I$332,0),2),0)</f>
        <v>3</v>
      </c>
      <c r="R31" s="93">
        <f ca="1">IF($O31="D",INDEX('[17]Date Master'!O$3:P$332,MATCH($H31,'[17]Date Master'!O$3:O$332,0),2),0)</f>
        <v>0</v>
      </c>
      <c r="S31" s="93">
        <f ca="1">IF($O31="PHY",INDEX('[17]Date Master'!R$3:S$332,MATCH($H31,'[17]Date Master'!R$3:R$332,0),2),0)</f>
        <v>0</v>
      </c>
      <c r="T31" s="93">
        <f ca="1">IF($O31="G",INDEX('[17]Date Master'!R$3:S$332,MATCH($H31,'[17]Date Master'!R$3:R$332,0),2),0)</f>
        <v>0</v>
      </c>
      <c r="U31" s="93">
        <f t="shared" si="6"/>
        <v>3</v>
      </c>
      <c r="V31" s="93" t="str">
        <f t="shared" si="7"/>
        <v>IMCANADAP3</v>
      </c>
      <c r="W31" s="93" t="str">
        <f ca="1">IF(ISNA(V31),"-",INDEX([17]Portfolios!A$3:H$827,MATCH(D31,[17]Portfolios!B$3:B$827,0),7)&amp;H31)</f>
        <v>IMCANADA36708</v>
      </c>
      <c r="X31" s="93" t="str">
        <f t="shared" si="8"/>
        <v>IMCANADAP36708</v>
      </c>
      <c r="Y31" s="93" t="str">
        <f t="shared" si="9"/>
        <v>IMCANADAP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63</v>
      </c>
      <c r="H32" s="86">
        <v>36739</v>
      </c>
      <c r="I32">
        <v>0</v>
      </c>
      <c r="J32" s="82">
        <f t="shared" si="1"/>
        <v>0</v>
      </c>
      <c r="K32" s="82">
        <f t="shared" si="2"/>
        <v>0.7</v>
      </c>
      <c r="L32" s="82" t="str">
        <f t="shared" si="3"/>
        <v>IF-NTHWST/CANBR36739</v>
      </c>
      <c r="M32" s="82">
        <f t="shared" si="4"/>
        <v>0</v>
      </c>
      <c r="N32" s="82">
        <f t="shared" si="5"/>
        <v>0</v>
      </c>
      <c r="O32" s="93" t="str">
        <f t="shared" si="10"/>
        <v>P</v>
      </c>
      <c r="P32" s="93" t="str">
        <f ca="1">INDEX([17]Portfolios!A$3:G$929,MATCH(D32,[17]Portfolios!B$3:B$929,0),7)</f>
        <v>IMCANADA</v>
      </c>
      <c r="Q32" s="93">
        <f ca="1">IF($O32="P",INDEX('[17]Date Master'!I$3:J$332,MATCH($H32,'[17]Date Master'!I$3:I$332,0),2),0)</f>
        <v>4</v>
      </c>
      <c r="R32" s="93">
        <f ca="1">IF($O32="D",INDEX('[17]Date Master'!O$3:P$332,MATCH($H32,'[17]Date Master'!O$3:O$332,0),2),0)</f>
        <v>0</v>
      </c>
      <c r="S32" s="93">
        <f ca="1">IF($O32="PHY",INDEX('[17]Date Master'!R$3:S$332,MATCH($H32,'[17]Date Master'!R$3:R$332,0),2),0)</f>
        <v>0</v>
      </c>
      <c r="T32" s="93">
        <f ca="1">IF($O32="G",INDEX('[17]Date Master'!R$3:S$332,MATCH($H32,'[17]Date Master'!R$3:R$332,0),2),0)</f>
        <v>0</v>
      </c>
      <c r="U32" s="93">
        <f t="shared" si="6"/>
        <v>4</v>
      </c>
      <c r="V32" s="93" t="str">
        <f t="shared" si="7"/>
        <v>IMCANADAP4</v>
      </c>
      <c r="W32" s="93" t="str">
        <f ca="1">IF(ISNA(V32),"-",INDEX([17]Portfolios!A$3:H$827,MATCH(D32,[17]Portfolios!B$3:B$827,0),7)&amp;H32)</f>
        <v>IMCANADA36739</v>
      </c>
      <c r="X32" s="93" t="str">
        <f t="shared" si="8"/>
        <v>IMCANADAP36739</v>
      </c>
      <c r="Y32" s="93" t="str">
        <f t="shared" si="9"/>
        <v>IMCANADAP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si="11">CONCATENATE(AE32,AF32)</f>
        <v>IMCAN-ERMS-XL-PRCNGMR-AECO/C</v>
      </c>
      <c r="AJ32" s="79"/>
    </row>
    <row r="33" spans="1:34" x14ac:dyDescent="0.2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63</v>
      </c>
      <c r="H33" s="86">
        <v>36770</v>
      </c>
      <c r="I33">
        <v>0</v>
      </c>
      <c r="J33" s="82">
        <f t="shared" si="1"/>
        <v>0</v>
      </c>
      <c r="K33" s="82">
        <f t="shared" si="2"/>
        <v>0.7</v>
      </c>
      <c r="L33" s="82" t="str">
        <f t="shared" si="3"/>
        <v>IF-NTHWST/CANBR36770</v>
      </c>
      <c r="M33" s="82">
        <f t="shared" si="4"/>
        <v>0</v>
      </c>
      <c r="N33" s="82">
        <f t="shared" si="5"/>
        <v>0</v>
      </c>
      <c r="O33" s="93" t="str">
        <f t="shared" si="10"/>
        <v>P</v>
      </c>
      <c r="P33" s="93" t="str">
        <f ca="1">INDEX([17]Portfolios!A$3:G$929,MATCH(D33,[17]Portfolios!B$3:B$929,0),7)</f>
        <v>IMCANADA</v>
      </c>
      <c r="Q33" s="93">
        <f ca="1">IF($O33="P",INDEX('[17]Date Master'!I$3:J$332,MATCH($H33,'[17]Date Master'!I$3:I$332,0),2),0)</f>
        <v>5</v>
      </c>
      <c r="R33" s="93">
        <f ca="1">IF($O33="D",INDEX('[17]Date Master'!O$3:P$332,MATCH($H33,'[17]Date Master'!O$3:O$332,0),2),0)</f>
        <v>0</v>
      </c>
      <c r="S33" s="93">
        <f ca="1">IF($O33="PHY",INDEX('[17]Date Master'!R$3:S$332,MATCH($H33,'[17]Date Master'!R$3:R$332,0),2),0)</f>
        <v>0</v>
      </c>
      <c r="T33" s="93">
        <f ca="1">IF($O33="G",INDEX('[17]Date Master'!R$3:S$332,MATCH($H33,'[17]Date Master'!R$3:R$332,0),2),0)</f>
        <v>0</v>
      </c>
      <c r="U33" s="93">
        <f t="shared" si="6"/>
        <v>5</v>
      </c>
      <c r="V33" s="93" t="str">
        <f t="shared" si="7"/>
        <v>IMCANADAP5</v>
      </c>
      <c r="W33" s="93" t="str">
        <f ca="1">IF(ISNA(V33),"-",INDEX([17]Portfolios!A$3:H$827,MATCH(D33,[17]Portfolios!B$3:B$827,0),7)&amp;H33)</f>
        <v>IMCANADA36770</v>
      </c>
      <c r="X33" s="93" t="str">
        <f t="shared" si="8"/>
        <v>IMCANADAP36770</v>
      </c>
      <c r="Y33" s="93" t="str">
        <f t="shared" si="9"/>
        <v>IMCANADAP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si="11"/>
        <v>IMCAN-ERMS-XL-PRCNG</v>
      </c>
    </row>
    <row r="34" spans="1:34" x14ac:dyDescent="0.2">
      <c r="A34" s="86">
        <v>36696</v>
      </c>
      <c r="B34" t="s">
        <v>82</v>
      </c>
      <c r="C34" t="s">
        <v>83</v>
      </c>
      <c r="D34" t="s">
        <v>121</v>
      </c>
      <c r="E34" t="s">
        <v>21</v>
      </c>
      <c r="G34" t="s">
        <v>63</v>
      </c>
      <c r="H34" s="86">
        <v>36800</v>
      </c>
      <c r="I34">
        <v>0</v>
      </c>
      <c r="J34" s="82">
        <f t="shared" si="1"/>
        <v>0</v>
      </c>
      <c r="K34" s="82">
        <f t="shared" si="2"/>
        <v>0.7</v>
      </c>
      <c r="L34" s="82" t="str">
        <f t="shared" si="3"/>
        <v>IF-NTHWST/CANBR36800</v>
      </c>
      <c r="M34" s="82">
        <f t="shared" si="4"/>
        <v>0</v>
      </c>
      <c r="N34" s="82">
        <f t="shared" si="5"/>
        <v>0</v>
      </c>
      <c r="O34" s="93" t="str">
        <f t="shared" si="10"/>
        <v>P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6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0</v>
      </c>
      <c r="U34" s="93">
        <f t="shared" si="6"/>
        <v>6</v>
      </c>
      <c r="V34" s="93" t="str">
        <f t="shared" si="7"/>
        <v>IMCANADAP6</v>
      </c>
      <c r="W34" s="93" t="str">
        <f ca="1">IF(ISNA(V34),"-",INDEX([17]Portfolios!A$3:H$827,MATCH(D34,[17]Portfolios!B$3:B$827,0),7)&amp;H34)</f>
        <v>IMCANADA36800</v>
      </c>
      <c r="X34" s="93" t="str">
        <f t="shared" si="8"/>
        <v>IMCANADAP36800</v>
      </c>
      <c r="Y34" s="93" t="str">
        <f t="shared" si="9"/>
        <v>IMCANADAP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si="11"/>
        <v>IMCAN-ERMS-XL-PRCIF-NTHWST/CANBR</v>
      </c>
    </row>
    <row r="35" spans="1:34" x14ac:dyDescent="0.2">
      <c r="A35" s="86">
        <v>36696</v>
      </c>
      <c r="B35" t="s">
        <v>82</v>
      </c>
      <c r="C35" t="s">
        <v>83</v>
      </c>
      <c r="D35" t="s">
        <v>121</v>
      </c>
      <c r="E35" t="s">
        <v>21</v>
      </c>
      <c r="G35" t="s">
        <v>104</v>
      </c>
      <c r="H35" s="86">
        <v>36678</v>
      </c>
      <c r="I35">
        <v>600000</v>
      </c>
      <c r="J35" s="82">
        <f t="shared" si="1"/>
        <v>0</v>
      </c>
      <c r="K35" s="82" t="e">
        <f t="shared" si="2"/>
        <v>#N/A</v>
      </c>
      <c r="L35" s="82" t="str">
        <f t="shared" si="3"/>
        <v>IF-NWPL_ROCKY_M36678</v>
      </c>
      <c r="M35" s="82">
        <f t="shared" si="4"/>
        <v>60</v>
      </c>
      <c r="N35" s="82">
        <f t="shared" si="5"/>
        <v>0</v>
      </c>
      <c r="O35" s="93" t="str">
        <f t="shared" si="10"/>
        <v>P</v>
      </c>
      <c r="P35" s="93" t="str">
        <f ca="1">INDEX([17]Portfolios!A$3:G$929,MATCH(D35,[17]Portfolios!B$3:B$929,0),7)</f>
        <v>IMCANADA</v>
      </c>
      <c r="Q35" s="93" t="e">
        <f ca="1">IF($O35="P",INDEX('[17]Date Master'!I$3:J$332,MATCH($H35,'[17]Date Master'!I$3:I$332,0),2),0)</f>
        <v>#N/A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0</v>
      </c>
      <c r="U35" s="93" t="e">
        <f t="shared" si="6"/>
        <v>#N/A</v>
      </c>
      <c r="V35" s="93" t="e">
        <f t="shared" si="7"/>
        <v>#N/A</v>
      </c>
      <c r="W35" s="93" t="str">
        <f ca="1">IF(ISNA(V35),"-",INDEX([17]Portfolios!A$3:H$827,MATCH(D35,[17]Portfolios!B$3:B$827,0),7)&amp;H35)</f>
        <v>-</v>
      </c>
      <c r="X35" s="93" t="str">
        <f t="shared" si="8"/>
        <v>-</v>
      </c>
      <c r="Y35" s="93" t="str">
        <f t="shared" si="9"/>
        <v>IMCANADAP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si="11"/>
        <v>IMCAN-ERMS-XL-PRCSTATION2/US$</v>
      </c>
    </row>
    <row r="36" spans="1:34" x14ac:dyDescent="0.2">
      <c r="A36" s="86">
        <v>36696</v>
      </c>
      <c r="B36" t="s">
        <v>82</v>
      </c>
      <c r="C36" t="s">
        <v>83</v>
      </c>
      <c r="D36" t="s">
        <v>121</v>
      </c>
      <c r="E36" t="s">
        <v>21</v>
      </c>
      <c r="G36" t="s">
        <v>104</v>
      </c>
      <c r="H36" s="86">
        <v>36708</v>
      </c>
      <c r="I36">
        <v>386758</v>
      </c>
      <c r="J36" s="82">
        <f t="shared" si="1"/>
        <v>0</v>
      </c>
      <c r="K36" s="82" t="e">
        <f t="shared" si="2"/>
        <v>#N/A</v>
      </c>
      <c r="L36" s="82" t="str">
        <f t="shared" si="3"/>
        <v>IF-NWPL_ROCKY_M36708</v>
      </c>
      <c r="M36" s="82">
        <f t="shared" si="4"/>
        <v>38.675800000000002</v>
      </c>
      <c r="N36" s="82">
        <f t="shared" si="5"/>
        <v>0</v>
      </c>
      <c r="O36" s="93" t="str">
        <f t="shared" si="10"/>
        <v>P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3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0</v>
      </c>
      <c r="T36" s="93">
        <f ca="1">IF($O36="G",INDEX('[17]Date Master'!R$3:S$332,MATCH($H36,'[17]Date Master'!R$3:R$332,0),2),0)</f>
        <v>0</v>
      </c>
      <c r="U36" s="93">
        <f t="shared" si="6"/>
        <v>3</v>
      </c>
      <c r="V36" s="93" t="str">
        <f t="shared" si="7"/>
        <v>IMCANADAP3</v>
      </c>
      <c r="W36" s="93" t="str">
        <f ca="1">IF(ISNA(V36),"-",INDEX([17]Portfolios!A$3:H$827,MATCH(D36,[17]Portfolios!B$3:B$827,0),7)&amp;H36)</f>
        <v>IMCANADA36708</v>
      </c>
      <c r="X36" s="93" t="str">
        <f t="shared" si="8"/>
        <v>IMCANADAP36708</v>
      </c>
      <c r="Y36" s="93" t="str">
        <f t="shared" si="9"/>
        <v>IMCANADAP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si="11"/>
        <v>IMCAN-ERMS-XL-PRCIF-NWPL-ROCK/CA</v>
      </c>
    </row>
    <row r="37" spans="1:34" x14ac:dyDescent="0.2">
      <c r="A37" s="86">
        <v>36696</v>
      </c>
      <c r="B37" t="s">
        <v>82</v>
      </c>
      <c r="C37" t="s">
        <v>83</v>
      </c>
      <c r="D37" t="s">
        <v>121</v>
      </c>
      <c r="E37" t="s">
        <v>21</v>
      </c>
      <c r="G37" t="s">
        <v>86</v>
      </c>
      <c r="H37" s="86">
        <v>36678</v>
      </c>
      <c r="I37">
        <v>0</v>
      </c>
      <c r="J37" s="82">
        <f t="shared" si="1"/>
        <v>0</v>
      </c>
      <c r="K37" s="82">
        <f t="shared" si="2"/>
        <v>1</v>
      </c>
      <c r="L37" s="82" t="str">
        <f t="shared" si="3"/>
        <v>NG36678</v>
      </c>
      <c r="M37" s="82">
        <f t="shared" si="4"/>
        <v>0</v>
      </c>
      <c r="N37" s="82">
        <f t="shared" si="5"/>
        <v>0</v>
      </c>
      <c r="O37" s="93" t="str">
        <f t="shared" si="10"/>
        <v>P</v>
      </c>
      <c r="P37" s="93" t="str">
        <f ca="1">INDEX([17]Portfolios!A$3:G$929,MATCH(D37,[17]Portfolios!B$3:B$929,0),7)</f>
        <v>IMCANADA</v>
      </c>
      <c r="Q37" s="93" t="e">
        <f ca="1">IF($O37="P",INDEX('[17]Date Master'!I$3:J$332,MATCH($H37,'[17]Date Master'!I$3:I$332,0),2),0)</f>
        <v>#N/A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0</v>
      </c>
      <c r="T37" s="93">
        <f ca="1">IF($O37="G",INDEX('[17]Date Master'!R$3:S$332,MATCH($H37,'[17]Date Master'!R$3:R$332,0),2),0)</f>
        <v>0</v>
      </c>
      <c r="U37" s="93" t="e">
        <f t="shared" si="6"/>
        <v>#N/A</v>
      </c>
      <c r="V37" s="93" t="e">
        <f t="shared" si="7"/>
        <v>#N/A</v>
      </c>
      <c r="W37" s="93" t="str">
        <f ca="1">IF(ISNA(V37),"-",INDEX([17]Portfolios!A$3:H$827,MATCH(D37,[17]Portfolios!B$3:B$827,0),7)&amp;H37)</f>
        <v>-</v>
      </c>
      <c r="X37" s="93" t="str">
        <f t="shared" si="8"/>
        <v>-</v>
      </c>
      <c r="Y37" s="93" t="str">
        <f t="shared" si="9"/>
        <v>IMCANADAP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si="11"/>
        <v>IMCAN-ERMS-XL-PRCNGI-MALIN/FP</v>
      </c>
    </row>
    <row r="38" spans="1:34" x14ac:dyDescent="0.2">
      <c r="A38" s="86">
        <v>36696</v>
      </c>
      <c r="B38" t="s">
        <v>82</v>
      </c>
      <c r="C38" t="s">
        <v>83</v>
      </c>
      <c r="D38" t="s">
        <v>121</v>
      </c>
      <c r="E38" t="s">
        <v>21</v>
      </c>
      <c r="G38" t="s">
        <v>86</v>
      </c>
      <c r="H38" s="86">
        <v>36708</v>
      </c>
      <c r="I38">
        <v>386758</v>
      </c>
      <c r="J38" s="82">
        <f t="shared" si="1"/>
        <v>386758</v>
      </c>
      <c r="K38" s="82">
        <f t="shared" si="2"/>
        <v>1</v>
      </c>
      <c r="L38" s="82" t="str">
        <f t="shared" si="3"/>
        <v>NG36708</v>
      </c>
      <c r="M38" s="82">
        <f t="shared" si="4"/>
        <v>38.675800000000002</v>
      </c>
      <c r="N38" s="82">
        <f t="shared" si="5"/>
        <v>38.675800000000002</v>
      </c>
      <c r="O38" s="93" t="str">
        <f t="shared" si="10"/>
        <v>P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3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0</v>
      </c>
      <c r="T38" s="93">
        <f ca="1">IF($O38="G",INDEX('[17]Date Master'!R$3:S$332,MATCH($H38,'[17]Date Master'!R$3:R$332,0),2),0)</f>
        <v>0</v>
      </c>
      <c r="U38" s="93">
        <f t="shared" si="6"/>
        <v>3</v>
      </c>
      <c r="V38" s="93" t="str">
        <f t="shared" si="7"/>
        <v>IMCANADAP3</v>
      </c>
      <c r="W38" s="93" t="str">
        <f ca="1">IF(ISNA(V38),"-",INDEX([17]Portfolios!A$3:H$827,MATCH(D38,[17]Portfolios!B$3:B$827,0),7)&amp;H38)</f>
        <v>IMCANADA36708</v>
      </c>
      <c r="X38" s="93" t="str">
        <f t="shared" si="8"/>
        <v>IMCANADAP36708</v>
      </c>
      <c r="Y38" s="93" t="str">
        <f t="shared" si="9"/>
        <v>IMCANADAP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si="11"/>
        <v>IMCAN-ERMS-XL-BASCGPR-AECO/BASIS</v>
      </c>
    </row>
    <row r="39" spans="1:34" x14ac:dyDescent="0.2">
      <c r="A39" s="86">
        <v>36696</v>
      </c>
      <c r="B39" t="s">
        <v>82</v>
      </c>
      <c r="C39" t="s">
        <v>83</v>
      </c>
      <c r="D39" t="s">
        <v>121</v>
      </c>
      <c r="E39" t="s">
        <v>21</v>
      </c>
      <c r="G39" t="s">
        <v>86</v>
      </c>
      <c r="H39" s="86">
        <v>36739</v>
      </c>
      <c r="I39">
        <v>0</v>
      </c>
      <c r="J39" s="82">
        <f t="shared" si="1"/>
        <v>0</v>
      </c>
      <c r="K39" s="82">
        <f t="shared" si="2"/>
        <v>1</v>
      </c>
      <c r="L39" s="82" t="str">
        <f t="shared" si="3"/>
        <v>NG36739</v>
      </c>
      <c r="M39" s="82">
        <f t="shared" si="4"/>
        <v>0</v>
      </c>
      <c r="N39" s="82">
        <f t="shared" si="5"/>
        <v>0</v>
      </c>
      <c r="O39" s="93" t="str">
        <f t="shared" si="10"/>
        <v>P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4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0</v>
      </c>
      <c r="T39" s="93">
        <f ca="1">IF($O39="G",INDEX('[17]Date Master'!R$3:S$332,MATCH($H39,'[17]Date Master'!R$3:R$332,0),2),0)</f>
        <v>0</v>
      </c>
      <c r="U39" s="93">
        <f t="shared" si="6"/>
        <v>4</v>
      </c>
      <c r="V39" s="93" t="str">
        <f t="shared" si="7"/>
        <v>IMCANADAP4</v>
      </c>
      <c r="W39" s="93" t="str">
        <f ca="1">IF(ISNA(V39),"-",INDEX([17]Portfolios!A$3:H$827,MATCH(D39,[17]Portfolios!B$3:B$827,0),7)&amp;H39)</f>
        <v>IMCANADA36739</v>
      </c>
      <c r="X39" s="93" t="str">
        <f t="shared" si="8"/>
        <v>IMCANADAP36739</v>
      </c>
      <c r="Y39" s="93" t="str">
        <f t="shared" si="9"/>
        <v>IMCANADAP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si="11"/>
        <v>IMCAN-ERMS-XL-GDLGDP-HEHUB</v>
      </c>
    </row>
    <row r="40" spans="1:34" x14ac:dyDescent="0.2">
      <c r="A40" s="95">
        <v>36696</v>
      </c>
      <c r="B40" t="s">
        <v>82</v>
      </c>
      <c r="C40" t="s">
        <v>83</v>
      </c>
      <c r="D40" t="s">
        <v>121</v>
      </c>
      <c r="E40" t="s">
        <v>21</v>
      </c>
      <c r="G40" t="s">
        <v>86</v>
      </c>
      <c r="H40" s="86">
        <v>36770</v>
      </c>
      <c r="I40">
        <v>0</v>
      </c>
      <c r="J40" s="82">
        <f t="shared" si="1"/>
        <v>0</v>
      </c>
      <c r="K40" s="82">
        <f t="shared" si="2"/>
        <v>1</v>
      </c>
      <c r="L40" s="82" t="str">
        <f t="shared" si="3"/>
        <v>NG36770</v>
      </c>
      <c r="M40" s="82">
        <f t="shared" si="4"/>
        <v>0</v>
      </c>
      <c r="N40" s="82">
        <f t="shared" si="5"/>
        <v>0</v>
      </c>
      <c r="O40" s="93" t="str">
        <f t="shared" si="10"/>
        <v>P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5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0</v>
      </c>
      <c r="T40" s="93">
        <f ca="1">IF($O40="G",INDEX('[17]Date Master'!R$3:S$332,MATCH($H40,'[17]Date Master'!R$3:R$332,0),2),0)</f>
        <v>0</v>
      </c>
      <c r="U40" s="93">
        <f t="shared" si="6"/>
        <v>5</v>
      </c>
      <c r="V40" s="93" t="str">
        <f t="shared" si="7"/>
        <v>IMCANADAP5</v>
      </c>
      <c r="W40" s="93" t="str">
        <f ca="1">IF(ISNA(V40),"-",INDEX([17]Portfolios!A$3:H$827,MATCH(D40,[17]Portfolios!B$3:B$827,0),7)&amp;H40)</f>
        <v>IMCANADA36770</v>
      </c>
      <c r="X40" s="93" t="str">
        <f t="shared" si="8"/>
        <v>IMCANADAP36770</v>
      </c>
      <c r="Y40" s="93" t="str">
        <f t="shared" si="9"/>
        <v>IMCANADAP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">
      <c r="A41" s="95">
        <v>36696</v>
      </c>
      <c r="B41" t="s">
        <v>82</v>
      </c>
      <c r="C41" t="s">
        <v>83</v>
      </c>
      <c r="D41" t="s">
        <v>121</v>
      </c>
      <c r="E41" t="s">
        <v>21</v>
      </c>
      <c r="G41" t="s">
        <v>86</v>
      </c>
      <c r="H41" s="86">
        <v>36800</v>
      </c>
      <c r="I41">
        <v>0</v>
      </c>
      <c r="J41" s="82">
        <f t="shared" si="1"/>
        <v>0</v>
      </c>
      <c r="K41" s="82">
        <f t="shared" si="2"/>
        <v>1</v>
      </c>
      <c r="L41" s="82" t="str">
        <f t="shared" si="3"/>
        <v>NG36800</v>
      </c>
      <c r="M41" s="82">
        <f t="shared" si="4"/>
        <v>0</v>
      </c>
      <c r="N41" s="82">
        <f t="shared" si="5"/>
        <v>0</v>
      </c>
      <c r="O41" s="93" t="str">
        <f t="shared" si="10"/>
        <v>P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6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0</v>
      </c>
      <c r="T41" s="93">
        <f ca="1">IF($O41="G",INDEX('[17]Date Master'!R$3:S$332,MATCH($H41,'[17]Date Master'!R$3:R$332,0),2),0)</f>
        <v>0</v>
      </c>
      <c r="U41" s="93">
        <f t="shared" si="6"/>
        <v>6</v>
      </c>
      <c r="V41" s="93" t="str">
        <f t="shared" si="7"/>
        <v>IMCANADAP6</v>
      </c>
      <c r="W41" s="93" t="str">
        <f ca="1">IF(ISNA(V41),"-",INDEX([17]Portfolios!A$3:H$827,MATCH(D41,[17]Portfolios!B$3:B$827,0),7)&amp;H41)</f>
        <v>IMCANADA36800</v>
      </c>
      <c r="X41" s="93" t="str">
        <f t="shared" si="8"/>
        <v>IMCANADAP36800</v>
      </c>
      <c r="Y41" s="93" t="str">
        <f t="shared" si="9"/>
        <v>IMCANADAP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">
      <c r="A42" s="95">
        <v>36696</v>
      </c>
      <c r="B42" t="s">
        <v>82</v>
      </c>
      <c r="C42" t="s">
        <v>83</v>
      </c>
      <c r="D42" t="s">
        <v>121</v>
      </c>
      <c r="E42" t="s">
        <v>21</v>
      </c>
      <c r="G42" t="s">
        <v>114</v>
      </c>
      <c r="H42" s="86">
        <v>36678</v>
      </c>
      <c r="I42">
        <v>0</v>
      </c>
      <c r="J42" s="82">
        <f t="shared" si="1"/>
        <v>0</v>
      </c>
      <c r="K42" s="82" t="e">
        <f t="shared" si="2"/>
        <v>#N/A</v>
      </c>
      <c r="L42" s="82" t="str">
        <f t="shared" si="3"/>
        <v>NGGJ36678</v>
      </c>
      <c r="M42" s="82">
        <f t="shared" si="4"/>
        <v>0</v>
      </c>
      <c r="N42" s="82">
        <f t="shared" si="5"/>
        <v>0</v>
      </c>
      <c r="O42" s="93" t="str">
        <f t="shared" si="10"/>
        <v>P</v>
      </c>
      <c r="P42" s="93" t="str">
        <f ca="1">INDEX([17]Portfolios!A$3:G$929,MATCH(D42,[17]Portfolios!B$3:B$929,0),7)</f>
        <v>IMCANADA</v>
      </c>
      <c r="Q42" s="93" t="e">
        <f ca="1">IF($O42="P",INDEX('[17]Date Master'!I$3:J$332,MATCH($H42,'[17]Date Master'!I$3:I$332,0),2),0)</f>
        <v>#N/A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0</v>
      </c>
      <c r="T42" s="93">
        <f ca="1">IF($O42="G",INDEX('[17]Date Master'!R$3:S$332,MATCH($H42,'[17]Date Master'!R$3:R$332,0),2),0)</f>
        <v>0</v>
      </c>
      <c r="U42" s="93" t="e">
        <f t="shared" si="6"/>
        <v>#N/A</v>
      </c>
      <c r="V42" s="93" t="e">
        <f t="shared" si="7"/>
        <v>#N/A</v>
      </c>
      <c r="W42" s="93" t="str">
        <f ca="1">IF(ISNA(V42),"-",INDEX([17]Portfolios!A$3:H$827,MATCH(D42,[17]Portfolios!B$3:B$827,0),7)&amp;H42)</f>
        <v>-</v>
      </c>
      <c r="X42" s="93" t="str">
        <f t="shared" si="8"/>
        <v>-</v>
      </c>
      <c r="Y42" s="93" t="str">
        <f t="shared" si="9"/>
        <v>IMCANADAP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">
      <c r="A43" s="95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47</v>
      </c>
      <c r="H43" s="86">
        <v>36678</v>
      </c>
      <c r="I43">
        <v>-50000</v>
      </c>
      <c r="J43" s="82">
        <f t="shared" si="1"/>
        <v>10000</v>
      </c>
      <c r="K43" s="82">
        <f t="shared" si="2"/>
        <v>-0.2</v>
      </c>
      <c r="L43" s="82" t="str">
        <f t="shared" si="3"/>
        <v>GD-AECOUS-DAILY36678</v>
      </c>
      <c r="M43" s="82">
        <f t="shared" si="4"/>
        <v>-5</v>
      </c>
      <c r="N43" s="82">
        <f t="shared" si="5"/>
        <v>1</v>
      </c>
      <c r="O43" s="93" t="str">
        <f t="shared" si="10"/>
        <v>G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0</v>
      </c>
      <c r="T43" s="93">
        <f ca="1">IF($O43="G",INDEX('[17]Date Master'!R$3:S$332,MATCH($H43,'[17]Date Master'!R$3:R$332,0),2),0)</f>
        <v>1</v>
      </c>
      <c r="U43" s="93">
        <f t="shared" si="6"/>
        <v>1</v>
      </c>
      <c r="V43" s="93" t="str">
        <f t="shared" si="7"/>
        <v>IMCANADAG1</v>
      </c>
      <c r="W43" s="93" t="str">
        <f ca="1">IF(ISNA(V43),"-",INDEX([17]Portfolios!A$3:H$827,MATCH(D43,[17]Portfolios!B$3:B$827,0),7)&amp;H43)</f>
        <v>IMCANADA36678</v>
      </c>
      <c r="X43" s="93" t="str">
        <f t="shared" si="8"/>
        <v>IMCANADAM36678</v>
      </c>
      <c r="Y43" s="93" t="str">
        <f t="shared" si="9"/>
        <v>IMCANADAG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si="12">CONCATENATE(AE43,AF43)</f>
        <v>INTRA-CAND-WE-GD-GDLGDP-KERN/OPAL</v>
      </c>
    </row>
    <row r="44" spans="1:34" x14ac:dyDescent="0.2">
      <c r="A44" s="95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47</v>
      </c>
      <c r="H44" s="86">
        <v>36708</v>
      </c>
      <c r="I44">
        <v>309321</v>
      </c>
      <c r="J44" s="82">
        <f t="shared" si="1"/>
        <v>-61864.200000000004</v>
      </c>
      <c r="K44" s="82">
        <f t="shared" si="2"/>
        <v>-0.2</v>
      </c>
      <c r="L44" s="82" t="str">
        <f t="shared" si="3"/>
        <v>GD-AECOUS-DAILY36708</v>
      </c>
      <c r="M44" s="82">
        <f t="shared" si="4"/>
        <v>30.932099999999998</v>
      </c>
      <c r="N44" s="82">
        <f t="shared" si="5"/>
        <v>-6.18642</v>
      </c>
      <c r="O44" s="93" t="str">
        <f t="shared" si="10"/>
        <v>G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0</v>
      </c>
      <c r="T44" s="93">
        <f ca="1">IF($O44="G",INDEX('[17]Date Master'!R$3:S$332,MATCH($H44,'[17]Date Master'!R$3:R$332,0),2),0)</f>
        <v>3</v>
      </c>
      <c r="U44" s="93">
        <f t="shared" si="6"/>
        <v>3</v>
      </c>
      <c r="V44" s="93" t="str">
        <f t="shared" si="7"/>
        <v>IMCANADAG3</v>
      </c>
      <c r="W44" s="93" t="str">
        <f ca="1">IF(ISNA(V44),"-",INDEX([17]Portfolios!A$3:H$827,MATCH(D44,[17]Portfolios!B$3:B$827,0),7)&amp;H44)</f>
        <v>IMCANADA36708</v>
      </c>
      <c r="X44" s="93" t="str">
        <f t="shared" si="8"/>
        <v>IMCANADAM36708</v>
      </c>
      <c r="Y44" s="93" t="str">
        <f t="shared" si="9"/>
        <v>IMCANADAG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si="12"/>
        <v>INTRA-CAND-WEST-PHYCHIPPAWA-CDN/IM</v>
      </c>
    </row>
    <row r="45" spans="1:34" x14ac:dyDescent="0.2">
      <c r="A45" s="9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36678</v>
      </c>
      <c r="I45">
        <v>630067</v>
      </c>
      <c r="J45" s="82">
        <f t="shared" si="1"/>
        <v>0</v>
      </c>
      <c r="K45" s="82" t="e">
        <f t="shared" si="2"/>
        <v>#N/A</v>
      </c>
      <c r="L45" s="82" t="str">
        <f t="shared" si="3"/>
        <v>GD-CGPR-AECO/AV36678</v>
      </c>
      <c r="M45" s="82">
        <f t="shared" si="4"/>
        <v>63.006700000000002</v>
      </c>
      <c r="N45" s="82">
        <f t="shared" si="5"/>
        <v>0</v>
      </c>
      <c r="O45" s="93" t="str">
        <f t="shared" si="10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1</v>
      </c>
      <c r="T45" s="93">
        <f ca="1">IF($O45="G",INDEX('[17]Date Master'!R$3:S$332,MATCH($H45,'[17]Date Master'!R$3:R$332,0),2),0)</f>
        <v>0</v>
      </c>
      <c r="U45" s="93">
        <f t="shared" si="6"/>
        <v>1</v>
      </c>
      <c r="V45" s="93" t="str">
        <f t="shared" si="7"/>
        <v>IMCANADAPHY1</v>
      </c>
      <c r="W45" s="93" t="str">
        <f ca="1">IF(ISNA(V45),"-",INDEX([17]Portfolios!A$3:H$827,MATCH(D45,[17]Portfolios!B$3:B$827,0),7)&amp;H45)</f>
        <v>IMCANADA36678</v>
      </c>
      <c r="X45" s="93" t="str">
        <f t="shared" si="8"/>
        <v>IMCANADAM36678</v>
      </c>
      <c r="Y45" s="93" t="str">
        <f t="shared" si="9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si="12"/>
        <v>INTRA-CAND-WEST-PHYCHIPPAWA-CDN/IM</v>
      </c>
    </row>
    <row r="46" spans="1:34" x14ac:dyDescent="0.2">
      <c r="A46" s="95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36708</v>
      </c>
      <c r="I46">
        <v>-1585928</v>
      </c>
      <c r="J46" s="82">
        <f t="shared" si="1"/>
        <v>0</v>
      </c>
      <c r="K46" s="82" t="e">
        <f t="shared" si="2"/>
        <v>#N/A</v>
      </c>
      <c r="L46" s="82" t="str">
        <f t="shared" si="3"/>
        <v>GD-CGPR-AECO/AV36708</v>
      </c>
      <c r="M46" s="82">
        <f t="shared" si="4"/>
        <v>-158.59280000000001</v>
      </c>
      <c r="N46" s="82">
        <f t="shared" si="5"/>
        <v>0</v>
      </c>
      <c r="O46" s="93" t="str">
        <f t="shared" si="10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3</v>
      </c>
      <c r="T46" s="93">
        <f ca="1">IF($O46="G",INDEX('[17]Date Master'!R$3:S$332,MATCH($H46,'[17]Date Master'!R$3:R$332,0),2),0)</f>
        <v>0</v>
      </c>
      <c r="U46" s="93">
        <f t="shared" si="6"/>
        <v>3</v>
      </c>
      <c r="V46" s="93" t="str">
        <f t="shared" si="7"/>
        <v>IMCANADAPHY3</v>
      </c>
      <c r="W46" s="93" t="str">
        <f ca="1">IF(ISNA(V46),"-",INDEX([17]Portfolios!A$3:H$827,MATCH(D46,[17]Portfolios!B$3:B$827,0),7)&amp;H46)</f>
        <v>IMCANADA36708</v>
      </c>
      <c r="X46" s="93" t="str">
        <f t="shared" si="8"/>
        <v>IMCANADAM36708</v>
      </c>
      <c r="Y46" s="93" t="str">
        <f t="shared" si="9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si="12"/>
        <v>INTRA-CAND-WEST-PHYCHIPPAWA/IM</v>
      </c>
    </row>
    <row r="47" spans="1:34" x14ac:dyDescent="0.2">
      <c r="A47" s="95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36739</v>
      </c>
      <c r="I47">
        <v>-1722620</v>
      </c>
      <c r="J47" s="82">
        <f t="shared" si="1"/>
        <v>0</v>
      </c>
      <c r="K47" s="82" t="e">
        <f t="shared" si="2"/>
        <v>#N/A</v>
      </c>
      <c r="L47" s="82" t="str">
        <f t="shared" si="3"/>
        <v>GD-CGPR-AECO/AV36739</v>
      </c>
      <c r="M47" s="82">
        <f t="shared" si="4"/>
        <v>-172.262</v>
      </c>
      <c r="N47" s="82">
        <f t="shared" si="5"/>
        <v>0</v>
      </c>
      <c r="O47" s="93" t="str">
        <f t="shared" si="10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4</v>
      </c>
      <c r="T47" s="93">
        <f ca="1">IF($O47="G",INDEX('[17]Date Master'!R$3:S$332,MATCH($H47,'[17]Date Master'!R$3:R$332,0),2),0)</f>
        <v>0</v>
      </c>
      <c r="U47" s="93">
        <f t="shared" si="6"/>
        <v>4</v>
      </c>
      <c r="V47" s="93" t="str">
        <f t="shared" si="7"/>
        <v>IMCANADAPHY4</v>
      </c>
      <c r="W47" s="93" t="str">
        <f ca="1">IF(ISNA(V47),"-",INDEX([17]Portfolios!A$3:H$827,MATCH(D47,[17]Portfolios!B$3:B$827,0),7)&amp;H47)</f>
        <v>IMCANADA36739</v>
      </c>
      <c r="X47" s="93" t="str">
        <f t="shared" si="8"/>
        <v>IMCANADAM36739</v>
      </c>
      <c r="Y47" s="93" t="str">
        <f t="shared" si="9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si="12"/>
        <v>INTRA-CAND-WEST-PHYEMERSON-ONT</v>
      </c>
    </row>
    <row r="48" spans="1:34" x14ac:dyDescent="0.2">
      <c r="A48" s="95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36770</v>
      </c>
      <c r="I48">
        <v>-1605602</v>
      </c>
      <c r="J48" s="82">
        <f t="shared" si="1"/>
        <v>0</v>
      </c>
      <c r="K48" s="82" t="e">
        <f t="shared" si="2"/>
        <v>#N/A</v>
      </c>
      <c r="L48" s="82" t="str">
        <f t="shared" si="3"/>
        <v>GD-CGPR-AECO/AV36770</v>
      </c>
      <c r="M48" s="82">
        <f t="shared" si="4"/>
        <v>-160.56020000000001</v>
      </c>
      <c r="N48" s="82">
        <f t="shared" si="5"/>
        <v>0</v>
      </c>
      <c r="O48" s="93" t="str">
        <f t="shared" si="10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5</v>
      </c>
      <c r="T48" s="93">
        <f ca="1">IF($O48="G",INDEX('[17]Date Master'!R$3:S$332,MATCH($H48,'[17]Date Master'!R$3:R$332,0),2),0)</f>
        <v>0</v>
      </c>
      <c r="U48" s="93">
        <f t="shared" si="6"/>
        <v>5</v>
      </c>
      <c r="V48" s="93" t="str">
        <f t="shared" si="7"/>
        <v>IMCANADAPHY5</v>
      </c>
      <c r="W48" s="93" t="str">
        <f ca="1">IF(ISNA(V48),"-",INDEX([17]Portfolios!A$3:H$827,MATCH(D48,[17]Portfolios!B$3:B$827,0),7)&amp;H48)</f>
        <v>IMCANADA36770</v>
      </c>
      <c r="X48" s="93" t="str">
        <f t="shared" si="8"/>
        <v>IMCANADAM36770</v>
      </c>
      <c r="Y48" s="93" t="str">
        <f t="shared" si="9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si="12"/>
        <v>INTRA-CAND-WEST-PHYEMERSON-ONT</v>
      </c>
    </row>
    <row r="49" spans="1:34" x14ac:dyDescent="0.2">
      <c r="A49" s="95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36800</v>
      </c>
      <c r="I49">
        <v>-1649736</v>
      </c>
      <c r="J49" s="82">
        <f t="shared" si="1"/>
        <v>0</v>
      </c>
      <c r="K49" s="82" t="e">
        <f t="shared" si="2"/>
        <v>#N/A</v>
      </c>
      <c r="L49" s="82" t="str">
        <f t="shared" si="3"/>
        <v>GD-CGPR-AECO/AV36800</v>
      </c>
      <c r="M49" s="82">
        <f t="shared" si="4"/>
        <v>-164.9736</v>
      </c>
      <c r="N49" s="82">
        <f t="shared" si="5"/>
        <v>0</v>
      </c>
      <c r="O49" s="93" t="str">
        <f t="shared" si="10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6</v>
      </c>
      <c r="T49" s="93">
        <f ca="1">IF($O49="G",INDEX('[17]Date Master'!R$3:S$332,MATCH($H49,'[17]Date Master'!R$3:R$332,0),2),0)</f>
        <v>0</v>
      </c>
      <c r="U49" s="93">
        <f t="shared" si="6"/>
        <v>6</v>
      </c>
      <c r="V49" s="93" t="str">
        <f t="shared" si="7"/>
        <v>IMCANADAPHY6</v>
      </c>
      <c r="W49" s="93" t="str">
        <f ca="1">IF(ISNA(V49),"-",INDEX([17]Portfolios!A$3:H$827,MATCH(D49,[17]Portfolios!B$3:B$827,0),7)&amp;H49)</f>
        <v>IMCANADA36800</v>
      </c>
      <c r="X49" s="93" t="str">
        <f t="shared" si="8"/>
        <v>IMCANADAM36800</v>
      </c>
      <c r="Y49" s="93" t="str">
        <f t="shared" si="9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si="12"/>
        <v>INTRA-CAND-WEST-PHYGD-AECOUSD-DAIL</v>
      </c>
    </row>
    <row r="50" spans="1:34" x14ac:dyDescent="0.2">
      <c r="A50" s="95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36831</v>
      </c>
      <c r="I50">
        <v>-251718</v>
      </c>
      <c r="J50" s="82">
        <f t="shared" si="1"/>
        <v>0</v>
      </c>
      <c r="K50" s="82" t="e">
        <f t="shared" si="2"/>
        <v>#N/A</v>
      </c>
      <c r="L50" s="82" t="str">
        <f t="shared" si="3"/>
        <v>GD-CGPR-AECO/AV36831</v>
      </c>
      <c r="M50" s="82">
        <f t="shared" si="4"/>
        <v>-25.171800000000001</v>
      </c>
      <c r="N50" s="82">
        <f t="shared" si="5"/>
        <v>0</v>
      </c>
      <c r="O50" s="93" t="str">
        <f t="shared" si="10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7</v>
      </c>
      <c r="T50" s="93">
        <f ca="1">IF($O50="G",INDEX('[17]Date Master'!R$3:S$332,MATCH($H50,'[17]Date Master'!R$3:R$332,0),2),0)</f>
        <v>0</v>
      </c>
      <c r="U50" s="93">
        <f t="shared" si="6"/>
        <v>7</v>
      </c>
      <c r="V50" s="93" t="str">
        <f t="shared" si="7"/>
        <v>IMCANADAPHY7</v>
      </c>
      <c r="W50" s="93" t="str">
        <f ca="1">IF(ISNA(V50),"-",INDEX([17]Portfolios!A$3:H$827,MATCH(D50,[17]Portfolios!B$3:B$827,0),7)&amp;H50)</f>
        <v>IMCANADA36831</v>
      </c>
      <c r="X50" s="93" t="str">
        <f t="shared" si="8"/>
        <v>IMCANADAM36831</v>
      </c>
      <c r="Y50" s="93" t="str">
        <f t="shared" si="9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si="12"/>
        <v>INTRA-CAND-WEST-PHYGDM-WADDINGTON</v>
      </c>
    </row>
    <row r="51" spans="1:34" x14ac:dyDescent="0.2">
      <c r="A51" s="95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36861</v>
      </c>
      <c r="I51">
        <v>-258621</v>
      </c>
      <c r="J51" s="82">
        <f t="shared" si="1"/>
        <v>0</v>
      </c>
      <c r="K51" s="82" t="e">
        <f t="shared" si="2"/>
        <v>#N/A</v>
      </c>
      <c r="L51" s="82" t="str">
        <f t="shared" si="3"/>
        <v>GD-CGPR-AECO/AV36861</v>
      </c>
      <c r="M51" s="82">
        <f t="shared" si="4"/>
        <v>-25.862100000000002</v>
      </c>
      <c r="N51" s="82">
        <f t="shared" si="5"/>
        <v>0</v>
      </c>
      <c r="O51" s="93" t="str">
        <f t="shared" si="10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8</v>
      </c>
      <c r="T51" s="93">
        <f ca="1">IF($O51="G",INDEX('[17]Date Master'!R$3:S$332,MATCH($H51,'[17]Date Master'!R$3:R$332,0),2),0)</f>
        <v>0</v>
      </c>
      <c r="U51" s="93">
        <f t="shared" si="6"/>
        <v>8</v>
      </c>
      <c r="V51" s="93" t="str">
        <f t="shared" si="7"/>
        <v>IMCANADAPHY8</v>
      </c>
      <c r="W51" s="93" t="str">
        <f ca="1">IF(ISNA(V51),"-",INDEX([17]Portfolios!A$3:H$827,MATCH(D51,[17]Portfolios!B$3:B$827,0),7)&amp;H51)</f>
        <v>IMCANADA36861</v>
      </c>
      <c r="X51" s="93" t="str">
        <f t="shared" si="8"/>
        <v>IMCANADAM36861</v>
      </c>
      <c r="Y51" s="93" t="str">
        <f t="shared" si="9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si="12"/>
        <v>INTRA-CAND-WEST-PHYNIAGARA/IM</v>
      </c>
    </row>
    <row r="52" spans="1:34" x14ac:dyDescent="0.2">
      <c r="A52" s="95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36892</v>
      </c>
      <c r="I52">
        <v>-214607</v>
      </c>
      <c r="J52" s="82">
        <f t="shared" si="1"/>
        <v>0</v>
      </c>
      <c r="K52" s="82" t="e">
        <f t="shared" si="2"/>
        <v>#N/A</v>
      </c>
      <c r="L52" s="82" t="str">
        <f t="shared" si="3"/>
        <v>GD-CGPR-AECO/AV36892</v>
      </c>
      <c r="M52" s="82">
        <f t="shared" si="4"/>
        <v>-21.460699999999999</v>
      </c>
      <c r="N52" s="82">
        <f t="shared" si="5"/>
        <v>0</v>
      </c>
      <c r="O52" s="93" t="str">
        <f t="shared" si="10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si="6"/>
        <v>9</v>
      </c>
      <c r="V52" s="93" t="str">
        <f t="shared" si="7"/>
        <v>IMCANADAPHY9</v>
      </c>
      <c r="W52" s="93" t="str">
        <f ca="1">IF(ISNA(V52),"-",INDEX([17]Portfolios!A$3:H$827,MATCH(D52,[17]Portfolios!B$3:B$827,0),7)&amp;H52)</f>
        <v>IMCANADA36892</v>
      </c>
      <c r="X52" s="93" t="str">
        <f t="shared" si="8"/>
        <v>IMCANADAM36892</v>
      </c>
      <c r="Y52" s="93" t="str">
        <f t="shared" si="9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si="12"/>
        <v>INTRA-CAND-WEST-PHYNIAGARA/IM</v>
      </c>
    </row>
    <row r="53" spans="1:34" x14ac:dyDescent="0.2">
      <c r="A53" s="95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46</v>
      </c>
      <c r="H53" s="86">
        <v>36923</v>
      </c>
      <c r="I53">
        <v>-188861</v>
      </c>
      <c r="J53" s="82">
        <f t="shared" si="1"/>
        <v>0</v>
      </c>
      <c r="K53" s="82" t="e">
        <f t="shared" si="2"/>
        <v>#N/A</v>
      </c>
      <c r="L53" s="82" t="str">
        <f t="shared" si="3"/>
        <v>GD-CGPR-AECO/AV36923</v>
      </c>
      <c r="M53" s="82">
        <f t="shared" si="4"/>
        <v>-18.886099999999999</v>
      </c>
      <c r="N53" s="82">
        <f t="shared" si="5"/>
        <v>0</v>
      </c>
      <c r="O53" s="93" t="str">
        <f t="shared" si="10"/>
        <v>PHY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9</v>
      </c>
      <c r="T53" s="93">
        <f ca="1">IF($O53="G",INDEX('[17]Date Master'!R$3:S$332,MATCH($H53,'[17]Date Master'!R$3:R$332,0),2),0)</f>
        <v>0</v>
      </c>
      <c r="U53" s="93">
        <f t="shared" si="6"/>
        <v>9</v>
      </c>
      <c r="V53" s="93" t="str">
        <f t="shared" si="7"/>
        <v>IMCANADAPHY9</v>
      </c>
      <c r="W53" s="93" t="str">
        <f ca="1">IF(ISNA(V53),"-",INDEX([17]Portfolios!A$3:H$827,MATCH(D53,[17]Portfolios!B$3:B$827,0),7)&amp;H53)</f>
        <v>IMCANADA36923</v>
      </c>
      <c r="X53" s="93" t="str">
        <f t="shared" si="8"/>
        <v>IMCANADAM36923</v>
      </c>
      <c r="Y53" s="93" t="str">
        <f t="shared" si="9"/>
        <v>IMCANADAPHY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si="12"/>
        <v>INTRA-CAND-WEST-PHYPARK-CDN/IM</v>
      </c>
    </row>
    <row r="54" spans="1:34" x14ac:dyDescent="0.2">
      <c r="A54" s="95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46</v>
      </c>
      <c r="H54" s="86">
        <v>36951</v>
      </c>
      <c r="I54">
        <v>-207953</v>
      </c>
      <c r="J54" s="82">
        <f t="shared" si="1"/>
        <v>0</v>
      </c>
      <c r="K54" s="82" t="e">
        <f t="shared" si="2"/>
        <v>#N/A</v>
      </c>
      <c r="L54" s="82" t="str">
        <f t="shared" si="3"/>
        <v>GD-CGPR-AECO/AV36951</v>
      </c>
      <c r="M54" s="82">
        <f t="shared" si="4"/>
        <v>-20.795300000000001</v>
      </c>
      <c r="N54" s="82">
        <f t="shared" si="5"/>
        <v>0</v>
      </c>
      <c r="O54" s="93" t="str">
        <f t="shared" si="10"/>
        <v>PHY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9</v>
      </c>
      <c r="T54" s="93">
        <f ca="1">IF($O54="G",INDEX('[17]Date Master'!R$3:S$332,MATCH($H54,'[17]Date Master'!R$3:R$332,0),2),0)</f>
        <v>0</v>
      </c>
      <c r="U54" s="93">
        <f t="shared" si="6"/>
        <v>9</v>
      </c>
      <c r="V54" s="93" t="str">
        <f t="shared" si="7"/>
        <v>IMCANADAPHY9</v>
      </c>
      <c r="W54" s="93" t="str">
        <f ca="1">IF(ISNA(V54),"-",INDEX([17]Portfolios!A$3:H$827,MATCH(D54,[17]Portfolios!B$3:B$827,0),7)&amp;H54)</f>
        <v>IMCANADA36951</v>
      </c>
      <c r="X54" s="93" t="str">
        <f t="shared" si="8"/>
        <v>IMCANADAM36951</v>
      </c>
      <c r="Y54" s="93" t="str">
        <f t="shared" si="9"/>
        <v>IMCANADAPHY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si="12"/>
        <v>INTRA-CAND-WEST-PHYPARK-CDN/IM</v>
      </c>
    </row>
    <row r="55" spans="1:34" x14ac:dyDescent="0.2">
      <c r="A55" s="95">
        <v>36696</v>
      </c>
      <c r="B55" t="s">
        <v>82</v>
      </c>
      <c r="C55" t="s">
        <v>83</v>
      </c>
      <c r="D55" t="s">
        <v>84</v>
      </c>
      <c r="E55" t="s">
        <v>51</v>
      </c>
      <c r="F55" t="s">
        <v>19</v>
      </c>
      <c r="G55" t="s">
        <v>46</v>
      </c>
      <c r="H55" s="86">
        <v>36982</v>
      </c>
      <c r="I55">
        <v>-200027</v>
      </c>
      <c r="J55" s="82">
        <f t="shared" si="1"/>
        <v>0</v>
      </c>
      <c r="K55" s="82" t="e">
        <f t="shared" si="2"/>
        <v>#N/A</v>
      </c>
      <c r="L55" s="82" t="str">
        <f t="shared" si="3"/>
        <v>GD-CGPR-AECO/AV36982</v>
      </c>
      <c r="M55" s="82">
        <f t="shared" si="4"/>
        <v>-20.002700000000001</v>
      </c>
      <c r="N55" s="82">
        <f t="shared" si="5"/>
        <v>0</v>
      </c>
      <c r="O55" s="93" t="str">
        <f t="shared" si="10"/>
        <v>PHY</v>
      </c>
      <c r="P55" s="93" t="str">
        <f ca="1">INDEX([17]Portfolios!A$3:G$929,MATCH(D55,[17]Portfolios!B$3:B$929,0),7)</f>
        <v>IMCANADA</v>
      </c>
      <c r="Q55" s="93">
        <f ca="1">IF($O55="P",INDEX('[17]Date Master'!I$3:J$332,MATCH($H55,'[17]Date Master'!I$3:I$332,0),2),0)</f>
        <v>0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9</v>
      </c>
      <c r="T55" s="93">
        <f ca="1">IF($O55="G",INDEX('[17]Date Master'!R$3:S$332,MATCH($H55,'[17]Date Master'!R$3:R$332,0),2),0)</f>
        <v>0</v>
      </c>
      <c r="U55" s="93">
        <f t="shared" si="6"/>
        <v>9</v>
      </c>
      <c r="V55" s="93" t="str">
        <f t="shared" si="7"/>
        <v>IMCANADAPHY9</v>
      </c>
      <c r="W55" s="93" t="str">
        <f ca="1">IF(ISNA(V55),"-",INDEX([17]Portfolios!A$3:H$827,MATCH(D55,[17]Portfolios!B$3:B$827,0),7)&amp;H55)</f>
        <v>IMCANADA36982</v>
      </c>
      <c r="X55" s="93" t="str">
        <f t="shared" si="8"/>
        <v>IMCANADAM36982</v>
      </c>
      <c r="Y55" s="93" t="str">
        <f t="shared" si="9"/>
        <v>IMCANADAPHY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si="12"/>
        <v>INTRA-CAND-WEST-PHYPARKWAY/IM</v>
      </c>
    </row>
    <row r="56" spans="1:34" x14ac:dyDescent="0.2">
      <c r="A56" s="95">
        <v>36696</v>
      </c>
      <c r="B56" t="s">
        <v>82</v>
      </c>
      <c r="C56" t="s">
        <v>83</v>
      </c>
      <c r="D56" t="s">
        <v>84</v>
      </c>
      <c r="E56" t="s">
        <v>51</v>
      </c>
      <c r="F56" t="s">
        <v>19</v>
      </c>
      <c r="G56" t="s">
        <v>46</v>
      </c>
      <c r="H56" s="86">
        <v>37012</v>
      </c>
      <c r="I56">
        <v>-205494</v>
      </c>
      <c r="J56" s="82">
        <f t="shared" si="1"/>
        <v>0</v>
      </c>
      <c r="K56" s="82" t="e">
        <f t="shared" si="2"/>
        <v>#N/A</v>
      </c>
      <c r="L56" s="82" t="str">
        <f t="shared" si="3"/>
        <v>GD-CGPR-AECO/AV37012</v>
      </c>
      <c r="M56" s="82">
        <f t="shared" si="4"/>
        <v>-20.549399999999999</v>
      </c>
      <c r="N56" s="82">
        <f t="shared" si="5"/>
        <v>0</v>
      </c>
      <c r="O56" s="93" t="str">
        <f t="shared" si="10"/>
        <v>PHY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0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9</v>
      </c>
      <c r="T56" s="93">
        <f ca="1">IF($O56="G",INDEX('[17]Date Master'!R$3:S$332,MATCH($H56,'[17]Date Master'!R$3:R$332,0),2),0)</f>
        <v>0</v>
      </c>
      <c r="U56" s="93">
        <f t="shared" si="6"/>
        <v>9</v>
      </c>
      <c r="V56" s="93" t="str">
        <f t="shared" si="7"/>
        <v>IMCANADAPHY9</v>
      </c>
      <c r="W56" s="93" t="str">
        <f ca="1">IF(ISNA(V56),"-",INDEX([17]Portfolios!A$3:H$827,MATCH(D56,[17]Portfolios!B$3:B$827,0),7)&amp;H56)</f>
        <v>IMCANADA37012</v>
      </c>
      <c r="X56" s="93" t="str">
        <f t="shared" si="8"/>
        <v>IMCANADAM37012</v>
      </c>
      <c r="Y56" s="93" t="str">
        <f t="shared" si="9"/>
        <v>IMCANADAPHY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si="12"/>
        <v>INTRA-CAND-WEST-PHYPARKWAY/IM</v>
      </c>
    </row>
    <row r="57" spans="1:34" x14ac:dyDescent="0.2">
      <c r="A57" s="95">
        <v>36696</v>
      </c>
      <c r="B57" t="s">
        <v>82</v>
      </c>
      <c r="C57" t="s">
        <v>83</v>
      </c>
      <c r="D57" t="s">
        <v>84</v>
      </c>
      <c r="E57" t="s">
        <v>51</v>
      </c>
      <c r="F57" t="s">
        <v>19</v>
      </c>
      <c r="G57" t="s">
        <v>46</v>
      </c>
      <c r="H57" s="86">
        <v>37043</v>
      </c>
      <c r="I57">
        <v>-197668</v>
      </c>
      <c r="J57" s="82">
        <f t="shared" si="1"/>
        <v>0</v>
      </c>
      <c r="K57" s="82" t="e">
        <f t="shared" si="2"/>
        <v>#N/A</v>
      </c>
      <c r="L57" s="82" t="str">
        <f t="shared" si="3"/>
        <v>GD-CGPR-AECO/AV37043</v>
      </c>
      <c r="M57" s="82">
        <f t="shared" si="4"/>
        <v>-19.7668</v>
      </c>
      <c r="N57" s="82">
        <f t="shared" si="5"/>
        <v>0</v>
      </c>
      <c r="O57" s="93" t="str">
        <f t="shared" si="10"/>
        <v>PHY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0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9</v>
      </c>
      <c r="T57" s="93">
        <f ca="1">IF($O57="G",INDEX('[17]Date Master'!R$3:S$332,MATCH($H57,'[17]Date Master'!R$3:R$332,0),2),0)</f>
        <v>0</v>
      </c>
      <c r="U57" s="93">
        <f t="shared" si="6"/>
        <v>9</v>
      </c>
      <c r="V57" s="93" t="str">
        <f t="shared" si="7"/>
        <v>IMCANADAPHY9</v>
      </c>
      <c r="W57" s="93" t="str">
        <f ca="1">IF(ISNA(V57),"-",INDEX([17]Portfolios!A$3:H$827,MATCH(D57,[17]Portfolios!B$3:B$827,0),7)&amp;H57)</f>
        <v>IMCANADA37043</v>
      </c>
      <c r="X57" s="93" t="str">
        <f t="shared" si="8"/>
        <v>IMCANADAM37043</v>
      </c>
      <c r="Y57" s="93" t="str">
        <f t="shared" si="9"/>
        <v>IMCANADAPHY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si="12"/>
        <v>INTRA-CAND-WEST-PHYST.CLAIR/IM</v>
      </c>
    </row>
    <row r="58" spans="1:34" x14ac:dyDescent="0.2">
      <c r="A58" s="95">
        <v>36696</v>
      </c>
      <c r="B58" t="s">
        <v>82</v>
      </c>
      <c r="C58" t="s">
        <v>83</v>
      </c>
      <c r="D58" t="s">
        <v>84</v>
      </c>
      <c r="E58" t="s">
        <v>51</v>
      </c>
      <c r="F58" t="s">
        <v>19</v>
      </c>
      <c r="G58" t="s">
        <v>46</v>
      </c>
      <c r="H58" s="86">
        <v>37073</v>
      </c>
      <c r="I58">
        <v>-203066</v>
      </c>
      <c r="J58" s="82">
        <f t="shared" si="1"/>
        <v>0</v>
      </c>
      <c r="K58" s="82" t="e">
        <f t="shared" si="2"/>
        <v>#N/A</v>
      </c>
      <c r="L58" s="82" t="str">
        <f t="shared" si="3"/>
        <v>GD-CGPR-AECO/AV37073</v>
      </c>
      <c r="M58" s="82">
        <f t="shared" si="4"/>
        <v>-20.3066</v>
      </c>
      <c r="N58" s="82">
        <f t="shared" si="5"/>
        <v>0</v>
      </c>
      <c r="O58" s="93" t="str">
        <f t="shared" si="10"/>
        <v>PHY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0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9</v>
      </c>
      <c r="T58" s="93">
        <f ca="1">IF($O58="G",INDEX('[17]Date Master'!R$3:S$332,MATCH($H58,'[17]Date Master'!R$3:R$332,0),2),0)</f>
        <v>0</v>
      </c>
      <c r="U58" s="93">
        <f t="shared" si="6"/>
        <v>9</v>
      </c>
      <c r="V58" s="93" t="str">
        <f t="shared" si="7"/>
        <v>IMCANADAPHY9</v>
      </c>
      <c r="W58" s="93" t="str">
        <f ca="1">IF(ISNA(V58),"-",INDEX([17]Portfolios!A$3:H$827,MATCH(D58,[17]Portfolios!B$3:B$827,0),7)&amp;H58)</f>
        <v>IMCANADA37073</v>
      </c>
      <c r="X58" s="93" t="str">
        <f t="shared" si="8"/>
        <v>IMCANADAM37073</v>
      </c>
      <c r="Y58" s="93" t="str">
        <f t="shared" si="9"/>
        <v>IMCANADAPHY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si="12"/>
        <v>INTRA-CAND-WEST-PHYST.CLAIR/IM</v>
      </c>
    </row>
    <row r="59" spans="1:34" x14ac:dyDescent="0.2">
      <c r="A59" s="95">
        <v>36696</v>
      </c>
      <c r="B59" t="s">
        <v>82</v>
      </c>
      <c r="C59" t="s">
        <v>83</v>
      </c>
      <c r="D59" t="s">
        <v>84</v>
      </c>
      <c r="E59" t="s">
        <v>51</v>
      </c>
      <c r="F59" t="s">
        <v>19</v>
      </c>
      <c r="G59" t="s">
        <v>46</v>
      </c>
      <c r="H59" s="86">
        <v>37104</v>
      </c>
      <c r="I59">
        <v>-201843</v>
      </c>
      <c r="J59" s="82">
        <f t="shared" si="1"/>
        <v>0</v>
      </c>
      <c r="K59" s="82" t="e">
        <f t="shared" si="2"/>
        <v>#N/A</v>
      </c>
      <c r="L59" s="82" t="str">
        <f t="shared" si="3"/>
        <v>GD-CGPR-AECO/AV37104</v>
      </c>
      <c r="M59" s="82">
        <f t="shared" si="4"/>
        <v>-20.1843</v>
      </c>
      <c r="N59" s="82">
        <f t="shared" si="5"/>
        <v>0</v>
      </c>
      <c r="O59" s="93" t="str">
        <f t="shared" si="10"/>
        <v>PHY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0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9</v>
      </c>
      <c r="T59" s="93">
        <f ca="1">IF($O59="G",INDEX('[17]Date Master'!R$3:S$332,MATCH($H59,'[17]Date Master'!R$3:R$332,0),2),0)</f>
        <v>0</v>
      </c>
      <c r="U59" s="93">
        <f t="shared" si="6"/>
        <v>9</v>
      </c>
      <c r="V59" s="93" t="str">
        <f t="shared" si="7"/>
        <v>IMCANADAPHY9</v>
      </c>
      <c r="W59" s="93" t="str">
        <f ca="1">IF(ISNA(V59),"-",INDEX([17]Portfolios!A$3:H$827,MATCH(D59,[17]Portfolios!B$3:B$827,0),7)&amp;H59)</f>
        <v>IMCANADA37104</v>
      </c>
      <c r="X59" s="93" t="str">
        <f t="shared" si="8"/>
        <v>IMCANADAM37104</v>
      </c>
      <c r="Y59" s="93" t="str">
        <f t="shared" si="9"/>
        <v>IMCANADAPHY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si="12"/>
        <v>INTRA-CAND-WEST-PHYWADDINGTON/IM</v>
      </c>
    </row>
    <row r="60" spans="1:34" x14ac:dyDescent="0.2">
      <c r="A60" s="95">
        <v>36696</v>
      </c>
      <c r="B60" t="s">
        <v>82</v>
      </c>
      <c r="C60" t="s">
        <v>83</v>
      </c>
      <c r="D60" t="s">
        <v>84</v>
      </c>
      <c r="E60" t="s">
        <v>51</v>
      </c>
      <c r="F60" t="s">
        <v>19</v>
      </c>
      <c r="G60" t="s">
        <v>46</v>
      </c>
      <c r="H60" s="86">
        <v>37135</v>
      </c>
      <c r="I60">
        <v>-194154</v>
      </c>
      <c r="J60" s="82">
        <f t="shared" si="1"/>
        <v>0</v>
      </c>
      <c r="K60" s="82" t="e">
        <f t="shared" si="2"/>
        <v>#N/A</v>
      </c>
      <c r="L60" s="82" t="str">
        <f t="shared" si="3"/>
        <v>GD-CGPR-AECO/AV37135</v>
      </c>
      <c r="M60" s="82">
        <f t="shared" si="4"/>
        <v>-19.415400000000002</v>
      </c>
      <c r="N60" s="82">
        <f t="shared" si="5"/>
        <v>0</v>
      </c>
      <c r="O60" s="93" t="str">
        <f t="shared" si="10"/>
        <v>PHY</v>
      </c>
      <c r="P60" s="93" t="str">
        <f ca="1">INDEX([17]Portfolios!A$3:G$929,MATCH(D60,[17]Portfolios!B$3:B$929,0),7)</f>
        <v>IMCANADA</v>
      </c>
      <c r="Q60" s="93">
        <f ca="1">IF($O60="P",INDEX('[17]Date Master'!I$3:J$332,MATCH($H60,'[17]Date Master'!I$3:I$332,0),2),0)</f>
        <v>0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9</v>
      </c>
      <c r="T60" s="93">
        <f ca="1">IF($O60="G",INDEX('[17]Date Master'!R$3:S$332,MATCH($H60,'[17]Date Master'!R$3:R$332,0),2),0)</f>
        <v>0</v>
      </c>
      <c r="U60" s="93">
        <f t="shared" si="6"/>
        <v>9</v>
      </c>
      <c r="V60" s="93" t="str">
        <f t="shared" si="7"/>
        <v>IMCANADAPHY9</v>
      </c>
      <c r="W60" s="93" t="str">
        <f ca="1">IF(ISNA(V60),"-",INDEX([17]Portfolios!A$3:H$827,MATCH(D60,[17]Portfolios!B$3:B$827,0),7)&amp;H60)</f>
        <v>IMCANADA37135</v>
      </c>
      <c r="X60" s="93" t="str">
        <f t="shared" si="8"/>
        <v>IMCANADAM37135</v>
      </c>
      <c r="Y60" s="93" t="str">
        <f t="shared" si="9"/>
        <v>IMCANADAPHY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si="12"/>
        <v>INTRA-CAND-WEST-PHYWADDINGTON/IM</v>
      </c>
    </row>
    <row r="61" spans="1:34" x14ac:dyDescent="0.2">
      <c r="A61" s="95">
        <v>36696</v>
      </c>
      <c r="B61" t="s">
        <v>82</v>
      </c>
      <c r="C61" t="s">
        <v>83</v>
      </c>
      <c r="D61" t="s">
        <v>84</v>
      </c>
      <c r="E61" t="s">
        <v>51</v>
      </c>
      <c r="F61" t="s">
        <v>19</v>
      </c>
      <c r="G61" t="s">
        <v>46</v>
      </c>
      <c r="H61" s="86">
        <v>37165</v>
      </c>
      <c r="I61">
        <v>-199455</v>
      </c>
      <c r="J61" s="82">
        <f t="shared" si="1"/>
        <v>0</v>
      </c>
      <c r="K61" s="82" t="e">
        <f t="shared" si="2"/>
        <v>#N/A</v>
      </c>
      <c r="L61" s="82" t="str">
        <f t="shared" si="3"/>
        <v>GD-CGPR-AECO/AV37165</v>
      </c>
      <c r="M61" s="82">
        <f t="shared" si="4"/>
        <v>-19.945499999999999</v>
      </c>
      <c r="N61" s="82">
        <f t="shared" si="5"/>
        <v>0</v>
      </c>
      <c r="O61" s="93" t="str">
        <f t="shared" si="10"/>
        <v>PHY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0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9</v>
      </c>
      <c r="T61" s="93">
        <f ca="1">IF($O61="G",INDEX('[17]Date Master'!R$3:S$332,MATCH($H61,'[17]Date Master'!R$3:R$332,0),2),0)</f>
        <v>0</v>
      </c>
      <c r="U61" s="93">
        <f t="shared" si="6"/>
        <v>9</v>
      </c>
      <c r="V61" s="93" t="str">
        <f t="shared" si="7"/>
        <v>IMCANADAPHY9</v>
      </c>
      <c r="W61" s="93" t="str">
        <f ca="1">IF(ISNA(V61),"-",INDEX([17]Portfolios!A$3:H$827,MATCH(D61,[17]Portfolios!B$3:B$827,0),7)&amp;H61)</f>
        <v>IMCANADA37165</v>
      </c>
      <c r="X61" s="93" t="str">
        <f t="shared" si="8"/>
        <v>IMCANADAM37165</v>
      </c>
      <c r="Y61" s="93" t="str">
        <f t="shared" si="9"/>
        <v>IMCANADAPHY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si="12"/>
        <v>INTRA-CAND-WEST-PRCNGMR-AECO/C</v>
      </c>
    </row>
    <row r="62" spans="1:34" x14ac:dyDescent="0.2">
      <c r="A62" s="95">
        <v>36696</v>
      </c>
      <c r="B62" t="s">
        <v>82</v>
      </c>
      <c r="C62" t="s">
        <v>83</v>
      </c>
      <c r="D62" t="s">
        <v>84</v>
      </c>
      <c r="E62" t="s">
        <v>51</v>
      </c>
      <c r="F62" t="s">
        <v>19</v>
      </c>
      <c r="G62" t="s">
        <v>57</v>
      </c>
      <c r="H62" s="86">
        <v>36678</v>
      </c>
      <c r="I62">
        <v>250000</v>
      </c>
      <c r="J62" s="82">
        <f t="shared" si="1"/>
        <v>275000</v>
      </c>
      <c r="K62" s="82">
        <f t="shared" si="2"/>
        <v>1.1000000000000001</v>
      </c>
      <c r="L62" s="82" t="str">
        <f t="shared" si="3"/>
        <v>GDP-HEHUB36678</v>
      </c>
      <c r="M62" s="82">
        <f t="shared" si="4"/>
        <v>25</v>
      </c>
      <c r="N62" s="82">
        <f t="shared" si="5"/>
        <v>27.5</v>
      </c>
      <c r="O62" s="93" t="str">
        <f t="shared" si="10"/>
        <v>G</v>
      </c>
      <c r="P62" s="93" t="str">
        <f ca="1">INDEX([17]Portfolios!A$3:G$929,MATCH(D62,[17]Portfolios!B$3:B$929,0),7)</f>
        <v>IMCANADA</v>
      </c>
      <c r="Q62" s="93">
        <f ca="1">IF($O62="P",INDEX('[17]Date Master'!I$3:J$332,MATCH($H62,'[17]Date Master'!I$3:I$332,0),2),0)</f>
        <v>0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1</v>
      </c>
      <c r="U62" s="93">
        <f t="shared" si="6"/>
        <v>1</v>
      </c>
      <c r="V62" s="93" t="str">
        <f t="shared" si="7"/>
        <v>IMCANADAG1</v>
      </c>
      <c r="W62" s="93" t="str">
        <f ca="1">IF(ISNA(V62),"-",INDEX([17]Portfolios!A$3:H$827,MATCH(D62,[17]Portfolios!B$3:B$827,0),7)&amp;H62)</f>
        <v>IMCANADA36678</v>
      </c>
      <c r="X62" s="93" t="str">
        <f t="shared" si="8"/>
        <v>IMCANADAM36678</v>
      </c>
      <c r="Y62" s="93" t="str">
        <f t="shared" si="9"/>
        <v>IMCANADAG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">
      <c r="A63" s="95">
        <v>36696</v>
      </c>
      <c r="B63" t="s">
        <v>82</v>
      </c>
      <c r="C63" t="s">
        <v>83</v>
      </c>
      <c r="D63" t="s">
        <v>84</v>
      </c>
      <c r="E63" t="s">
        <v>51</v>
      </c>
      <c r="F63" t="s">
        <v>19</v>
      </c>
      <c r="G63" t="s">
        <v>102</v>
      </c>
      <c r="H63" s="86">
        <v>36678</v>
      </c>
      <c r="I63">
        <v>-50000</v>
      </c>
      <c r="J63" s="82">
        <f t="shared" si="1"/>
        <v>0</v>
      </c>
      <c r="K63" s="82" t="e">
        <f t="shared" si="2"/>
        <v>#N/A</v>
      </c>
      <c r="L63" s="82" t="str">
        <f t="shared" si="3"/>
        <v>GDP-KERN/OPAL36678</v>
      </c>
      <c r="M63" s="82">
        <f t="shared" si="4"/>
        <v>-5</v>
      </c>
      <c r="N63" s="82">
        <f t="shared" si="5"/>
        <v>0</v>
      </c>
      <c r="O63" s="93" t="str">
        <f t="shared" si="10"/>
        <v>G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0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1</v>
      </c>
      <c r="U63" s="93">
        <f t="shared" si="6"/>
        <v>1</v>
      </c>
      <c r="V63" s="93" t="str">
        <f t="shared" si="7"/>
        <v>IMCANADAG1</v>
      </c>
      <c r="W63" s="93" t="str">
        <f ca="1">IF(ISNA(V63),"-",INDEX([17]Portfolios!A$3:H$827,MATCH(D63,[17]Portfolios!B$3:B$827,0),7)&amp;H63)</f>
        <v>IMCANADA36678</v>
      </c>
      <c r="X63" s="93" t="str">
        <f t="shared" si="8"/>
        <v>IMCANADAM36678</v>
      </c>
      <c r="Y63" s="93" t="str">
        <f t="shared" si="9"/>
        <v>IMCANADAG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si="13">CONCATENATE(AE63,AF63)</f>
        <v>INTRA-CAND-BC-GD-GDLGDP-HEHUB</v>
      </c>
    </row>
    <row r="64" spans="1:34" x14ac:dyDescent="0.2">
      <c r="A64" s="95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103</v>
      </c>
      <c r="H64" s="86">
        <v>36678</v>
      </c>
      <c r="I64">
        <v>-4392660</v>
      </c>
      <c r="J64" s="82">
        <f t="shared" si="1"/>
        <v>0</v>
      </c>
      <c r="K64" s="82" t="e">
        <f t="shared" si="2"/>
        <v>#N/A</v>
      </c>
      <c r="L64" s="82" t="str">
        <f t="shared" si="3"/>
        <v>CGPR-AECO/BASIS36678</v>
      </c>
      <c r="M64" s="82">
        <f t="shared" si="4"/>
        <v>-439.26600000000002</v>
      </c>
      <c r="N64" s="82">
        <f t="shared" si="5"/>
        <v>0</v>
      </c>
      <c r="O64" s="93" t="str">
        <f t="shared" si="10"/>
        <v>P</v>
      </c>
      <c r="P64" s="93" t="str">
        <f ca="1">INDEX([17]Portfolios!A$3:G$929,MATCH(D64,[17]Portfolios!B$3:B$929,0),7)</f>
        <v>IMCANADA</v>
      </c>
      <c r="Q64" s="93" t="e">
        <f ca="1">IF($O64="P",INDEX('[17]Date Master'!I$3:J$332,MATCH($H64,'[17]Date Master'!I$3:I$332,0),2),0)</f>
        <v>#N/A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 t="e">
        <f t="shared" si="6"/>
        <v>#N/A</v>
      </c>
      <c r="V64" s="93" t="e">
        <f t="shared" si="7"/>
        <v>#N/A</v>
      </c>
      <c r="W64" s="93" t="str">
        <f ca="1">IF(ISNA(V64),"-",INDEX([17]Portfolios!A$3:H$827,MATCH(D64,[17]Portfolios!B$3:B$827,0),7)&amp;H64)</f>
        <v>-</v>
      </c>
      <c r="X64" s="93" t="str">
        <f t="shared" si="8"/>
        <v>-</v>
      </c>
      <c r="Y64" s="93" t="str">
        <f t="shared" si="9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si="13"/>
        <v>INTRA-CAND-BC-GD-GDLGDP-KERN/OPAL</v>
      </c>
    </row>
    <row r="65" spans="1:34" x14ac:dyDescent="0.2">
      <c r="A65" s="9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103</v>
      </c>
      <c r="H65" s="86">
        <v>36708</v>
      </c>
      <c r="I65">
        <v>-2364549</v>
      </c>
      <c r="J65" s="82">
        <f t="shared" si="1"/>
        <v>0</v>
      </c>
      <c r="K65" s="82" t="e">
        <f t="shared" si="2"/>
        <v>#N/A</v>
      </c>
      <c r="L65" s="82" t="str">
        <f t="shared" si="3"/>
        <v>CGPR-AECO/BASIS36708</v>
      </c>
      <c r="M65" s="82">
        <f t="shared" si="4"/>
        <v>-236.45490000000001</v>
      </c>
      <c r="N65" s="82">
        <f t="shared" si="5"/>
        <v>0</v>
      </c>
      <c r="O65" s="93" t="str">
        <f t="shared" si="10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3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si="6"/>
        <v>3</v>
      </c>
      <c r="V65" s="93" t="str">
        <f t="shared" si="7"/>
        <v>IMCANADAP3</v>
      </c>
      <c r="W65" s="93" t="str">
        <f ca="1">IF(ISNA(V65),"-",INDEX([17]Portfolios!A$3:H$827,MATCH(D65,[17]Portfolios!B$3:B$827,0),7)&amp;H65)</f>
        <v>IMCANADA36708</v>
      </c>
      <c r="X65" s="93" t="str">
        <f t="shared" si="8"/>
        <v>IMCANADAP36708</v>
      </c>
      <c r="Y65" s="93" t="str">
        <f t="shared" si="9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si="13"/>
        <v>INTRA-CAND-BC-GD-GDLGDP-NTHWST/CANB</v>
      </c>
    </row>
    <row r="66" spans="1:34" x14ac:dyDescent="0.2">
      <c r="A66" s="95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103</v>
      </c>
      <c r="H66" s="86">
        <v>36739</v>
      </c>
      <c r="I66">
        <v>741983</v>
      </c>
      <c r="J66" s="82">
        <f t="shared" si="1"/>
        <v>0</v>
      </c>
      <c r="K66" s="82" t="e">
        <f t="shared" si="2"/>
        <v>#N/A</v>
      </c>
      <c r="L66" s="82" t="str">
        <f t="shared" si="3"/>
        <v>CGPR-AECO/BASIS36739</v>
      </c>
      <c r="M66" s="82">
        <f t="shared" si="4"/>
        <v>74.198300000000003</v>
      </c>
      <c r="N66" s="82">
        <f t="shared" si="5"/>
        <v>0</v>
      </c>
      <c r="O66" s="93" t="str">
        <f t="shared" si="10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4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si="6"/>
        <v>4</v>
      </c>
      <c r="V66" s="93" t="str">
        <f t="shared" si="7"/>
        <v>IMCANADAP4</v>
      </c>
      <c r="W66" s="93" t="str">
        <f ca="1">IF(ISNA(V66),"-",INDEX([17]Portfolios!A$3:H$827,MATCH(D66,[17]Portfolios!B$3:B$827,0),7)&amp;H66)</f>
        <v>IMCANADA36739</v>
      </c>
      <c r="X66" s="93" t="str">
        <f t="shared" si="8"/>
        <v>IMCANADAP36739</v>
      </c>
      <c r="Y66" s="93" t="str">
        <f t="shared" si="9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si="13"/>
        <v>INTRA-CAND-BC-PRCIF-NTHWST/CANB</v>
      </c>
    </row>
    <row r="67" spans="1:34" x14ac:dyDescent="0.2">
      <c r="A67" s="95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103</v>
      </c>
      <c r="H67" s="86">
        <v>36770</v>
      </c>
      <c r="I67">
        <v>714480</v>
      </c>
      <c r="J67" s="82">
        <f t="shared" si="1"/>
        <v>0</v>
      </c>
      <c r="K67" s="82" t="e">
        <f t="shared" si="2"/>
        <v>#N/A</v>
      </c>
      <c r="L67" s="82" t="str">
        <f t="shared" si="3"/>
        <v>CGPR-AECO/BASIS36770</v>
      </c>
      <c r="M67" s="82">
        <f t="shared" si="4"/>
        <v>71.447999999999993</v>
      </c>
      <c r="N67" s="82">
        <f t="shared" si="5"/>
        <v>0</v>
      </c>
      <c r="O67" s="93" t="str">
        <f t="shared" si="10"/>
        <v>P</v>
      </c>
      <c r="P67" s="93" t="str">
        <f ca="1">INDEX([17]Portfolios!A$3:G$929,MATCH(D67,[17]Portfolios!B$3:B$929,0),7)</f>
        <v>IMCANADA</v>
      </c>
      <c r="Q67" s="93">
        <f ca="1">IF($O67="P",INDEX('[17]Date Master'!I$3:J$332,MATCH($H67,'[17]Date Master'!I$3:I$332,0),2),0)</f>
        <v>5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>
        <f t="shared" si="6"/>
        <v>5</v>
      </c>
      <c r="V67" s="93" t="str">
        <f t="shared" si="7"/>
        <v>IMCANADAP5</v>
      </c>
      <c r="W67" s="93" t="str">
        <f ca="1">IF(ISNA(V67),"-",INDEX([17]Portfolios!A$3:H$827,MATCH(D67,[17]Portfolios!B$3:B$827,0),7)&amp;H67)</f>
        <v>IMCANADA36770</v>
      </c>
      <c r="X67" s="93" t="str">
        <f t="shared" si="8"/>
        <v>IMCANADAP36770</v>
      </c>
      <c r="Y67" s="93" t="str">
        <f t="shared" si="9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si="13"/>
        <v>INTRA-CAND-BC-PRCIF-NTHWST/CANB</v>
      </c>
    </row>
    <row r="68" spans="1:34" x14ac:dyDescent="0.2">
      <c r="A68" s="95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103</v>
      </c>
      <c r="H68" s="86">
        <v>36800</v>
      </c>
      <c r="I68">
        <v>582299</v>
      </c>
      <c r="J68" s="82">
        <f t="shared" si="1"/>
        <v>0</v>
      </c>
      <c r="K68" s="82" t="e">
        <f t="shared" si="2"/>
        <v>#N/A</v>
      </c>
      <c r="L68" s="82" t="str">
        <f t="shared" si="3"/>
        <v>CGPR-AECO/BASIS36800</v>
      </c>
      <c r="M68" s="82">
        <f t="shared" si="4"/>
        <v>58.229900000000001</v>
      </c>
      <c r="N68" s="82">
        <f t="shared" si="5"/>
        <v>0</v>
      </c>
      <c r="O68" s="93" t="str">
        <f t="shared" si="10"/>
        <v>P</v>
      </c>
      <c r="P68" s="93" t="str">
        <f ca="1">INDEX([17]Portfolios!A$3:G$929,MATCH(D68,[17]Portfolios!B$3:B$929,0),7)</f>
        <v>IMCANADA</v>
      </c>
      <c r="Q68" s="93">
        <f ca="1">IF($O68="P",INDEX('[17]Date Master'!I$3:J$332,MATCH($H68,'[17]Date Master'!I$3:I$332,0),2),0)</f>
        <v>6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>
        <f t="shared" si="6"/>
        <v>6</v>
      </c>
      <c r="V68" s="93" t="str">
        <f t="shared" si="7"/>
        <v>IMCANADAP6</v>
      </c>
      <c r="W68" s="93" t="str">
        <f ca="1">IF(ISNA(V68),"-",INDEX([17]Portfolios!A$3:H$827,MATCH(D68,[17]Portfolios!B$3:B$827,0),7)&amp;H68)</f>
        <v>IMCANADA36800</v>
      </c>
      <c r="X68" s="93" t="str">
        <f t="shared" si="8"/>
        <v>IMCANADAP36800</v>
      </c>
      <c r="Y68" s="93" t="str">
        <f t="shared" si="9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si="13"/>
        <v>INTRA-CAND-BC-PRCIF-NTHWST/CANBR</v>
      </c>
    </row>
    <row r="69" spans="1:34" x14ac:dyDescent="0.2">
      <c r="A69" s="95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104</v>
      </c>
      <c r="H69" s="86">
        <v>36678</v>
      </c>
      <c r="I69">
        <v>-900000</v>
      </c>
      <c r="J69" s="82">
        <f t="shared" si="1"/>
        <v>0</v>
      </c>
      <c r="K69" s="82" t="e">
        <f t="shared" si="2"/>
        <v>#N/A</v>
      </c>
      <c r="L69" s="82" t="str">
        <f t="shared" si="3"/>
        <v>IF-NWPL_ROCKY_M36678</v>
      </c>
      <c r="M69" s="82">
        <f t="shared" si="4"/>
        <v>-90</v>
      </c>
      <c r="N69" s="82">
        <f t="shared" si="5"/>
        <v>0</v>
      </c>
      <c r="O69" s="93" t="str">
        <f t="shared" si="10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si="6"/>
        <v>#N/A</v>
      </c>
      <c r="V69" s="93" t="e">
        <f t="shared" si="7"/>
        <v>#N/A</v>
      </c>
      <c r="W69" s="93" t="str">
        <f ca="1">IF(ISNA(V69),"-",INDEX([17]Portfolios!A$3:H$827,MATCH(D69,[17]Portfolios!B$3:B$827,0),7)&amp;H69)</f>
        <v>-</v>
      </c>
      <c r="X69" s="93" t="str">
        <f t="shared" si="8"/>
        <v>-</v>
      </c>
      <c r="Y69" s="93" t="str">
        <f t="shared" si="9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si="13"/>
        <v>INTRA-CAND-BC-PRCIF-NTHWST/CANBR</v>
      </c>
    </row>
    <row r="70" spans="1:34" x14ac:dyDescent="0.2">
      <c r="A70" s="95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104</v>
      </c>
      <c r="H70" s="86">
        <v>36708</v>
      </c>
      <c r="I70">
        <v>0</v>
      </c>
      <c r="J70" s="82">
        <f t="shared" si="1"/>
        <v>0</v>
      </c>
      <c r="K70" s="82" t="e">
        <f t="shared" si="2"/>
        <v>#N/A</v>
      </c>
      <c r="L70" s="82" t="str">
        <f t="shared" si="3"/>
        <v>IF-NWPL_ROCKY_M36708</v>
      </c>
      <c r="M70" s="82">
        <f t="shared" si="4"/>
        <v>0</v>
      </c>
      <c r="N70" s="82">
        <f t="shared" si="5"/>
        <v>0</v>
      </c>
      <c r="O70" s="93" t="str">
        <f t="shared" si="10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si="6"/>
        <v>3</v>
      </c>
      <c r="V70" s="93" t="str">
        <f t="shared" si="7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si="8"/>
        <v>IMCANADAP36708</v>
      </c>
      <c r="Y70" s="93" t="str">
        <f t="shared" si="9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si="13"/>
        <v>INTRA-CAND-BC-PRCIF-NTHWST/CANBR</v>
      </c>
    </row>
    <row r="71" spans="1:34" x14ac:dyDescent="0.2">
      <c r="A71" s="95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86</v>
      </c>
      <c r="H71" s="86">
        <v>36678</v>
      </c>
      <c r="I71">
        <v>0</v>
      </c>
      <c r="J71" s="82">
        <f t="shared" si="1"/>
        <v>0</v>
      </c>
      <c r="K71" s="82">
        <f t="shared" si="2"/>
        <v>1</v>
      </c>
      <c r="L71" s="82" t="str">
        <f t="shared" si="3"/>
        <v>NG36678</v>
      </c>
      <c r="M71" s="82">
        <f t="shared" si="4"/>
        <v>0</v>
      </c>
      <c r="N71" s="82">
        <f t="shared" si="5"/>
        <v>0</v>
      </c>
      <c r="O71" s="93" t="str">
        <f t="shared" si="10"/>
        <v>P</v>
      </c>
      <c r="P71" s="93" t="str">
        <f ca="1">INDEX([17]Portfolios!A$3:G$929,MATCH(D71,[17]Portfolios!B$3:B$929,0),7)</f>
        <v>IMCANADA</v>
      </c>
      <c r="Q71" s="93" t="e">
        <f ca="1">IF($O71="P",INDEX('[17]Date Master'!I$3:J$332,MATCH($H71,'[17]Date Master'!I$3:I$332,0),2),0)</f>
        <v>#N/A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 t="e">
        <f t="shared" si="6"/>
        <v>#N/A</v>
      </c>
      <c r="V71" s="93" t="e">
        <f t="shared" si="7"/>
        <v>#N/A</v>
      </c>
      <c r="W71" s="93" t="str">
        <f ca="1">IF(ISNA(V71),"-",INDEX([17]Portfolios!A$3:H$827,MATCH(D71,[17]Portfolios!B$3:B$827,0),7)&amp;H71)</f>
        <v>-</v>
      </c>
      <c r="X71" s="93" t="str">
        <f t="shared" si="8"/>
        <v>-</v>
      </c>
      <c r="Y71" s="93" t="str">
        <f t="shared" si="9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si="13"/>
        <v>INTRA-CAND-BC-PRCIF-NTHWST/CANBR</v>
      </c>
    </row>
    <row r="72" spans="1:34" x14ac:dyDescent="0.2">
      <c r="A72" s="95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86</v>
      </c>
      <c r="H72" s="86">
        <v>36708</v>
      </c>
      <c r="I72">
        <v>-2949345</v>
      </c>
      <c r="J72" s="82">
        <f t="shared" si="1"/>
        <v>-2949345</v>
      </c>
      <c r="K72" s="82">
        <f t="shared" si="2"/>
        <v>1</v>
      </c>
      <c r="L72" s="82" t="str">
        <f t="shared" si="3"/>
        <v>NG36708</v>
      </c>
      <c r="M72" s="82">
        <f t="shared" si="4"/>
        <v>-294.93450000000001</v>
      </c>
      <c r="N72" s="82">
        <f t="shared" si="5"/>
        <v>-294.93450000000001</v>
      </c>
      <c r="O72" s="93" t="str">
        <f t="shared" si="10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3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si="6"/>
        <v>3</v>
      </c>
      <c r="V72" s="93" t="str">
        <f t="shared" si="7"/>
        <v>IMCANADAP3</v>
      </c>
      <c r="W72" s="93" t="str">
        <f ca="1">IF(ISNA(V72),"-",INDEX([17]Portfolios!A$3:H$827,MATCH(D72,[17]Portfolios!B$3:B$827,0),7)&amp;H72)</f>
        <v>IMCANADA36708</v>
      </c>
      <c r="X72" s="93" t="str">
        <f t="shared" si="8"/>
        <v>IMCANADAP36708</v>
      </c>
      <c r="Y72" s="93" t="str">
        <f t="shared" si="9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si="13"/>
        <v>INTRA-CAND-BC-PRCIF-NTHWST/CANBR</v>
      </c>
    </row>
    <row r="73" spans="1:34" x14ac:dyDescent="0.2">
      <c r="A73" s="95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86</v>
      </c>
      <c r="H73" s="86">
        <v>36739</v>
      </c>
      <c r="I73">
        <v>615754</v>
      </c>
      <c r="J73" s="82">
        <f t="shared" ref="J73:J82" si="14">IF(ISNA(K73),0,(I73*K73))</f>
        <v>615754</v>
      </c>
      <c r="K73" s="82">
        <f t="shared" ref="K73:K82" si="15">VLOOKUP(G73,CurveTable,2,FALSE)</f>
        <v>1</v>
      </c>
      <c r="L73" s="82" t="str">
        <f t="shared" ref="L73:L82" si="16">G73&amp;H73</f>
        <v>NG36739</v>
      </c>
      <c r="M73" s="82">
        <f t="shared" ref="M73:M82" si="17">SUM(I73/UOM)</f>
        <v>61.575400000000002</v>
      </c>
      <c r="N73" s="82">
        <f t="shared" ref="N73:N82" si="18">SUM(J73/UOM)</f>
        <v>61.575400000000002</v>
      </c>
      <c r="O73" s="93" t="str">
        <f t="shared" si="10"/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4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t="shared" ref="U73:U82" si="19">SUM(Q73:T73)</f>
        <v>4</v>
      </c>
      <c r="V73" s="93" t="str">
        <f t="shared" ref="V73:V82" si="20">P73&amp;O73&amp;U73</f>
        <v>IMCANADAP4</v>
      </c>
      <c r="W73" s="93" t="str">
        <f ca="1">IF(ISNA(V73),"-",INDEX([17]Portfolios!A$3:H$827,MATCH(D73,[17]Portfolios!B$3:B$827,0),7)&amp;H73)</f>
        <v>IMCANADA36739</v>
      </c>
      <c r="X73" s="93" t="str">
        <f t="shared" ref="X73:X82" si="21">IF(ISNA(V73),"-",P73&amp;E73&amp;H73)</f>
        <v>IMCANADAP36739</v>
      </c>
      <c r="Y73" s="93" t="str">
        <f t="shared" ref="Y73:Y82" si="22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si="13"/>
        <v>INTRA-CAND-BC-PRCIF-NWPL_ROCKY_M</v>
      </c>
    </row>
    <row r="74" spans="1:34" x14ac:dyDescent="0.2">
      <c r="A74" s="95">
        <v>36696</v>
      </c>
      <c r="B74" t="s">
        <v>82</v>
      </c>
      <c r="C74" t="s">
        <v>83</v>
      </c>
      <c r="D74" t="s">
        <v>101</v>
      </c>
      <c r="E74" t="s">
        <v>21</v>
      </c>
      <c r="G74" t="s">
        <v>86</v>
      </c>
      <c r="H74" s="86">
        <v>36770</v>
      </c>
      <c r="I74">
        <v>741162</v>
      </c>
      <c r="J74" s="82">
        <f t="shared" si="14"/>
        <v>741162</v>
      </c>
      <c r="K74" s="82">
        <f t="shared" si="15"/>
        <v>1</v>
      </c>
      <c r="L74" s="82" t="str">
        <f t="shared" si="16"/>
        <v>NG36770</v>
      </c>
      <c r="M74" s="82">
        <f t="shared" si="17"/>
        <v>74.116200000000006</v>
      </c>
      <c r="N74" s="82">
        <f t="shared" si="18"/>
        <v>74.116200000000006</v>
      </c>
      <c r="O74" s="93" t="str">
        <f t="shared" ref="O74:O82" si="23">INDEX(AG$2:AH$200,MATCH(D74&amp;G74,AH$2:AH$200,0),1)</f>
        <v>P</v>
      </c>
      <c r="P74" s="93" t="str">
        <f ca="1">INDEX([17]Portfolios!A$3:G$929,MATCH(D74,[17]Portfolios!B$3:B$929,0),7)</f>
        <v>IMCANADA</v>
      </c>
      <c r="Q74" s="93">
        <f ca="1">IF($O74="P",INDEX('[17]Date Master'!I$3:J$332,MATCH($H74,'[17]Date Master'!I$3:I$332,0),2),0)</f>
        <v>5</v>
      </c>
      <c r="R74" s="93">
        <f ca="1">IF($O74="D",INDEX('[17]Date Master'!O$3:P$332,MATCH($H74,'[17]Date Master'!O$3:O$332,0),2),0)</f>
        <v>0</v>
      </c>
      <c r="S74" s="93">
        <f ca="1">IF($O74="PHY",INDEX('[17]Date Master'!R$3:S$332,MATCH($H74,'[17]Date Master'!R$3:R$332,0),2),0)</f>
        <v>0</v>
      </c>
      <c r="T74" s="93">
        <f ca="1">IF($O74="G",INDEX('[17]Date Master'!R$3:S$332,MATCH($H74,'[17]Date Master'!R$3:R$332,0),2),0)</f>
        <v>0</v>
      </c>
      <c r="U74" s="93">
        <f t="shared" si="19"/>
        <v>5</v>
      </c>
      <c r="V74" s="93" t="str">
        <f t="shared" si="20"/>
        <v>IMCANADAP5</v>
      </c>
      <c r="W74" s="93" t="str">
        <f ca="1">IF(ISNA(V74),"-",INDEX([17]Portfolios!A$3:H$827,MATCH(D74,[17]Portfolios!B$3:B$827,0),7)&amp;H74)</f>
        <v>IMCANADA36770</v>
      </c>
      <c r="X74" s="93" t="str">
        <f t="shared" si="21"/>
        <v>IMCANADAP36770</v>
      </c>
      <c r="Y74" s="93" t="str">
        <f t="shared" si="22"/>
        <v>IMCANADAP</v>
      </c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">
      <c r="A75" s="95">
        <v>36696</v>
      </c>
      <c r="B75" t="s">
        <v>82</v>
      </c>
      <c r="C75" t="s">
        <v>83</v>
      </c>
      <c r="D75" t="s">
        <v>101</v>
      </c>
      <c r="E75" t="s">
        <v>21</v>
      </c>
      <c r="G75" t="s">
        <v>86</v>
      </c>
      <c r="H75" s="86">
        <v>36800</v>
      </c>
      <c r="I75">
        <v>1047371</v>
      </c>
      <c r="J75" s="82">
        <f t="shared" si="14"/>
        <v>1047371</v>
      </c>
      <c r="K75" s="82">
        <f t="shared" si="15"/>
        <v>1</v>
      </c>
      <c r="L75" s="82" t="str">
        <f t="shared" si="16"/>
        <v>NG36800</v>
      </c>
      <c r="M75" s="82">
        <f t="shared" si="17"/>
        <v>104.7371</v>
      </c>
      <c r="N75" s="82">
        <f t="shared" si="18"/>
        <v>104.7371</v>
      </c>
      <c r="O75" s="93" t="str">
        <f t="shared" si="23"/>
        <v>P</v>
      </c>
      <c r="P75" s="93" t="str">
        <f ca="1">INDEX([17]Portfolios!A$3:G$929,MATCH(D75,[17]Portfolios!B$3:B$929,0),7)</f>
        <v>IMCANADA</v>
      </c>
      <c r="Q75" s="93">
        <f ca="1">IF($O75="P",INDEX('[17]Date Master'!I$3:J$332,MATCH($H75,'[17]Date Master'!I$3:I$332,0),2),0)</f>
        <v>6</v>
      </c>
      <c r="R75" s="93">
        <f ca="1">IF($O75="D",INDEX('[17]Date Master'!O$3:P$332,MATCH($H75,'[17]Date Master'!O$3:O$332,0),2),0)</f>
        <v>0</v>
      </c>
      <c r="S75" s="93">
        <f ca="1">IF($O75="PHY",INDEX('[17]Date Master'!R$3:S$332,MATCH($H75,'[17]Date Master'!R$3:R$332,0),2),0)</f>
        <v>0</v>
      </c>
      <c r="T75" s="93">
        <f ca="1">IF($O75="G",INDEX('[17]Date Master'!R$3:S$332,MATCH($H75,'[17]Date Master'!R$3:R$332,0),2),0)</f>
        <v>0</v>
      </c>
      <c r="U75" s="93">
        <f t="shared" si="19"/>
        <v>6</v>
      </c>
      <c r="V75" s="93" t="str">
        <f t="shared" si="20"/>
        <v>IMCANADAP6</v>
      </c>
      <c r="W75" s="93" t="str">
        <f ca="1">IF(ISNA(V75),"-",INDEX([17]Portfolios!A$3:H$827,MATCH(D75,[17]Portfolios!B$3:B$827,0),7)&amp;H75)</f>
        <v>IMCANADA36800</v>
      </c>
      <c r="X75" s="93" t="str">
        <f t="shared" si="21"/>
        <v>IMCANADAP36800</v>
      </c>
      <c r="Y75" s="93" t="str">
        <f t="shared" si="22"/>
        <v>IMCANADAP</v>
      </c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">
      <c r="A76" s="95">
        <v>36696</v>
      </c>
      <c r="B76" t="s">
        <v>82</v>
      </c>
      <c r="C76" t="s">
        <v>83</v>
      </c>
      <c r="D76" t="s">
        <v>101</v>
      </c>
      <c r="E76" t="s">
        <v>21</v>
      </c>
      <c r="G76" t="s">
        <v>114</v>
      </c>
      <c r="H76" s="86">
        <v>36678</v>
      </c>
      <c r="I76">
        <v>0</v>
      </c>
      <c r="J76" s="82">
        <f t="shared" si="14"/>
        <v>0</v>
      </c>
      <c r="K76" s="82" t="e">
        <f t="shared" si="15"/>
        <v>#N/A</v>
      </c>
      <c r="L76" s="82" t="str">
        <f t="shared" si="16"/>
        <v>NGGJ36678</v>
      </c>
      <c r="M76" s="82">
        <f t="shared" si="17"/>
        <v>0</v>
      </c>
      <c r="N76" s="82">
        <f t="shared" si="18"/>
        <v>0</v>
      </c>
      <c r="O76" s="93" t="str">
        <f t="shared" si="23"/>
        <v>P</v>
      </c>
      <c r="P76" s="93" t="str">
        <f ca="1">INDEX([17]Portfolios!A$3:G$929,MATCH(D76,[17]Portfolios!B$3:B$929,0),7)</f>
        <v>IMCANADA</v>
      </c>
      <c r="Q76" s="93" t="e">
        <f ca="1">IF($O76="P",INDEX('[17]Date Master'!I$3:J$332,MATCH($H76,'[17]Date Master'!I$3:I$332,0),2),0)</f>
        <v>#N/A</v>
      </c>
      <c r="R76" s="93">
        <f ca="1">IF($O76="D",INDEX('[17]Date Master'!O$3:P$332,MATCH($H76,'[17]Date Master'!O$3:O$332,0),2),0)</f>
        <v>0</v>
      </c>
      <c r="S76" s="93">
        <f ca="1">IF($O76="PHY",INDEX('[17]Date Master'!R$3:S$332,MATCH($H76,'[17]Date Master'!R$3:R$332,0),2),0)</f>
        <v>0</v>
      </c>
      <c r="T76" s="93">
        <f ca="1">IF($O76="G",INDEX('[17]Date Master'!R$3:S$332,MATCH($H76,'[17]Date Master'!R$3:R$332,0),2),0)</f>
        <v>0</v>
      </c>
      <c r="U76" s="93" t="e">
        <f t="shared" si="19"/>
        <v>#N/A</v>
      </c>
      <c r="V76" s="93" t="e">
        <f t="shared" si="20"/>
        <v>#N/A</v>
      </c>
      <c r="W76" s="93" t="str">
        <f ca="1">IF(ISNA(V76),"-",INDEX([17]Portfolios!A$3:H$827,MATCH(D76,[17]Portfolios!B$3:B$827,0),7)&amp;H76)</f>
        <v>-</v>
      </c>
      <c r="X76" s="93" t="str">
        <f t="shared" si="21"/>
        <v>-</v>
      </c>
      <c r="Y76" s="93" t="str">
        <f t="shared" si="22"/>
        <v>IMCANADAP</v>
      </c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">
      <c r="A77" s="95">
        <v>36696</v>
      </c>
      <c r="B77" t="s">
        <v>82</v>
      </c>
      <c r="C77" t="s">
        <v>83</v>
      </c>
      <c r="D77" t="s">
        <v>101</v>
      </c>
      <c r="E77" t="s">
        <v>21</v>
      </c>
      <c r="G77" t="s">
        <v>115</v>
      </c>
      <c r="H77" s="86">
        <v>36678</v>
      </c>
      <c r="I77">
        <v>150000</v>
      </c>
      <c r="J77" s="82">
        <f t="shared" si="14"/>
        <v>0</v>
      </c>
      <c r="K77" s="82" t="e">
        <f t="shared" si="15"/>
        <v>#N/A</v>
      </c>
      <c r="L77" s="82" t="str">
        <f t="shared" si="16"/>
        <v>NGI-MALIN36678</v>
      </c>
      <c r="M77" s="82">
        <f t="shared" si="17"/>
        <v>15</v>
      </c>
      <c r="N77" s="82">
        <f t="shared" si="18"/>
        <v>0</v>
      </c>
      <c r="O77" s="93" t="str">
        <f t="shared" si="23"/>
        <v>P</v>
      </c>
      <c r="P77" s="93" t="str">
        <f ca="1">INDEX([17]Portfolios!A$3:G$929,MATCH(D77,[17]Portfolios!B$3:B$929,0),7)</f>
        <v>IMCANADA</v>
      </c>
      <c r="Q77" s="93" t="e">
        <f ca="1">IF($O77="P",INDEX('[17]Date Master'!I$3:J$332,MATCH($H77,'[17]Date Master'!I$3:I$332,0),2),0)</f>
        <v>#N/A</v>
      </c>
      <c r="R77" s="93">
        <f ca="1">IF($O77="D",INDEX('[17]Date Master'!O$3:P$332,MATCH($H77,'[17]Date Master'!O$3:O$332,0),2),0)</f>
        <v>0</v>
      </c>
      <c r="S77" s="93">
        <f ca="1">IF($O77="PHY",INDEX('[17]Date Master'!R$3:S$332,MATCH($H77,'[17]Date Master'!R$3:R$332,0),2),0)</f>
        <v>0</v>
      </c>
      <c r="T77" s="93">
        <f ca="1">IF($O77="G",INDEX('[17]Date Master'!R$3:S$332,MATCH($H77,'[17]Date Master'!R$3:R$332,0),2),0)</f>
        <v>0</v>
      </c>
      <c r="U77" s="93" t="e">
        <f t="shared" si="19"/>
        <v>#N/A</v>
      </c>
      <c r="V77" s="93" t="e">
        <f t="shared" si="20"/>
        <v>#N/A</v>
      </c>
      <c r="W77" s="93" t="str">
        <f ca="1">IF(ISNA(V77),"-",INDEX([17]Portfolios!A$3:H$827,MATCH(D77,[17]Portfolios!B$3:B$827,0),7)&amp;H77)</f>
        <v>-</v>
      </c>
      <c r="X77" s="93" t="str">
        <f t="shared" si="21"/>
        <v>-</v>
      </c>
      <c r="Y77" s="93" t="str">
        <f t="shared" si="22"/>
        <v>IMCANADAP</v>
      </c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">
      <c r="A78" s="95">
        <v>36696</v>
      </c>
      <c r="B78" t="s">
        <v>82</v>
      </c>
      <c r="C78" t="s">
        <v>83</v>
      </c>
      <c r="D78" t="s">
        <v>101</v>
      </c>
      <c r="E78" t="s">
        <v>21</v>
      </c>
      <c r="G78" t="s">
        <v>88</v>
      </c>
      <c r="H78" s="86">
        <v>36678</v>
      </c>
      <c r="I78">
        <v>-335527</v>
      </c>
      <c r="J78" s="82">
        <f t="shared" si="14"/>
        <v>-268421.60000000003</v>
      </c>
      <c r="K78" s="82">
        <f t="shared" si="15"/>
        <v>0.8</v>
      </c>
      <c r="L78" s="82" t="str">
        <f t="shared" si="16"/>
        <v>NGMR-AECO/C36678</v>
      </c>
      <c r="M78" s="82">
        <f t="shared" si="17"/>
        <v>-33.552700000000002</v>
      </c>
      <c r="N78" s="82">
        <f t="shared" si="18"/>
        <v>-26.842160000000003</v>
      </c>
      <c r="O78" s="93" t="str">
        <f t="shared" si="23"/>
        <v>P</v>
      </c>
      <c r="P78" s="93" t="str">
        <f ca="1">INDEX([17]Portfolios!A$3:G$929,MATCH(D78,[17]Portfolios!B$3:B$929,0),7)</f>
        <v>IMCANADA</v>
      </c>
      <c r="Q78" s="93" t="e">
        <f ca="1">IF($O78="P",INDEX('[17]Date Master'!I$3:J$332,MATCH($H78,'[17]Date Master'!I$3:I$332,0),2),0)</f>
        <v>#N/A</v>
      </c>
      <c r="R78" s="93">
        <f ca="1">IF($O78="D",INDEX('[17]Date Master'!O$3:P$332,MATCH($H78,'[17]Date Master'!O$3:O$332,0),2),0)</f>
        <v>0</v>
      </c>
      <c r="S78" s="93">
        <f ca="1">IF($O78="PHY",INDEX('[17]Date Master'!R$3:S$332,MATCH($H78,'[17]Date Master'!R$3:R$332,0),2),0)</f>
        <v>0</v>
      </c>
      <c r="T78" s="93">
        <f ca="1">IF($O78="G",INDEX('[17]Date Master'!R$3:S$332,MATCH($H78,'[17]Date Master'!R$3:R$332,0),2),0)</f>
        <v>0</v>
      </c>
      <c r="U78" s="93" t="e">
        <f t="shared" si="19"/>
        <v>#N/A</v>
      </c>
      <c r="V78" s="93" t="e">
        <f t="shared" si="20"/>
        <v>#N/A</v>
      </c>
      <c r="W78" s="93" t="str">
        <f ca="1">IF(ISNA(V78),"-",INDEX([17]Portfolios!A$3:H$827,MATCH(D78,[17]Portfolios!B$3:B$827,0),7)&amp;H78)</f>
        <v>-</v>
      </c>
      <c r="X78" s="93" t="str">
        <f t="shared" si="21"/>
        <v>-</v>
      </c>
      <c r="Y78" s="93" t="str">
        <f t="shared" si="22"/>
        <v>IMCANADAP</v>
      </c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">
      <c r="A79" s="95">
        <v>36696</v>
      </c>
      <c r="B79" t="s">
        <v>82</v>
      </c>
      <c r="C79" t="s">
        <v>83</v>
      </c>
      <c r="D79" t="s">
        <v>101</v>
      </c>
      <c r="E79" t="s">
        <v>21</v>
      </c>
      <c r="G79" t="s">
        <v>88</v>
      </c>
      <c r="H79" s="86">
        <v>36708</v>
      </c>
      <c r="I79">
        <v>-2724395</v>
      </c>
      <c r="J79" s="82">
        <f t="shared" si="14"/>
        <v>-2179516</v>
      </c>
      <c r="K79" s="82">
        <f t="shared" si="15"/>
        <v>0.8</v>
      </c>
      <c r="L79" s="82" t="str">
        <f t="shared" si="16"/>
        <v>NGMR-AECO/C36708</v>
      </c>
      <c r="M79" s="82">
        <f t="shared" si="17"/>
        <v>-272.43950000000001</v>
      </c>
      <c r="N79" s="82">
        <f t="shared" si="18"/>
        <v>-217.95160000000001</v>
      </c>
      <c r="O79" s="93" t="str">
        <f t="shared" si="23"/>
        <v>P</v>
      </c>
      <c r="P79" s="93" t="str">
        <f ca="1">INDEX([17]Portfolios!A$3:G$929,MATCH(D79,[17]Portfolios!B$3:B$929,0),7)</f>
        <v>IMCANADA</v>
      </c>
      <c r="Q79" s="93">
        <f ca="1">IF($O79="P",INDEX('[17]Date Master'!I$3:J$332,MATCH($H79,'[17]Date Master'!I$3:I$332,0),2),0)</f>
        <v>3</v>
      </c>
      <c r="R79" s="93">
        <f ca="1">IF($O79="D",INDEX('[17]Date Master'!O$3:P$332,MATCH($H79,'[17]Date Master'!O$3:O$332,0),2),0)</f>
        <v>0</v>
      </c>
      <c r="S79" s="93">
        <f ca="1">IF($O79="PHY",INDEX('[17]Date Master'!R$3:S$332,MATCH($H79,'[17]Date Master'!R$3:R$332,0),2),0)</f>
        <v>0</v>
      </c>
      <c r="T79" s="93">
        <f ca="1">IF($O79="G",INDEX('[17]Date Master'!R$3:S$332,MATCH($H79,'[17]Date Master'!R$3:R$332,0),2),0)</f>
        <v>0</v>
      </c>
      <c r="U79" s="93">
        <f t="shared" si="19"/>
        <v>3</v>
      </c>
      <c r="V79" s="93" t="str">
        <f t="shared" si="20"/>
        <v>IMCANADAP3</v>
      </c>
      <c r="W79" s="93" t="str">
        <f ca="1">IF(ISNA(V79),"-",INDEX([17]Portfolios!A$3:H$827,MATCH(D79,[17]Portfolios!B$3:B$827,0),7)&amp;H79)</f>
        <v>IMCANADA36708</v>
      </c>
      <c r="X79" s="93" t="str">
        <f t="shared" si="21"/>
        <v>IMCANADAP36708</v>
      </c>
      <c r="Y79" s="93" t="str">
        <f t="shared" si="22"/>
        <v>IMCANADAP</v>
      </c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">
      <c r="A80" s="95">
        <v>36696</v>
      </c>
      <c r="B80" t="s">
        <v>82</v>
      </c>
      <c r="C80" t="s">
        <v>83</v>
      </c>
      <c r="D80" t="s">
        <v>101</v>
      </c>
      <c r="E80" t="s">
        <v>21</v>
      </c>
      <c r="G80" t="s">
        <v>88</v>
      </c>
      <c r="H80" s="86">
        <v>36739</v>
      </c>
      <c r="I80">
        <v>2246944</v>
      </c>
      <c r="J80" s="82">
        <f t="shared" si="14"/>
        <v>1797555.2000000002</v>
      </c>
      <c r="K80" s="82">
        <f t="shared" si="15"/>
        <v>0.8</v>
      </c>
      <c r="L80" s="82" t="str">
        <f t="shared" si="16"/>
        <v>NGMR-AECO/C36739</v>
      </c>
      <c r="M80" s="82">
        <f t="shared" si="17"/>
        <v>224.6944</v>
      </c>
      <c r="N80" s="82">
        <f t="shared" si="18"/>
        <v>179.75552000000002</v>
      </c>
      <c r="O80" s="93" t="str">
        <f t="shared" si="23"/>
        <v>P</v>
      </c>
      <c r="P80" s="93" t="str">
        <f ca="1">INDEX([17]Portfolios!A$3:G$929,MATCH(D80,[17]Portfolios!B$3:B$929,0),7)</f>
        <v>IMCANADA</v>
      </c>
      <c r="Q80" s="93">
        <f ca="1">IF($O80="P",INDEX('[17]Date Master'!I$3:J$332,MATCH($H80,'[17]Date Master'!I$3:I$332,0),2),0)</f>
        <v>4</v>
      </c>
      <c r="R80" s="93">
        <f ca="1">IF($O80="D",INDEX('[17]Date Master'!O$3:P$332,MATCH($H80,'[17]Date Master'!O$3:O$332,0),2),0)</f>
        <v>0</v>
      </c>
      <c r="S80" s="93">
        <f ca="1">IF($O80="PHY",INDEX('[17]Date Master'!R$3:S$332,MATCH($H80,'[17]Date Master'!R$3:R$332,0),2),0)</f>
        <v>0</v>
      </c>
      <c r="T80" s="93">
        <f ca="1">IF($O80="G",INDEX('[17]Date Master'!R$3:S$332,MATCH($H80,'[17]Date Master'!R$3:R$332,0),2),0)</f>
        <v>0</v>
      </c>
      <c r="U80" s="93">
        <f t="shared" si="19"/>
        <v>4</v>
      </c>
      <c r="V80" s="93" t="str">
        <f t="shared" si="20"/>
        <v>IMCANADAP4</v>
      </c>
      <c r="W80" s="93" t="str">
        <f ca="1">IF(ISNA(V80),"-",INDEX([17]Portfolios!A$3:H$827,MATCH(D80,[17]Portfolios!B$3:B$827,0),7)&amp;H80)</f>
        <v>IMCANADA36739</v>
      </c>
      <c r="X80" s="93" t="str">
        <f t="shared" si="21"/>
        <v>IMCANADAP36739</v>
      </c>
      <c r="Y80" s="93" t="str">
        <f t="shared" si="22"/>
        <v>IMCANADAP</v>
      </c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1:34" x14ac:dyDescent="0.2">
      <c r="A81" s="95">
        <v>36696</v>
      </c>
      <c r="B81" t="s">
        <v>82</v>
      </c>
      <c r="C81" t="s">
        <v>83</v>
      </c>
      <c r="D81" t="s">
        <v>101</v>
      </c>
      <c r="E81" t="s">
        <v>21</v>
      </c>
      <c r="G81" t="s">
        <v>88</v>
      </c>
      <c r="H81" s="86">
        <v>36770</v>
      </c>
      <c r="I81">
        <v>561989</v>
      </c>
      <c r="J81" s="82">
        <f t="shared" si="14"/>
        <v>449591.2</v>
      </c>
      <c r="K81" s="82">
        <f t="shared" si="15"/>
        <v>0.8</v>
      </c>
      <c r="L81" s="82" t="str">
        <f t="shared" si="16"/>
        <v>NGMR-AECO/C36770</v>
      </c>
      <c r="M81" s="82">
        <f t="shared" si="17"/>
        <v>56.198900000000002</v>
      </c>
      <c r="N81" s="82">
        <f t="shared" si="18"/>
        <v>44.959119999999999</v>
      </c>
      <c r="O81" s="93" t="str">
        <f t="shared" si="23"/>
        <v>P</v>
      </c>
      <c r="P81" s="93" t="str">
        <f ca="1">INDEX([17]Portfolios!A$3:G$929,MATCH(D81,[17]Portfolios!B$3:B$929,0),7)</f>
        <v>IMCANADA</v>
      </c>
      <c r="Q81" s="93">
        <f ca="1">IF($O81="P",INDEX('[17]Date Master'!I$3:J$332,MATCH($H81,'[17]Date Master'!I$3:I$332,0),2),0)</f>
        <v>5</v>
      </c>
      <c r="R81" s="93">
        <f ca="1">IF($O81="D",INDEX('[17]Date Master'!O$3:P$332,MATCH($H81,'[17]Date Master'!O$3:O$332,0),2),0)</f>
        <v>0</v>
      </c>
      <c r="S81" s="93">
        <f ca="1">IF($O81="PHY",INDEX('[17]Date Master'!R$3:S$332,MATCH($H81,'[17]Date Master'!R$3:R$332,0),2),0)</f>
        <v>0</v>
      </c>
      <c r="T81" s="93">
        <f ca="1">IF($O81="G",INDEX('[17]Date Master'!R$3:S$332,MATCH($H81,'[17]Date Master'!R$3:R$332,0),2),0)</f>
        <v>0</v>
      </c>
      <c r="U81" s="93">
        <f t="shared" si="19"/>
        <v>5</v>
      </c>
      <c r="V81" s="93" t="str">
        <f t="shared" si="20"/>
        <v>IMCANADAP5</v>
      </c>
      <c r="W81" s="93" t="str">
        <f ca="1">IF(ISNA(V81),"-",INDEX([17]Portfolios!A$3:H$827,MATCH(D81,[17]Portfolios!B$3:B$827,0),7)&amp;H81)</f>
        <v>IMCANADA36770</v>
      </c>
      <c r="X81" s="93" t="str">
        <f t="shared" si="21"/>
        <v>IMCANADAP36770</v>
      </c>
      <c r="Y81" s="93" t="str">
        <f t="shared" si="22"/>
        <v>IMCANADAP</v>
      </c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1:34" x14ac:dyDescent="0.2">
      <c r="A82" s="95">
        <v>36696</v>
      </c>
      <c r="B82" t="s">
        <v>82</v>
      </c>
      <c r="C82" t="s">
        <v>83</v>
      </c>
      <c r="D82" t="s">
        <v>101</v>
      </c>
      <c r="E82" t="s">
        <v>21</v>
      </c>
      <c r="G82" t="s">
        <v>88</v>
      </c>
      <c r="H82" s="86">
        <v>36800</v>
      </c>
      <c r="I82">
        <v>0</v>
      </c>
      <c r="J82" s="82">
        <f t="shared" si="14"/>
        <v>0</v>
      </c>
      <c r="K82" s="82">
        <f t="shared" si="15"/>
        <v>0.8</v>
      </c>
      <c r="L82" s="82" t="str">
        <f t="shared" si="16"/>
        <v>NGMR-AECO/C36800</v>
      </c>
      <c r="M82" s="82">
        <f t="shared" si="17"/>
        <v>0</v>
      </c>
      <c r="N82" s="82">
        <f t="shared" si="18"/>
        <v>0</v>
      </c>
      <c r="O82" s="93" t="str">
        <f t="shared" si="23"/>
        <v>P</v>
      </c>
      <c r="P82" s="93" t="str">
        <f ca="1">INDEX([17]Portfolios!A$3:G$929,MATCH(D82,[17]Portfolios!B$3:B$929,0),7)</f>
        <v>IMCANADA</v>
      </c>
      <c r="Q82" s="93">
        <f ca="1">IF($O82="P",INDEX('[17]Date Master'!I$3:J$332,MATCH($H82,'[17]Date Master'!I$3:I$332,0),2),0)</f>
        <v>6</v>
      </c>
      <c r="R82" s="93">
        <f ca="1">IF($O82="D",INDEX('[17]Date Master'!O$3:P$332,MATCH($H82,'[17]Date Master'!O$3:O$332,0),2),0)</f>
        <v>0</v>
      </c>
      <c r="S82" s="93">
        <f ca="1">IF($O82="PHY",INDEX('[17]Date Master'!R$3:S$332,MATCH($H82,'[17]Date Master'!R$3:R$332,0),2),0)</f>
        <v>0</v>
      </c>
      <c r="T82" s="93">
        <f ca="1">IF($O82="G",INDEX('[17]Date Master'!R$3:S$332,MATCH($H82,'[17]Date Master'!R$3:R$332,0),2),0)</f>
        <v>0</v>
      </c>
      <c r="U82" s="93">
        <f t="shared" si="19"/>
        <v>6</v>
      </c>
      <c r="V82" s="93" t="str">
        <f t="shared" si="20"/>
        <v>IMCANADAP6</v>
      </c>
      <c r="W82" s="93" t="str">
        <f ca="1">IF(ISNA(V82),"-",INDEX([17]Portfolios!A$3:H$827,MATCH(D82,[17]Portfolios!B$3:B$827,0),7)&amp;H82)</f>
        <v>IMCANADA36800</v>
      </c>
      <c r="X82" s="93" t="str">
        <f t="shared" si="21"/>
        <v>IMCANADAP36800</v>
      </c>
      <c r="Y82" s="93" t="str">
        <f t="shared" si="22"/>
        <v>IMCANADAP</v>
      </c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1:34" x14ac:dyDescent="0.2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1:34" x14ac:dyDescent="0.2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1:34" x14ac:dyDescent="0.2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1:34" x14ac:dyDescent="0.2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1:34" x14ac:dyDescent="0.2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1:34" x14ac:dyDescent="0.2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1:34" x14ac:dyDescent="0.2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1:34" x14ac:dyDescent="0.2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1:34" x14ac:dyDescent="0.2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1:34" x14ac:dyDescent="0.2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1:34" x14ac:dyDescent="0.2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1:34" x14ac:dyDescent="0.2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1:34" x14ac:dyDescent="0.2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1:34" x14ac:dyDescent="0.2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61" si="24">CONCATENATE(AE127,AF127)</f>
        <v>INTRA-CAND-WEST-PHYM</v>
      </c>
    </row>
    <row r="128" spans="29:34" x14ac:dyDescent="0.2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24"/>
        <v>INTRA-CAND-WEST-PHYM</v>
      </c>
    </row>
    <row r="129" spans="29:34" x14ac:dyDescent="0.2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24"/>
        <v>INTRA-CAND-WEST-PHYM</v>
      </c>
    </row>
    <row r="130" spans="29:34" x14ac:dyDescent="0.2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24"/>
        <v>INTRA-CAND-WEST-PHYM</v>
      </c>
    </row>
    <row r="131" spans="29:34" x14ac:dyDescent="0.2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24"/>
        <v>INTRA-CAND-WEST-PHYM</v>
      </c>
    </row>
    <row r="132" spans="29:34" x14ac:dyDescent="0.2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24"/>
        <v>INTRA-CAND-WEST-PHYM</v>
      </c>
    </row>
    <row r="133" spans="29:34" x14ac:dyDescent="0.2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24"/>
        <v>INTRA-CAND-WEST-PHYM</v>
      </c>
    </row>
    <row r="134" spans="29:34" x14ac:dyDescent="0.2">
      <c r="AE134" t="s">
        <v>119</v>
      </c>
      <c r="AF134" t="s">
        <v>46</v>
      </c>
      <c r="AG134" t="s">
        <v>19</v>
      </c>
      <c r="AH134" t="str">
        <f t="shared" si="24"/>
        <v>FT-CAND-OP-GD-GDLGD-CGPR-AECO/AV</v>
      </c>
    </row>
    <row r="135" spans="29:34" x14ac:dyDescent="0.2">
      <c r="AE135" t="s">
        <v>119</v>
      </c>
      <c r="AF135" t="s">
        <v>46</v>
      </c>
      <c r="AG135" t="s">
        <v>19</v>
      </c>
      <c r="AH135" t="str">
        <f t="shared" si="24"/>
        <v>FT-CAND-OP-GD-GDLGD-CGPR-AECO/AV</v>
      </c>
    </row>
    <row r="136" spans="29:34" x14ac:dyDescent="0.2">
      <c r="AE136" t="s">
        <v>119</v>
      </c>
      <c r="AF136" t="s">
        <v>46</v>
      </c>
      <c r="AG136" t="s">
        <v>19</v>
      </c>
      <c r="AH136" t="str">
        <f t="shared" si="24"/>
        <v>FT-CAND-OP-GD-GDLGD-CGPR-AECO/AV</v>
      </c>
    </row>
    <row r="137" spans="29:34" x14ac:dyDescent="0.2">
      <c r="AE137" t="s">
        <v>119</v>
      </c>
      <c r="AF137" t="s">
        <v>46</v>
      </c>
      <c r="AG137" t="s">
        <v>19</v>
      </c>
      <c r="AH137" t="str">
        <f t="shared" si="24"/>
        <v>FT-CAND-OP-GD-GDLGD-CGPR-AECO/AV</v>
      </c>
    </row>
    <row r="138" spans="29:34" x14ac:dyDescent="0.2">
      <c r="AE138" t="s">
        <v>119</v>
      </c>
      <c r="AF138" t="s">
        <v>46</v>
      </c>
      <c r="AG138" t="s">
        <v>19</v>
      </c>
      <c r="AH138" t="str">
        <f t="shared" si="24"/>
        <v>FT-CAND-OP-GD-GDLGD-CGPR-AECO/AV</v>
      </c>
    </row>
    <row r="139" spans="29:34" x14ac:dyDescent="0.2">
      <c r="AE139" t="s">
        <v>45</v>
      </c>
      <c r="AF139" t="s">
        <v>51</v>
      </c>
      <c r="AG139" t="s">
        <v>19</v>
      </c>
      <c r="AH139" t="str">
        <f t="shared" si="24"/>
        <v>INTRA-CAND-BC-GD-GDLM</v>
      </c>
    </row>
    <row r="140" spans="29:34" x14ac:dyDescent="0.2">
      <c r="AE140" t="s">
        <v>45</v>
      </c>
      <c r="AF140" t="s">
        <v>51</v>
      </c>
      <c r="AG140" t="s">
        <v>19</v>
      </c>
      <c r="AH140" t="str">
        <f t="shared" si="24"/>
        <v>INTRA-CAND-BC-GD-GDLM</v>
      </c>
    </row>
    <row r="141" spans="29:34" x14ac:dyDescent="0.2">
      <c r="AE141" t="s">
        <v>45</v>
      </c>
      <c r="AF141" t="s">
        <v>51</v>
      </c>
      <c r="AG141" t="s">
        <v>19</v>
      </c>
      <c r="AH141" t="str">
        <f t="shared" si="24"/>
        <v>INTRA-CAND-BC-GD-GDLM</v>
      </c>
    </row>
    <row r="142" spans="29:34" x14ac:dyDescent="0.2">
      <c r="AE142" t="s">
        <v>121</v>
      </c>
      <c r="AF142" t="s">
        <v>122</v>
      </c>
      <c r="AG142" t="s">
        <v>21</v>
      </c>
      <c r="AH142" t="str">
        <f t="shared" si="24"/>
        <v>INTRA-CAND-BC-PRCIF-NTHWST/CANB</v>
      </c>
    </row>
    <row r="143" spans="29:34" x14ac:dyDescent="0.2">
      <c r="AE143" t="s">
        <v>121</v>
      </c>
      <c r="AF143" t="s">
        <v>122</v>
      </c>
      <c r="AG143" t="s">
        <v>21</v>
      </c>
      <c r="AH143" t="str">
        <f t="shared" si="24"/>
        <v>INTRA-CAND-BC-PRCIF-NTHWST/CANB</v>
      </c>
    </row>
    <row r="144" spans="29:34" x14ac:dyDescent="0.2">
      <c r="AE144" t="s">
        <v>121</v>
      </c>
      <c r="AF144" t="s">
        <v>63</v>
      </c>
      <c r="AG144" t="s">
        <v>21</v>
      </c>
      <c r="AH144" t="str">
        <f t="shared" si="24"/>
        <v>INTRA-CAND-BC-PRCIF-NTHWST/CANBR</v>
      </c>
    </row>
    <row r="145" spans="31:34" x14ac:dyDescent="0.2">
      <c r="AE145" t="s">
        <v>121</v>
      </c>
      <c r="AF145" t="s">
        <v>63</v>
      </c>
      <c r="AG145" t="s">
        <v>21</v>
      </c>
      <c r="AH145" t="str">
        <f t="shared" si="24"/>
        <v>INTRA-CAND-BC-PRCIF-NTHWST/CANBR</v>
      </c>
    </row>
    <row r="146" spans="31:34" x14ac:dyDescent="0.2">
      <c r="AE146" t="s">
        <v>121</v>
      </c>
      <c r="AF146" t="s">
        <v>63</v>
      </c>
      <c r="AG146" t="s">
        <v>21</v>
      </c>
      <c r="AH146" t="str">
        <f t="shared" si="24"/>
        <v>INTRA-CAND-BC-PRCIF-NTHWST/CANBR</v>
      </c>
    </row>
    <row r="147" spans="31:34" x14ac:dyDescent="0.2">
      <c r="AE147" t="s">
        <v>121</v>
      </c>
      <c r="AF147" t="s">
        <v>63</v>
      </c>
      <c r="AG147" t="s">
        <v>21</v>
      </c>
      <c r="AH147" t="str">
        <f t="shared" si="24"/>
        <v>INTRA-CAND-BC-PRCIF-NTHWST/CANBR</v>
      </c>
    </row>
    <row r="148" spans="31:34" x14ac:dyDescent="0.2">
      <c r="AE148" t="s">
        <v>121</v>
      </c>
      <c r="AF148" t="s">
        <v>63</v>
      </c>
      <c r="AG148" t="s">
        <v>21</v>
      </c>
      <c r="AH148" t="str">
        <f t="shared" si="24"/>
        <v>INTRA-CAND-BC-PRCIF-NTHWST/CANBR</v>
      </c>
    </row>
    <row r="149" spans="31:34" x14ac:dyDescent="0.2">
      <c r="AE149" t="s">
        <v>121</v>
      </c>
      <c r="AF149" t="s">
        <v>104</v>
      </c>
      <c r="AG149" t="s">
        <v>21</v>
      </c>
      <c r="AH149" t="str">
        <f t="shared" si="24"/>
        <v>INTRA-CAND-BC-PRCIF-NWPL_ROCKY_M</v>
      </c>
    </row>
    <row r="150" spans="31:34" x14ac:dyDescent="0.2">
      <c r="AE150" t="s">
        <v>121</v>
      </c>
      <c r="AF150" t="s">
        <v>104</v>
      </c>
      <c r="AG150" t="s">
        <v>21</v>
      </c>
      <c r="AH150" t="str">
        <f t="shared" si="24"/>
        <v>INTRA-CAND-BC-PRCIF-NWPL_ROCKY_M</v>
      </c>
    </row>
    <row r="151" spans="31:34" x14ac:dyDescent="0.2">
      <c r="AE151" t="s">
        <v>121</v>
      </c>
      <c r="AF151" t="s">
        <v>86</v>
      </c>
      <c r="AG151" t="s">
        <v>21</v>
      </c>
      <c r="AH151" t="str">
        <f t="shared" si="24"/>
        <v>INTRA-CAND-BC-PRCNG</v>
      </c>
    </row>
    <row r="152" spans="31:34" x14ac:dyDescent="0.2">
      <c r="AE152" t="s">
        <v>121</v>
      </c>
      <c r="AF152" t="s">
        <v>86</v>
      </c>
      <c r="AG152" t="s">
        <v>21</v>
      </c>
      <c r="AH152" t="str">
        <f t="shared" si="24"/>
        <v>INTRA-CAND-BC-PRCNG</v>
      </c>
    </row>
    <row r="153" spans="31:34" x14ac:dyDescent="0.2">
      <c r="AE153" t="s">
        <v>121</v>
      </c>
      <c r="AF153" t="s">
        <v>86</v>
      </c>
      <c r="AG153" t="s">
        <v>21</v>
      </c>
      <c r="AH153" t="str">
        <f t="shared" si="24"/>
        <v>INTRA-CAND-BC-PRCNG</v>
      </c>
    </row>
    <row r="154" spans="31:34" x14ac:dyDescent="0.2">
      <c r="AE154" t="s">
        <v>121</v>
      </c>
      <c r="AF154" t="s">
        <v>86</v>
      </c>
      <c r="AG154" t="s">
        <v>21</v>
      </c>
      <c r="AH154" t="str">
        <f t="shared" si="24"/>
        <v>INTRA-CAND-BC-PRCNG</v>
      </c>
    </row>
    <row r="155" spans="31:34" x14ac:dyDescent="0.2">
      <c r="AE155" t="s">
        <v>121</v>
      </c>
      <c r="AF155" t="s">
        <v>86</v>
      </c>
      <c r="AG155" t="s">
        <v>21</v>
      </c>
      <c r="AH155" t="str">
        <f t="shared" si="24"/>
        <v>INTRA-CAND-BC-PRCNG</v>
      </c>
    </row>
    <row r="156" spans="31:34" x14ac:dyDescent="0.2">
      <c r="AE156" t="s">
        <v>121</v>
      </c>
      <c r="AF156" t="s">
        <v>114</v>
      </c>
      <c r="AG156" t="s">
        <v>21</v>
      </c>
      <c r="AH156" t="str">
        <f t="shared" si="24"/>
        <v>INTRA-CAND-BC-PRCNGGJ</v>
      </c>
    </row>
    <row r="157" spans="31:34" x14ac:dyDescent="0.2">
      <c r="AE157" t="s">
        <v>123</v>
      </c>
      <c r="AF157" t="s">
        <v>124</v>
      </c>
      <c r="AG157" t="s">
        <v>30</v>
      </c>
      <c r="AH157" t="str">
        <f t="shared" si="24"/>
        <v>INTRA-CAND-BC-PHYGD-ST. 2 (C$)</v>
      </c>
    </row>
    <row r="158" spans="31:34" x14ac:dyDescent="0.2">
      <c r="AE158" t="s">
        <v>123</v>
      </c>
      <c r="AF158" t="s">
        <v>125</v>
      </c>
      <c r="AG158" t="s">
        <v>30</v>
      </c>
      <c r="AH158" t="str">
        <f t="shared" si="24"/>
        <v>INTRA-CAND-BC-PHYSTN2-CDN/IM</v>
      </c>
    </row>
    <row r="159" spans="31:34" x14ac:dyDescent="0.2">
      <c r="AE159" t="s">
        <v>123</v>
      </c>
      <c r="AF159" t="s">
        <v>126</v>
      </c>
      <c r="AG159" t="s">
        <v>30</v>
      </c>
      <c r="AH159" t="str">
        <f t="shared" si="24"/>
        <v>INTRA-CAND-BC-PHYSTN2-US/IM</v>
      </c>
    </row>
    <row r="160" spans="31:34" x14ac:dyDescent="0.2">
      <c r="AE160" t="s">
        <v>123</v>
      </c>
      <c r="AF160" t="s">
        <v>127</v>
      </c>
      <c r="AG160" t="s">
        <v>30</v>
      </c>
      <c r="AH160" t="str">
        <f t="shared" si="24"/>
        <v>INTRA-CAND-BC-PHYSUMAS-CDN/IM</v>
      </c>
    </row>
    <row r="161" spans="31:34" x14ac:dyDescent="0.2">
      <c r="AE161" t="s">
        <v>123</v>
      </c>
      <c r="AF161" t="s">
        <v>128</v>
      </c>
      <c r="AG161" t="s">
        <v>30</v>
      </c>
      <c r="AH161" t="str">
        <f t="shared" si="24"/>
        <v>INTRA-CAND-BC-PHYSUMAS-US/IM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As Queried from GRMS</vt:lpstr>
      <vt:lpstr>GRMS Detail</vt:lpstr>
      <vt:lpstr>'GRMS Detail'!CurveTable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2014-09-05T10:48:42Z</dcterms:modified>
</cp:coreProperties>
</file>