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 tabRatio="794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</externalReferences>
  <definedNames>
    <definedName name="_xlnm.Print_Area" localSheetId="0">Consol!$A$1:$T$71</definedName>
    <definedName name="_xlnm.Print_Area" localSheetId="8">Mexico!$1:$1048576</definedName>
  </definedNames>
  <calcPr calcId="152511" fullCalcOnLoad="1"/>
</workbook>
</file>

<file path=xl/calcChain.xml><?xml version="1.0" encoding="utf-8"?>
<calcChain xmlns="http://schemas.openxmlformats.org/spreadsheetml/2006/main">
  <c r="H14" i="22" l="1"/>
  <c r="C17" i="22"/>
  <c r="D13" i="22" s="1"/>
  <c r="D17" i="22" s="1"/>
  <c r="E13" i="22" s="1"/>
  <c r="E17" i="22" s="1"/>
  <c r="F13" i="22" s="1"/>
  <c r="F17" i="22" s="1"/>
  <c r="G13" i="22" s="1"/>
  <c r="G17" i="22" s="1"/>
  <c r="H13" i="22" s="1"/>
  <c r="H17" i="22" s="1"/>
  <c r="I13" i="22" s="1"/>
  <c r="I17" i="22" s="1"/>
  <c r="J13" i="22" s="1"/>
  <c r="J17" i="22" s="1"/>
  <c r="K13" i="22" s="1"/>
  <c r="K17" i="22" s="1"/>
  <c r="L13" i="22" s="1"/>
  <c r="L17" i="22" s="1"/>
  <c r="M13" i="22" s="1"/>
  <c r="M17" i="22" s="1"/>
  <c r="N13" i="22" s="1"/>
  <c r="N17" i="22" s="1"/>
  <c r="O17" i="22"/>
  <c r="F39" i="22"/>
  <c r="G39" i="22"/>
  <c r="O39" i="22"/>
  <c r="O42" i="22" s="1"/>
  <c r="P39" i="22"/>
  <c r="P42" i="22" s="1"/>
  <c r="F40" i="22"/>
  <c r="P40" i="22" s="1"/>
  <c r="O41" i="22"/>
  <c r="P41" i="22"/>
  <c r="B42" i="22"/>
  <c r="C42" i="22"/>
  <c r="E42" i="22"/>
  <c r="F42" i="22"/>
  <c r="E44" i="22" s="1"/>
  <c r="I42" i="22"/>
  <c r="J42" i="22"/>
  <c r="L42" i="22"/>
  <c r="M42" i="22"/>
  <c r="R42" i="22"/>
  <c r="S42" i="22"/>
  <c r="R44" i="22" s="1"/>
  <c r="F43" i="22"/>
  <c r="P43" i="22" s="1"/>
  <c r="J43" i="22"/>
  <c r="M43" i="22"/>
  <c r="S43" i="22"/>
  <c r="B44" i="22"/>
  <c r="I44" i="22"/>
  <c r="L44" i="22"/>
  <c r="C17" i="20"/>
  <c r="D13" i="20" s="1"/>
  <c r="D17" i="20" s="1"/>
  <c r="O17" i="20"/>
  <c r="O23" i="20"/>
  <c r="O24" i="20"/>
  <c r="O25" i="20"/>
  <c r="O26" i="20"/>
  <c r="C27" i="20"/>
  <c r="D22" i="20" s="1"/>
  <c r="F27" i="20"/>
  <c r="H27" i="20"/>
  <c r="I27" i="20"/>
  <c r="J27" i="20"/>
  <c r="K27" i="20"/>
  <c r="L27" i="20"/>
  <c r="M27" i="20"/>
  <c r="N27" i="20"/>
  <c r="F39" i="20"/>
  <c r="P39" i="20" s="1"/>
  <c r="P42" i="20" s="1"/>
  <c r="G39" i="20"/>
  <c r="O39" i="20"/>
  <c r="F40" i="20"/>
  <c r="F42" i="20" s="1"/>
  <c r="E44" i="20" s="1"/>
  <c r="P40" i="20"/>
  <c r="O41" i="20"/>
  <c r="O42" i="20" s="1"/>
  <c r="P41" i="20"/>
  <c r="B42" i="20"/>
  <c r="C42" i="20"/>
  <c r="E42" i="20"/>
  <c r="I42" i="20"/>
  <c r="J42" i="20"/>
  <c r="I44" i="20" s="1"/>
  <c r="L42" i="20"/>
  <c r="M42" i="20"/>
  <c r="R42" i="20"/>
  <c r="S42" i="20"/>
  <c r="F43" i="20"/>
  <c r="J43" i="20"/>
  <c r="M43" i="20"/>
  <c r="L44" i="20" s="1"/>
  <c r="S43" i="20"/>
  <c r="B44" i="20"/>
  <c r="R44" i="20"/>
  <c r="C17" i="21"/>
  <c r="D13" i="21" s="1"/>
  <c r="D17" i="21" s="1"/>
  <c r="E13" i="21" s="1"/>
  <c r="E17" i="21" s="1"/>
  <c r="F13" i="21" s="1"/>
  <c r="F17" i="21" s="1"/>
  <c r="G13" i="21" s="1"/>
  <c r="G17" i="21" s="1"/>
  <c r="H13" i="21" s="1"/>
  <c r="H17" i="21" s="1"/>
  <c r="I13" i="21" s="1"/>
  <c r="I17" i="21" s="1"/>
  <c r="J13" i="21" s="1"/>
  <c r="J17" i="21" s="1"/>
  <c r="K13" i="21" s="1"/>
  <c r="K17" i="21" s="1"/>
  <c r="L13" i="21" s="1"/>
  <c r="L17" i="21" s="1"/>
  <c r="M13" i="21" s="1"/>
  <c r="M17" i="21" s="1"/>
  <c r="N13" i="21" s="1"/>
  <c r="N17" i="21" s="1"/>
  <c r="O17" i="21"/>
  <c r="O23" i="21"/>
  <c r="O24" i="21"/>
  <c r="O25" i="21"/>
  <c r="O26" i="21"/>
  <c r="C27" i="21"/>
  <c r="C29" i="21" s="1"/>
  <c r="F27" i="21"/>
  <c r="H27" i="21"/>
  <c r="I27" i="21"/>
  <c r="J27" i="21"/>
  <c r="K27" i="21"/>
  <c r="L27" i="21"/>
  <c r="M27" i="21"/>
  <c r="N27" i="21"/>
  <c r="O39" i="21"/>
  <c r="O42" i="21" s="1"/>
  <c r="P39" i="21"/>
  <c r="P40" i="21"/>
  <c r="O41" i="21"/>
  <c r="P41" i="21"/>
  <c r="B42" i="21"/>
  <c r="C42" i="21"/>
  <c r="E42" i="21"/>
  <c r="F42" i="21"/>
  <c r="E44" i="21" s="1"/>
  <c r="I42" i="21"/>
  <c r="J42" i="21"/>
  <c r="L42" i="21"/>
  <c r="M42" i="21"/>
  <c r="P42" i="21"/>
  <c r="R42" i="21"/>
  <c r="S42" i="21"/>
  <c r="F43" i="21"/>
  <c r="P43" i="21" s="1"/>
  <c r="O44" i="21" s="1"/>
  <c r="I44" i="21"/>
  <c r="L44" i="21"/>
  <c r="R44" i="21"/>
  <c r="D13" i="19"/>
  <c r="D17" i="19" s="1"/>
  <c r="E13" i="19" s="1"/>
  <c r="E17" i="19" s="1"/>
  <c r="F13" i="19" s="1"/>
  <c r="F17" i="19" s="1"/>
  <c r="G13" i="19" s="1"/>
  <c r="G17" i="19" s="1"/>
  <c r="H13" i="19" s="1"/>
  <c r="H17" i="19" s="1"/>
  <c r="I13" i="19" s="1"/>
  <c r="I17" i="19" s="1"/>
  <c r="J13" i="19" s="1"/>
  <c r="J17" i="19" s="1"/>
  <c r="K13" i="19" s="1"/>
  <c r="K17" i="19" s="1"/>
  <c r="L13" i="19" s="1"/>
  <c r="L17" i="19" s="1"/>
  <c r="M13" i="19" s="1"/>
  <c r="M17" i="19" s="1"/>
  <c r="N13" i="19" s="1"/>
  <c r="N17" i="19" s="1"/>
  <c r="C17" i="19"/>
  <c r="O17" i="19"/>
  <c r="O39" i="19"/>
  <c r="O42" i="19" s="1"/>
  <c r="P39" i="19"/>
  <c r="F40" i="19"/>
  <c r="P40" i="19"/>
  <c r="O41" i="19"/>
  <c r="P41" i="19"/>
  <c r="B42" i="19"/>
  <c r="C42" i="19"/>
  <c r="E42" i="19"/>
  <c r="F42" i="19"/>
  <c r="I42" i="19"/>
  <c r="J42" i="19"/>
  <c r="I44" i="19" s="1"/>
  <c r="L42" i="19"/>
  <c r="M42" i="19"/>
  <c r="P42" i="19"/>
  <c r="O44" i="19" s="1"/>
  <c r="R42" i="19"/>
  <c r="S42" i="19"/>
  <c r="F43" i="19"/>
  <c r="J43" i="19"/>
  <c r="M43" i="19"/>
  <c r="P43" i="19" s="1"/>
  <c r="S43" i="19"/>
  <c r="B44" i="19"/>
  <c r="E44" i="19"/>
  <c r="R44" i="19"/>
  <c r="C13" i="8"/>
  <c r="C14" i="8"/>
  <c r="D14" i="8"/>
  <c r="E14" i="8"/>
  <c r="F14" i="8"/>
  <c r="G14" i="8"/>
  <c r="I14" i="8"/>
  <c r="J14" i="8"/>
  <c r="K14" i="8"/>
  <c r="L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O17" i="8"/>
  <c r="B39" i="8"/>
  <c r="C39" i="8"/>
  <c r="E39" i="8"/>
  <c r="G39" i="8"/>
  <c r="I39" i="8"/>
  <c r="O39" i="8" s="1"/>
  <c r="J39" i="8"/>
  <c r="J42" i="8" s="1"/>
  <c r="L39" i="8"/>
  <c r="M39" i="8"/>
  <c r="R39" i="8"/>
  <c r="S39" i="8"/>
  <c r="C40" i="8"/>
  <c r="C42" i="8" s="1"/>
  <c r="J40" i="8"/>
  <c r="M40" i="8"/>
  <c r="S40" i="8"/>
  <c r="B41" i="8"/>
  <c r="B42" i="8" s="1"/>
  <c r="C41" i="8"/>
  <c r="E41" i="8"/>
  <c r="E42" i="8" s="1"/>
  <c r="F41" i="8"/>
  <c r="P41" i="8" s="1"/>
  <c r="I41" i="8"/>
  <c r="J41" i="8"/>
  <c r="L41" i="8"/>
  <c r="M41" i="8"/>
  <c r="R41" i="8"/>
  <c r="R42" i="8" s="1"/>
  <c r="S41" i="8"/>
  <c r="S42" i="8" s="1"/>
  <c r="L42" i="8"/>
  <c r="M42" i="8"/>
  <c r="B70" i="8"/>
  <c r="B71" i="8"/>
  <c r="C17" i="17"/>
  <c r="D13" i="17" s="1"/>
  <c r="D17" i="17"/>
  <c r="E13" i="17" s="1"/>
  <c r="E17" i="17" s="1"/>
  <c r="F13" i="17" s="1"/>
  <c r="F17" i="17" s="1"/>
  <c r="G13" i="17" s="1"/>
  <c r="G17" i="17" s="1"/>
  <c r="H13" i="17" s="1"/>
  <c r="H17" i="17" s="1"/>
  <c r="I13" i="17" s="1"/>
  <c r="I17" i="17" s="1"/>
  <c r="J13" i="17" s="1"/>
  <c r="J17" i="17" s="1"/>
  <c r="K13" i="17" s="1"/>
  <c r="K17" i="17" s="1"/>
  <c r="L13" i="17" s="1"/>
  <c r="L17" i="17" s="1"/>
  <c r="M13" i="17" s="1"/>
  <c r="M17" i="17" s="1"/>
  <c r="N13" i="17" s="1"/>
  <c r="N17" i="17" s="1"/>
  <c r="O17" i="17"/>
  <c r="F39" i="17"/>
  <c r="F39" i="8" s="1"/>
  <c r="O39" i="17"/>
  <c r="P39" i="17"/>
  <c r="F40" i="17"/>
  <c r="P40" i="17"/>
  <c r="O41" i="17"/>
  <c r="P41" i="17"/>
  <c r="B42" i="17"/>
  <c r="C42" i="17"/>
  <c r="E42" i="17"/>
  <c r="F42" i="17"/>
  <c r="I42" i="17"/>
  <c r="J42" i="17"/>
  <c r="I44" i="17" s="1"/>
  <c r="L42" i="17"/>
  <c r="M42" i="17"/>
  <c r="L44" i="17" s="1"/>
  <c r="O42" i="17"/>
  <c r="R42" i="17"/>
  <c r="S42" i="17"/>
  <c r="C43" i="17"/>
  <c r="C43" i="8" s="1"/>
  <c r="F43" i="17"/>
  <c r="E44" i="17" s="1"/>
  <c r="J43" i="17"/>
  <c r="M43" i="17"/>
  <c r="P43" i="17"/>
  <c r="S43" i="17"/>
  <c r="B44" i="17"/>
  <c r="R44" i="17"/>
  <c r="D13" i="10"/>
  <c r="D17" i="10" s="1"/>
  <c r="E13" i="10" s="1"/>
  <c r="C17" i="10"/>
  <c r="E17" i="10"/>
  <c r="F13" i="10" s="1"/>
  <c r="F17" i="10" s="1"/>
  <c r="G13" i="10" s="1"/>
  <c r="G17" i="10" s="1"/>
  <c r="H13" i="10" s="1"/>
  <c r="H17" i="10" s="1"/>
  <c r="I13" i="10" s="1"/>
  <c r="I17" i="10" s="1"/>
  <c r="J13" i="10" s="1"/>
  <c r="J17" i="10" s="1"/>
  <c r="K13" i="10" s="1"/>
  <c r="K17" i="10" s="1"/>
  <c r="L13" i="10" s="1"/>
  <c r="L17" i="10" s="1"/>
  <c r="M13" i="10" s="1"/>
  <c r="M17" i="10" s="1"/>
  <c r="N13" i="10" s="1"/>
  <c r="N17" i="10" s="1"/>
  <c r="O17" i="10"/>
  <c r="O23" i="10"/>
  <c r="O24" i="10"/>
  <c r="O25" i="10"/>
  <c r="O26" i="10"/>
  <c r="C27" i="10"/>
  <c r="D22" i="10" s="1"/>
  <c r="F27" i="10"/>
  <c r="H27" i="10"/>
  <c r="I27" i="10"/>
  <c r="J27" i="10"/>
  <c r="K27" i="10"/>
  <c r="L27" i="10"/>
  <c r="M27" i="10"/>
  <c r="N27" i="10"/>
  <c r="O39" i="10"/>
  <c r="P39" i="10"/>
  <c r="P42" i="10" s="1"/>
  <c r="F40" i="10"/>
  <c r="P40" i="10"/>
  <c r="O41" i="10"/>
  <c r="P41" i="10"/>
  <c r="B42" i="10"/>
  <c r="C42" i="10"/>
  <c r="E42" i="10"/>
  <c r="F42" i="10"/>
  <c r="E44" i="10" s="1"/>
  <c r="I42" i="10"/>
  <c r="J42" i="10"/>
  <c r="L42" i="10"/>
  <c r="M42" i="10"/>
  <c r="O42" i="10"/>
  <c r="R42" i="10"/>
  <c r="S42" i="10"/>
  <c r="R44" i="10" s="1"/>
  <c r="F43" i="10"/>
  <c r="J43" i="10"/>
  <c r="M43" i="10"/>
  <c r="L44" i="10" s="1"/>
  <c r="S43" i="10"/>
  <c r="B44" i="10"/>
  <c r="I44" i="10"/>
  <c r="C17" i="1"/>
  <c r="D13" i="1" s="1"/>
  <c r="D17" i="1"/>
  <c r="E13" i="1" s="1"/>
  <c r="O17" i="1"/>
  <c r="O23" i="1"/>
  <c r="O24" i="1"/>
  <c r="O25" i="1"/>
  <c r="O26" i="1"/>
  <c r="C27" i="1"/>
  <c r="D22" i="1" s="1"/>
  <c r="F27" i="1"/>
  <c r="H27" i="1"/>
  <c r="I27" i="1"/>
  <c r="J27" i="1"/>
  <c r="K27" i="1"/>
  <c r="L27" i="1"/>
  <c r="M27" i="1"/>
  <c r="N27" i="1"/>
  <c r="C29" i="1"/>
  <c r="O39" i="1"/>
  <c r="P39" i="1"/>
  <c r="P40" i="1"/>
  <c r="O41" i="1"/>
  <c r="P41" i="1"/>
  <c r="B42" i="1"/>
  <c r="C42" i="1"/>
  <c r="E42" i="1"/>
  <c r="F42" i="1"/>
  <c r="E44" i="1" s="1"/>
  <c r="I42" i="1"/>
  <c r="J42" i="1"/>
  <c r="I44" i="1" s="1"/>
  <c r="L42" i="1"/>
  <c r="M42" i="1"/>
  <c r="L44" i="1" s="1"/>
  <c r="O42" i="1"/>
  <c r="R42" i="1"/>
  <c r="S42" i="1"/>
  <c r="F43" i="1"/>
  <c r="J43" i="1"/>
  <c r="M43" i="1"/>
  <c r="P43" i="1"/>
  <c r="S43" i="1"/>
  <c r="B44" i="1"/>
  <c r="D13" i="16"/>
  <c r="D17" i="16" s="1"/>
  <c r="E13" i="16"/>
  <c r="E17" i="16" s="1"/>
  <c r="F13" i="16" s="1"/>
  <c r="F17" i="16" s="1"/>
  <c r="G13" i="16" s="1"/>
  <c r="G17" i="16" s="1"/>
  <c r="H13" i="16" s="1"/>
  <c r="H17" i="16" s="1"/>
  <c r="I13" i="16" s="1"/>
  <c r="I17" i="16" s="1"/>
  <c r="J13" i="16" s="1"/>
  <c r="J17" i="16" s="1"/>
  <c r="K13" i="16" s="1"/>
  <c r="K17" i="16" s="1"/>
  <c r="L13" i="16" s="1"/>
  <c r="L17" i="16" s="1"/>
  <c r="M13" i="16" s="1"/>
  <c r="M17" i="16" s="1"/>
  <c r="N13" i="16" s="1"/>
  <c r="N17" i="16" s="1"/>
  <c r="C17" i="16"/>
  <c r="O17" i="16"/>
  <c r="D22" i="16"/>
  <c r="D27" i="16" s="1"/>
  <c r="O23" i="16"/>
  <c r="O24" i="16"/>
  <c r="O25" i="16"/>
  <c r="O26" i="16"/>
  <c r="C27" i="16"/>
  <c r="C29" i="16" s="1"/>
  <c r="F27" i="16"/>
  <c r="H27" i="16"/>
  <c r="I27" i="16"/>
  <c r="J27" i="16"/>
  <c r="K27" i="16"/>
  <c r="L27" i="16"/>
  <c r="M27" i="16"/>
  <c r="N27" i="16"/>
  <c r="O39" i="16"/>
  <c r="O42" i="16" s="1"/>
  <c r="P39" i="16"/>
  <c r="P42" i="16" s="1"/>
  <c r="O44" i="16" s="1"/>
  <c r="F40" i="16"/>
  <c r="P40" i="16" s="1"/>
  <c r="O41" i="16"/>
  <c r="P41" i="16"/>
  <c r="B42" i="16"/>
  <c r="C42" i="16"/>
  <c r="E42" i="16"/>
  <c r="I42" i="16"/>
  <c r="J42" i="16"/>
  <c r="L42" i="16"/>
  <c r="M42" i="16"/>
  <c r="R42" i="16"/>
  <c r="S42" i="16"/>
  <c r="R44" i="16" s="1"/>
  <c r="F43" i="16"/>
  <c r="P43" i="16" s="1"/>
  <c r="J43" i="16"/>
  <c r="M43" i="16"/>
  <c r="S43" i="16"/>
  <c r="B44" i="16"/>
  <c r="I44" i="16"/>
  <c r="L44" i="16"/>
  <c r="C17" i="11"/>
  <c r="D13" i="11" s="1"/>
  <c r="D17" i="11"/>
  <c r="O17" i="11"/>
  <c r="D22" i="11"/>
  <c r="O23" i="11"/>
  <c r="O24" i="11"/>
  <c r="O25" i="11"/>
  <c r="O26" i="11"/>
  <c r="C27" i="11"/>
  <c r="D27" i="11"/>
  <c r="E22" i="11" s="1"/>
  <c r="E27" i="11" s="1"/>
  <c r="F27" i="11"/>
  <c r="H27" i="11"/>
  <c r="I27" i="11"/>
  <c r="J27" i="11"/>
  <c r="K27" i="11"/>
  <c r="L27" i="11"/>
  <c r="M27" i="11"/>
  <c r="N27" i="11"/>
  <c r="O39" i="11"/>
  <c r="P39" i="11"/>
  <c r="F40" i="11"/>
  <c r="P40" i="11"/>
  <c r="O41" i="11"/>
  <c r="P41" i="11"/>
  <c r="B42" i="11"/>
  <c r="C42" i="11"/>
  <c r="E42" i="11"/>
  <c r="F42" i="11"/>
  <c r="E44" i="11" s="1"/>
  <c r="I42" i="11"/>
  <c r="J42" i="11"/>
  <c r="L42" i="11"/>
  <c r="M42" i="11"/>
  <c r="L44" i="11" s="1"/>
  <c r="O42" i="11"/>
  <c r="R42" i="11"/>
  <c r="S42" i="11"/>
  <c r="F43" i="11"/>
  <c r="J43" i="11"/>
  <c r="P43" i="11" s="1"/>
  <c r="M43" i="11"/>
  <c r="S43" i="11"/>
  <c r="R44" i="11" s="1"/>
  <c r="B44" i="11"/>
  <c r="D13" i="23"/>
  <c r="E13" i="23"/>
  <c r="E17" i="23" s="1"/>
  <c r="F13" i="23" s="1"/>
  <c r="F17" i="23" s="1"/>
  <c r="G13" i="23" s="1"/>
  <c r="G17" i="23" s="1"/>
  <c r="H13" i="23" s="1"/>
  <c r="H17" i="23" s="1"/>
  <c r="I13" i="23" s="1"/>
  <c r="I17" i="23" s="1"/>
  <c r="J13" i="23" s="1"/>
  <c r="J17" i="23" s="1"/>
  <c r="K13" i="23" s="1"/>
  <c r="K17" i="23" s="1"/>
  <c r="L13" i="23" s="1"/>
  <c r="L17" i="23" s="1"/>
  <c r="M13" i="23" s="1"/>
  <c r="M17" i="23" s="1"/>
  <c r="N13" i="23" s="1"/>
  <c r="N17" i="23" s="1"/>
  <c r="H14" i="23"/>
  <c r="H14" i="8" s="1"/>
  <c r="M14" i="23"/>
  <c r="M14" i="8" s="1"/>
  <c r="C17" i="23"/>
  <c r="D17" i="23"/>
  <c r="O17" i="23"/>
  <c r="O23" i="23"/>
  <c r="O24" i="23"/>
  <c r="O25" i="23"/>
  <c r="O26" i="23"/>
  <c r="C27" i="23"/>
  <c r="F27" i="23"/>
  <c r="H27" i="23"/>
  <c r="I27" i="23"/>
  <c r="J27" i="23"/>
  <c r="K27" i="23"/>
  <c r="L27" i="23"/>
  <c r="M27" i="23"/>
  <c r="N27" i="23"/>
  <c r="O39" i="23"/>
  <c r="O42" i="23" s="1"/>
  <c r="P39" i="23"/>
  <c r="F40" i="23"/>
  <c r="P40" i="23"/>
  <c r="O41" i="23"/>
  <c r="P41" i="23"/>
  <c r="P42" i="23" s="1"/>
  <c r="O44" i="23" s="1"/>
  <c r="B42" i="23"/>
  <c r="C42" i="23"/>
  <c r="B44" i="23" s="1"/>
  <c r="E42" i="23"/>
  <c r="F42" i="23"/>
  <c r="I42" i="23"/>
  <c r="J42" i="23"/>
  <c r="I44" i="23" s="1"/>
  <c r="L42" i="23"/>
  <c r="M42" i="23"/>
  <c r="L44" i="23" s="1"/>
  <c r="R42" i="23"/>
  <c r="S42" i="23"/>
  <c r="R44" i="23" s="1"/>
  <c r="F43" i="23"/>
  <c r="J43" i="23"/>
  <c r="M43" i="23"/>
  <c r="P43" i="23"/>
  <c r="S43" i="23"/>
  <c r="E44" i="23"/>
  <c r="D13" i="13"/>
  <c r="D17" i="13" s="1"/>
  <c r="E13" i="13" s="1"/>
  <c r="E17" i="13" s="1"/>
  <c r="F13" i="13" s="1"/>
  <c r="F17" i="13" s="1"/>
  <c r="G13" i="13" s="1"/>
  <c r="G17" i="13" s="1"/>
  <c r="H13" i="13" s="1"/>
  <c r="H17" i="13" s="1"/>
  <c r="I13" i="13" s="1"/>
  <c r="I17" i="13" s="1"/>
  <c r="J13" i="13" s="1"/>
  <c r="J17" i="13" s="1"/>
  <c r="K13" i="13" s="1"/>
  <c r="K17" i="13" s="1"/>
  <c r="L13" i="13" s="1"/>
  <c r="L17" i="13" s="1"/>
  <c r="M13" i="13" s="1"/>
  <c r="M17" i="13" s="1"/>
  <c r="N13" i="13" s="1"/>
  <c r="N17" i="13" s="1"/>
  <c r="C17" i="13"/>
  <c r="O17" i="13"/>
  <c r="D22" i="13"/>
  <c r="O22" i="13" s="1"/>
  <c r="O27" i="13" s="1"/>
  <c r="O29" i="13" s="1"/>
  <c r="E22" i="13"/>
  <c r="O23" i="13"/>
  <c r="O24" i="13"/>
  <c r="O25" i="13"/>
  <c r="O26" i="13"/>
  <c r="C27" i="13"/>
  <c r="D27" i="13"/>
  <c r="E27" i="13"/>
  <c r="F27" i="13"/>
  <c r="H27" i="13"/>
  <c r="I27" i="13"/>
  <c r="J27" i="13"/>
  <c r="K27" i="13"/>
  <c r="L27" i="13"/>
  <c r="M27" i="13"/>
  <c r="N27" i="13"/>
  <c r="O39" i="13"/>
  <c r="P39" i="13"/>
  <c r="F40" i="13"/>
  <c r="F40" i="8" s="1"/>
  <c r="O41" i="13"/>
  <c r="O42" i="13" s="1"/>
  <c r="P41" i="13"/>
  <c r="B42" i="13"/>
  <c r="C42" i="13"/>
  <c r="E42" i="13"/>
  <c r="I42" i="13"/>
  <c r="J42" i="13"/>
  <c r="L42" i="13"/>
  <c r="M42" i="13"/>
  <c r="R42" i="13"/>
  <c r="S42" i="13"/>
  <c r="F43" i="13"/>
  <c r="J43" i="13"/>
  <c r="M43" i="13"/>
  <c r="P43" i="13" s="1"/>
  <c r="S43" i="13"/>
  <c r="B44" i="13"/>
  <c r="I44" i="13"/>
  <c r="R44" i="13"/>
  <c r="D13" i="12"/>
  <c r="C17" i="12"/>
  <c r="D17" i="12"/>
  <c r="E13" i="12" s="1"/>
  <c r="E17" i="12"/>
  <c r="F13" i="12" s="1"/>
  <c r="F17" i="12" s="1"/>
  <c r="G13" i="12" s="1"/>
  <c r="G17" i="12" s="1"/>
  <c r="H13" i="12" s="1"/>
  <c r="H17" i="12" s="1"/>
  <c r="I13" i="12" s="1"/>
  <c r="I17" i="12" s="1"/>
  <c r="J13" i="12" s="1"/>
  <c r="J17" i="12" s="1"/>
  <c r="K13" i="12" s="1"/>
  <c r="K17" i="12" s="1"/>
  <c r="L13" i="12" s="1"/>
  <c r="L17" i="12" s="1"/>
  <c r="M13" i="12" s="1"/>
  <c r="M17" i="12" s="1"/>
  <c r="N13" i="12" s="1"/>
  <c r="N17" i="12" s="1"/>
  <c r="O17" i="12"/>
  <c r="O23" i="12"/>
  <c r="O24" i="12"/>
  <c r="O25" i="12"/>
  <c r="O26" i="12"/>
  <c r="C27" i="12"/>
  <c r="F27" i="12"/>
  <c r="H27" i="12"/>
  <c r="I27" i="12"/>
  <c r="J27" i="12"/>
  <c r="K27" i="12"/>
  <c r="L27" i="12"/>
  <c r="M27" i="12"/>
  <c r="N27" i="12"/>
  <c r="O39" i="12"/>
  <c r="P39" i="12"/>
  <c r="F40" i="12"/>
  <c r="P40" i="12"/>
  <c r="O41" i="12"/>
  <c r="P41" i="12"/>
  <c r="P42" i="12" s="1"/>
  <c r="O44" i="12" s="1"/>
  <c r="B42" i="12"/>
  <c r="C42" i="12"/>
  <c r="E42" i="12"/>
  <c r="F42" i="12"/>
  <c r="I42" i="12"/>
  <c r="J42" i="12"/>
  <c r="I44" i="12" s="1"/>
  <c r="L42" i="12"/>
  <c r="M42" i="12"/>
  <c r="L44" i="12" s="1"/>
  <c r="O42" i="12"/>
  <c r="R42" i="12"/>
  <c r="S42" i="12"/>
  <c r="R44" i="12" s="1"/>
  <c r="F43" i="12"/>
  <c r="J43" i="12"/>
  <c r="M43" i="12"/>
  <c r="P43" i="12"/>
  <c r="S43" i="12"/>
  <c r="B44" i="12"/>
  <c r="E44" i="12"/>
  <c r="D13" i="15"/>
  <c r="D17" i="15" s="1"/>
  <c r="E13" i="15" s="1"/>
  <c r="E17" i="15" s="1"/>
  <c r="F13" i="15" s="1"/>
  <c r="F17" i="15" s="1"/>
  <c r="G13" i="15" s="1"/>
  <c r="G17" i="15" s="1"/>
  <c r="H13" i="15" s="1"/>
  <c r="H17" i="15" s="1"/>
  <c r="I13" i="15" s="1"/>
  <c r="I17" i="15" s="1"/>
  <c r="J13" i="15" s="1"/>
  <c r="J17" i="15" s="1"/>
  <c r="K13" i="15" s="1"/>
  <c r="K17" i="15" s="1"/>
  <c r="L13" i="15" s="1"/>
  <c r="L17" i="15" s="1"/>
  <c r="M13" i="15" s="1"/>
  <c r="M17" i="15" s="1"/>
  <c r="N13" i="15" s="1"/>
  <c r="N17" i="15" s="1"/>
  <c r="C17" i="15"/>
  <c r="O17" i="15"/>
  <c r="D22" i="15"/>
  <c r="O22" i="15" s="1"/>
  <c r="O27" i="15" s="1"/>
  <c r="O29" i="15" s="1"/>
  <c r="O23" i="15"/>
  <c r="O24" i="15"/>
  <c r="O25" i="15"/>
  <c r="O26" i="15"/>
  <c r="C27" i="15"/>
  <c r="D27" i="15"/>
  <c r="E22" i="15" s="1"/>
  <c r="E27" i="15" s="1"/>
  <c r="E29" i="15" s="1"/>
  <c r="F27" i="15"/>
  <c r="H27" i="15"/>
  <c r="I27" i="15"/>
  <c r="J27" i="15"/>
  <c r="K27" i="15"/>
  <c r="L27" i="15"/>
  <c r="M27" i="15"/>
  <c r="N27" i="15"/>
  <c r="C29" i="15"/>
  <c r="O39" i="15"/>
  <c r="P39" i="15"/>
  <c r="P42" i="15" s="1"/>
  <c r="F40" i="15"/>
  <c r="P40" i="15"/>
  <c r="O41" i="15"/>
  <c r="O42" i="15" s="1"/>
  <c r="P41" i="15"/>
  <c r="B42" i="15"/>
  <c r="C42" i="15"/>
  <c r="E42" i="15"/>
  <c r="F42" i="15"/>
  <c r="E44" i="15" s="1"/>
  <c r="I42" i="15"/>
  <c r="J42" i="15"/>
  <c r="I44" i="15" s="1"/>
  <c r="L42" i="15"/>
  <c r="M42" i="15"/>
  <c r="R42" i="15"/>
  <c r="S42" i="15"/>
  <c r="R44" i="15" s="1"/>
  <c r="F43" i="15"/>
  <c r="J43" i="15"/>
  <c r="M43" i="15"/>
  <c r="S43" i="15"/>
  <c r="B44" i="15"/>
  <c r="L44" i="15"/>
  <c r="D13" i="9"/>
  <c r="C17" i="9"/>
  <c r="D17" i="9"/>
  <c r="E13" i="9" s="1"/>
  <c r="E17" i="9" s="1"/>
  <c r="F13" i="9" s="1"/>
  <c r="F17" i="9" s="1"/>
  <c r="G13" i="9" s="1"/>
  <c r="G17" i="9" s="1"/>
  <c r="H13" i="9" s="1"/>
  <c r="H17" i="9" s="1"/>
  <c r="I13" i="9" s="1"/>
  <c r="I17" i="9" s="1"/>
  <c r="J13" i="9" s="1"/>
  <c r="J17" i="9" s="1"/>
  <c r="K13" i="9" s="1"/>
  <c r="K17" i="9" s="1"/>
  <c r="L13" i="9" s="1"/>
  <c r="L17" i="9" s="1"/>
  <c r="M13" i="9" s="1"/>
  <c r="M17" i="9" s="1"/>
  <c r="N13" i="9" s="1"/>
  <c r="N17" i="9" s="1"/>
  <c r="O17" i="9"/>
  <c r="O23" i="9"/>
  <c r="O24" i="9"/>
  <c r="O25" i="9"/>
  <c r="O26" i="9"/>
  <c r="C27" i="9"/>
  <c r="F27" i="9"/>
  <c r="H27" i="9"/>
  <c r="I27" i="9"/>
  <c r="J27" i="9"/>
  <c r="K27" i="9"/>
  <c r="L27" i="9"/>
  <c r="M27" i="9"/>
  <c r="N27" i="9"/>
  <c r="O39" i="9"/>
  <c r="O42" i="9" s="1"/>
  <c r="P39" i="9"/>
  <c r="P40" i="9"/>
  <c r="O41" i="9"/>
  <c r="P41" i="9"/>
  <c r="B42" i="9"/>
  <c r="C42" i="9"/>
  <c r="E42" i="9"/>
  <c r="F42" i="9"/>
  <c r="E44" i="9" s="1"/>
  <c r="I42" i="9"/>
  <c r="J42" i="9"/>
  <c r="L42" i="9"/>
  <c r="M42" i="9"/>
  <c r="P42" i="9"/>
  <c r="O44" i="9" s="1"/>
  <c r="R42" i="9"/>
  <c r="S42" i="9"/>
  <c r="R44" i="9" s="1"/>
  <c r="F43" i="9"/>
  <c r="J43" i="9"/>
  <c r="M43" i="9"/>
  <c r="P43" i="9" s="1"/>
  <c r="S43" i="9"/>
  <c r="B44" i="9"/>
  <c r="I44" i="9"/>
  <c r="L44" i="9"/>
  <c r="D29" i="16" l="1"/>
  <c r="E22" i="16"/>
  <c r="E27" i="16" s="1"/>
  <c r="E29" i="16" s="1"/>
  <c r="E17" i="1"/>
  <c r="F13" i="1" s="1"/>
  <c r="D27" i="10"/>
  <c r="O44" i="15"/>
  <c r="O41" i="8"/>
  <c r="D22" i="9"/>
  <c r="C29" i="9"/>
  <c r="P43" i="15"/>
  <c r="D22" i="12"/>
  <c r="C29" i="12"/>
  <c r="P40" i="13"/>
  <c r="J43" i="8"/>
  <c r="I44" i="8" s="1"/>
  <c r="D13" i="8"/>
  <c r="D17" i="8" s="1"/>
  <c r="O42" i="8"/>
  <c r="E13" i="11"/>
  <c r="E17" i="11" s="1"/>
  <c r="C29" i="11"/>
  <c r="F43" i="8"/>
  <c r="P39" i="8"/>
  <c r="P42" i="8" s="1"/>
  <c r="F42" i="8"/>
  <c r="O44" i="22"/>
  <c r="F42" i="13"/>
  <c r="E44" i="13" s="1"/>
  <c r="P42" i="13"/>
  <c r="O44" i="13" s="1"/>
  <c r="O22" i="11"/>
  <c r="O27" i="11" s="1"/>
  <c r="O29" i="11" s="1"/>
  <c r="B44" i="8"/>
  <c r="C29" i="13"/>
  <c r="E13" i="20"/>
  <c r="E17" i="20" s="1"/>
  <c r="F13" i="20" s="1"/>
  <c r="F17" i="20" s="1"/>
  <c r="G13" i="20" s="1"/>
  <c r="G17" i="20" s="1"/>
  <c r="H13" i="20" s="1"/>
  <c r="H17" i="20" s="1"/>
  <c r="I13" i="20" s="1"/>
  <c r="I17" i="20" s="1"/>
  <c r="J13" i="20" s="1"/>
  <c r="J17" i="20" s="1"/>
  <c r="K13" i="20" s="1"/>
  <c r="K17" i="20" s="1"/>
  <c r="L13" i="20" s="1"/>
  <c r="L17" i="20" s="1"/>
  <c r="M13" i="20" s="1"/>
  <c r="M17" i="20" s="1"/>
  <c r="N13" i="20" s="1"/>
  <c r="N17" i="20" s="1"/>
  <c r="C29" i="20"/>
  <c r="L44" i="13"/>
  <c r="I44" i="11"/>
  <c r="F42" i="16"/>
  <c r="E44" i="16" s="1"/>
  <c r="R44" i="1"/>
  <c r="S43" i="8"/>
  <c r="R44" i="8" s="1"/>
  <c r="D27" i="1"/>
  <c r="D29" i="15"/>
  <c r="D22" i="23"/>
  <c r="C29" i="23"/>
  <c r="D27" i="20"/>
  <c r="E29" i="13"/>
  <c r="D29" i="13"/>
  <c r="P42" i="11"/>
  <c r="O44" i="11" s="1"/>
  <c r="O22" i="16"/>
  <c r="O27" i="16" s="1"/>
  <c r="O29" i="16" s="1"/>
  <c r="M43" i="8"/>
  <c r="P43" i="8" s="1"/>
  <c r="P40" i="8"/>
  <c r="P42" i="1"/>
  <c r="O44" i="1" s="1"/>
  <c r="C29" i="10"/>
  <c r="P42" i="17"/>
  <c r="O44" i="17" s="1"/>
  <c r="L44" i="19"/>
  <c r="D22" i="21"/>
  <c r="P43" i="20"/>
  <c r="O44" i="20" s="1"/>
  <c r="P43" i="10"/>
  <c r="O44" i="10" s="1"/>
  <c r="I42" i="8"/>
  <c r="O44" i="8" l="1"/>
  <c r="F13" i="11"/>
  <c r="F17" i="11" s="1"/>
  <c r="D29" i="11"/>
  <c r="E22" i="1"/>
  <c r="D29" i="1"/>
  <c r="E44" i="8"/>
  <c r="E22" i="10"/>
  <c r="D29" i="10"/>
  <c r="L44" i="8"/>
  <c r="D27" i="12"/>
  <c r="E13" i="8"/>
  <c r="E17" i="8" s="1"/>
  <c r="D27" i="23"/>
  <c r="F17" i="1"/>
  <c r="G13" i="1" s="1"/>
  <c r="F13" i="8"/>
  <c r="F17" i="8" s="1"/>
  <c r="E22" i="20"/>
  <c r="D29" i="20"/>
  <c r="D27" i="21"/>
  <c r="D27" i="9"/>
  <c r="E27" i="1" l="1"/>
  <c r="E29" i="1" s="1"/>
  <c r="O22" i="1"/>
  <c r="O27" i="1" s="1"/>
  <c r="O29" i="1" s="1"/>
  <c r="G17" i="1"/>
  <c r="H13" i="1" s="1"/>
  <c r="E22" i="23"/>
  <c r="D29" i="23"/>
  <c r="D29" i="21"/>
  <c r="E22" i="21"/>
  <c r="E27" i="10"/>
  <c r="E29" i="10" s="1"/>
  <c r="O22" i="10"/>
  <c r="O27" i="10" s="1"/>
  <c r="O29" i="10" s="1"/>
  <c r="E22" i="9"/>
  <c r="D29" i="9"/>
  <c r="E22" i="12"/>
  <c r="D29" i="12"/>
  <c r="G13" i="11"/>
  <c r="G17" i="11" s="1"/>
  <c r="H13" i="11" s="1"/>
  <c r="H17" i="11" s="1"/>
  <c r="I13" i="11" s="1"/>
  <c r="I17" i="11" s="1"/>
  <c r="J13" i="11" s="1"/>
  <c r="J17" i="11" s="1"/>
  <c r="K13" i="11" s="1"/>
  <c r="K17" i="11" s="1"/>
  <c r="L13" i="11" s="1"/>
  <c r="L17" i="11" s="1"/>
  <c r="M13" i="11" s="1"/>
  <c r="M17" i="11" s="1"/>
  <c r="N13" i="11" s="1"/>
  <c r="N17" i="11" s="1"/>
  <c r="E29" i="11"/>
  <c r="E27" i="20"/>
  <c r="E29" i="20" s="1"/>
  <c r="O22" i="20"/>
  <c r="O27" i="20" s="1"/>
  <c r="O29" i="20" s="1"/>
  <c r="E27" i="9" l="1"/>
  <c r="E29" i="9" s="1"/>
  <c r="O22" i="9"/>
  <c r="O27" i="9" s="1"/>
  <c r="O29" i="9" s="1"/>
  <c r="H17" i="1"/>
  <c r="I13" i="1" s="1"/>
  <c r="H13" i="8"/>
  <c r="H17" i="8" s="1"/>
  <c r="E27" i="21"/>
  <c r="E29" i="21" s="1"/>
  <c r="O22" i="21"/>
  <c r="O27" i="21" s="1"/>
  <c r="O29" i="21" s="1"/>
  <c r="E27" i="12"/>
  <c r="E29" i="12" s="1"/>
  <c r="O22" i="12"/>
  <c r="O27" i="12" s="1"/>
  <c r="O29" i="12" s="1"/>
  <c r="E27" i="23"/>
  <c r="E29" i="23" s="1"/>
  <c r="O22" i="23"/>
  <c r="O27" i="23" s="1"/>
  <c r="O29" i="23" s="1"/>
  <c r="G13" i="8"/>
  <c r="G17" i="8" s="1"/>
  <c r="I13" i="8" l="1"/>
  <c r="I17" i="8" s="1"/>
  <c r="I17" i="1"/>
  <c r="J13" i="1" s="1"/>
  <c r="J13" i="8" l="1"/>
  <c r="J17" i="8" s="1"/>
  <c r="J17" i="1"/>
  <c r="K13" i="1" s="1"/>
  <c r="K13" i="8" l="1"/>
  <c r="K17" i="8" s="1"/>
  <c r="K17" i="1"/>
  <c r="L13" i="1" s="1"/>
  <c r="L13" i="8" l="1"/>
  <c r="L17" i="8" s="1"/>
  <c r="L17" i="1"/>
  <c r="M13" i="1" s="1"/>
  <c r="M17" i="1" l="1"/>
  <c r="N13" i="1" s="1"/>
  <c r="M13" i="8"/>
  <c r="M17" i="8" s="1"/>
  <c r="N17" i="1" l="1"/>
  <c r="N13" i="8"/>
  <c r="N17" i="8" s="1"/>
</calcChain>
</file>

<file path=xl/sharedStrings.xml><?xml version="1.0" encoding="utf-8"?>
<sst xmlns="http://schemas.openxmlformats.org/spreadsheetml/2006/main" count="1114" uniqueCount="64">
  <si>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</si>
  <si>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</si>
  <si>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</si>
  <si>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</si>
  <si>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</si>
  <si>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</si>
  <si>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</si>
  <si>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</si>
  <si>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</si>
  <si>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</si>
  <si>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</si>
  <si>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</si>
  <si>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</si>
  <si>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</si>
  <si>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</si>
  <si>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Average</t>
  </si>
  <si>
    <t># of Transactions</t>
  </si>
  <si>
    <t>Dollar Value of Transactions</t>
  </si>
  <si>
    <t>Executions</t>
  </si>
  <si>
    <t>Budget</t>
  </si>
  <si>
    <t>Total Year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</si>
  <si>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</si>
  <si>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</si>
  <si>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</si>
  <si>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</si>
  <si>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</si>
  <si>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</si>
  <si>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</si>
  <si>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</si>
  <si>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Actual</t>
  </si>
  <si>
    <t>Forward Quarters</t>
  </si>
  <si>
    <t>$ Coverage</t>
  </si>
  <si>
    <t>1Q01</t>
  </si>
  <si>
    <t>Team:</t>
  </si>
  <si>
    <t>Week</t>
  </si>
  <si>
    <t>East Midstream</t>
  </si>
  <si>
    <t>1Q00</t>
  </si>
  <si>
    <t>2Q00</t>
  </si>
  <si>
    <t>3Q00</t>
  </si>
  <si>
    <t>4Q00</t>
  </si>
  <si>
    <t xml:space="preserve">        $ millions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</si>
  <si>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</si>
  <si>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</si>
  <si>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</si>
  <si>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</si>
  <si>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Weekly Summary - 2Q00 through 1Q01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</si>
  <si>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</si>
  <si>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</si>
  <si>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</si>
  <si>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</si>
  <si>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</si>
  <si>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</si>
  <si>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</si>
  <si>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</si>
  <si>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</si>
  <si>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</si>
  <si>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</si>
  <si>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</si>
  <si>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</si>
  <si>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</si>
  <si>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Generation / IPP Investments</t>
  </si>
  <si>
    <t>Upstream Originations</t>
  </si>
  <si>
    <t>HPL and LRC</t>
  </si>
  <si>
    <t>Results based on Activity through June 23,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</si>
</sst>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</numFmts>
  <fonts count="24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i/>
      <sz val="10"/>
      <name val="Arial Narrow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sz val="11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3" fillId="0" borderId="2" xfId="0" applyFont="1" applyBorder="1"/>
    <xf numFmtId="164" fontId="5" fillId="0" borderId="2" xfId="2" applyNumberFormat="1" applyFont="1" applyBorder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6" fontId="3" fillId="0" borderId="0" xfId="1" applyNumberFormat="1" applyFont="1"/>
    <xf numFmtId="164" fontId="3" fillId="0" borderId="0" xfId="2" applyNumberFormat="1" applyFont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2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3" fillId="0" borderId="6" xfId="1" applyNumberFormat="1" applyFont="1" applyBorder="1"/>
    <xf numFmtId="0" fontId="3" fillId="0" borderId="4" xfId="0" applyFont="1" applyBorder="1" applyAlignment="1">
      <alignment horizontal="center"/>
    </xf>
    <xf numFmtId="166" fontId="8" fillId="0" borderId="5" xfId="1" applyNumberFormat="1" applyFont="1" applyBorder="1" applyAlignment="1">
      <alignment horizontal="center"/>
    </xf>
    <xf numFmtId="167" fontId="5" fillId="0" borderId="6" xfId="2" applyNumberFormat="1" applyFont="1" applyBorder="1"/>
    <xf numFmtId="164" fontId="5" fillId="0" borderId="3" xfId="2" applyNumberFormat="1" applyFont="1" applyBorder="1" applyAlignment="1">
      <alignment horizontal="center"/>
    </xf>
    <xf numFmtId="166" fontId="3" fillId="0" borderId="5" xfId="1" applyNumberFormat="1" applyFont="1" applyBorder="1"/>
    <xf numFmtId="166" fontId="3" fillId="0" borderId="6" xfId="1" applyNumberFormat="1" applyFont="1" applyBorder="1" applyAlignment="1">
      <alignment horizontal="center"/>
    </xf>
    <xf numFmtId="167" fontId="3" fillId="0" borderId="6" xfId="2" applyNumberFormat="1" applyFont="1" applyBorder="1"/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13" fillId="0" borderId="0" xfId="0" applyFont="1"/>
    <xf numFmtId="0" fontId="14" fillId="0" borderId="0" xfId="0" applyFont="1" applyFill="1"/>
    <xf numFmtId="0" fontId="15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2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1" xfId="0" applyNumberFormat="1" applyFont="1" applyBorder="1" applyAlignment="1">
      <alignment horizontal="center"/>
    </xf>
    <xf numFmtId="167" fontId="3" fillId="0" borderId="5" xfId="1" applyNumberFormat="1" applyFont="1" applyBorder="1"/>
    <xf numFmtId="0" fontId="19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8" fillId="0" borderId="0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2" fillId="0" borderId="0" xfId="3" applyFont="1" applyFill="1" applyBorder="1" applyAlignment="1">
      <alignment horizontal="center"/>
    </xf>
    <xf numFmtId="166" fontId="3" fillId="0" borderId="6" xfId="1" applyNumberFormat="1" applyFont="1" applyFill="1" applyBorder="1"/>
    <xf numFmtId="41" fontId="21" fillId="0" borderId="0" xfId="0" applyNumberFormat="1" applyFont="1"/>
    <xf numFmtId="0" fontId="22" fillId="0" borderId="0" xfId="0" applyFont="1"/>
    <xf numFmtId="166" fontId="3" fillId="0" borderId="6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5" xfId="1" applyNumberFormat="1" applyFont="1" applyFill="1" applyBorder="1"/>
    <xf numFmtId="0" fontId="3" fillId="0" borderId="4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2" xfId="0" applyNumberFormat="1" applyFont="1" applyFill="1" applyBorder="1"/>
    <xf numFmtId="0" fontId="3" fillId="0" borderId="0" xfId="0" applyFont="1" applyFill="1"/>
    <xf numFmtId="41" fontId="5" fillId="0" borderId="2" xfId="0" applyNumberFormat="1" applyFont="1" applyFill="1" applyBorder="1" applyProtection="1">
      <protection locked="0"/>
    </xf>
    <xf numFmtId="167" fontId="5" fillId="0" borderId="6" xfId="2" applyNumberFormat="1" applyFont="1" applyFill="1" applyBorder="1"/>
    <xf numFmtId="0" fontId="5" fillId="0" borderId="0" xfId="2" applyNumberFormat="1" applyFont="1" applyFill="1"/>
    <xf numFmtId="164" fontId="5" fillId="0" borderId="3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41" fontId="5" fillId="0" borderId="0" xfId="0" applyNumberFormat="1" applyFont="1"/>
    <xf numFmtId="167" fontId="23" fillId="0" borderId="6" xfId="2" applyNumberFormat="1" applyFont="1" applyFill="1" applyBorder="1"/>
    <xf numFmtId="167" fontId="23" fillId="0" borderId="6" xfId="2" applyNumberFormat="1" applyFont="1" applyBorder="1"/>
    <xf numFmtId="166" fontId="23" fillId="0" borderId="6" xfId="2" applyNumberFormat="1" applyFont="1" applyBorder="1"/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0" xfId="0" applyFont="1" applyAlignment="1">
      <alignment horizontal="center"/>
    </xf>
    <xf numFmtId="22" fontId="13" fillId="0" borderId="0" xfId="0" applyNumberFormat="1" applyFont="1" applyAlignment="1">
      <alignment horizontal="left"/>
    </xf>
    <xf numFmtId="9" fontId="18" fillId="2" borderId="11" xfId="3" applyFont="1" applyFill="1" applyBorder="1" applyAlignment="1">
      <alignment horizontal="center"/>
    </xf>
    <xf numFmtId="9" fontId="18" fillId="2" borderId="12" xfId="3" applyFont="1" applyFill="1" applyBorder="1" applyAlignment="1">
      <alignment horizontal="center"/>
    </xf>
    <xf numFmtId="9" fontId="12" fillId="2" borderId="11" xfId="3" applyFont="1" applyFill="1" applyBorder="1" applyAlignment="1">
      <alignment horizontal="center"/>
    </xf>
    <xf numFmtId="9" fontId="12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0334449669737E-2"/>
          <c:y val="4.9224486943167521E-2"/>
          <c:w val="0.92577566594207106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9.6108241645495585E-4"/>
                  <c:y val="-5.06564035907278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9027545148618819E-3"/>
                  <c:y val="-1.319461022772006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41695985961624E-4"/>
                  <c:y val="-0.13351952306577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567532385363787E-3"/>
                  <c:y val="-9.04921383026425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4991745982176896E-3"/>
                  <c:y val="7.588714559932413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(Consol!$C$43,Consol!$F$43,Consol!$J$43,Consol!$M$43,Consol!$P$43,Consol!$S$43)</c:f>
              <c:numCache>
                <c:formatCode>_(* #,##0.0_);_(* \(#,##0.0\);_(* "-"?_);_(@_)</c:formatCode>
                <c:ptCount val="6"/>
                <c:pt idx="0">
                  <c:v>170.1</c:v>
                </c:pt>
                <c:pt idx="1">
                  <c:v>168.38500000000002</c:v>
                </c:pt>
                <c:pt idx="2">
                  <c:v>220.94399999999999</c:v>
                </c:pt>
                <c:pt idx="3">
                  <c:v>257.79500000000002</c:v>
                </c:pt>
                <c:pt idx="4">
                  <c:v>817.22400000000005</c:v>
                </c:pt>
                <c:pt idx="5">
                  <c:v>316.44324999999998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3984"/>
        <c:axId val="149184544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7682102856285131E-3"/>
                  <c:y val="-1.398030158667051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774349115573671E-3"/>
                  <c:y val="-1.44722790806288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841695985961624E-4"/>
                  <c:y val="-8.70358716661911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0567532385363787E-3"/>
                  <c:y val="-8.55531831214905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508114012948045E-4"/>
                  <c:y val="-2.12362220747244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3845085471323522E-5"/>
                  <c:y val="-1.503141274848962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(Consol!$B$37,Consol!$E$37,Consol!$I$37,Consol!$L$37,Consol!$O$37,Consol!$R$37)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(Consol!$C$42,Consol!$F$42,Consol!$J$42,Consol!$M$42,Consol!$P$42,Consol!$S$42)</c:f>
              <c:numCache>
                <c:formatCode>_(* #,##0.0_);_(* \(#,##0.0\);_(* "-"?_);_(@_)</c:formatCode>
                <c:ptCount val="6"/>
                <c:pt idx="0">
                  <c:v>145.19999999999999</c:v>
                </c:pt>
                <c:pt idx="1">
                  <c:v>65.231999999999999</c:v>
                </c:pt>
                <c:pt idx="2">
                  <c:v>335.04599999999999</c:v>
                </c:pt>
                <c:pt idx="3">
                  <c:v>333.68799999999999</c:v>
                </c:pt>
                <c:pt idx="4">
                  <c:v>879.16599999999994</c:v>
                </c:pt>
                <c:pt idx="5">
                  <c:v>71.599999999999994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5104"/>
        <c:axId val="149185664"/>
      </c:barChart>
      <c:catAx>
        <c:axId val="14918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84544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3984"/>
        <c:crosses val="autoZero"/>
        <c:crossBetween val="between"/>
        <c:majorUnit val="100"/>
      </c:valAx>
      <c:catAx>
        <c:axId val="14918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85664"/>
        <c:crosses val="autoZero"/>
        <c:auto val="1"/>
        <c:lblAlgn val="ctr"/>
        <c:lblOffset val="100"/>
        <c:noMultiLvlLbl val="0"/>
      </c:catAx>
      <c:valAx>
        <c:axId val="14918566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9185104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1324946901686171"/>
          <c:y val="0.94044677686156897"/>
          <c:w val="0.21066037385429864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77121574052075E-2"/>
          <c:y val="4.6633724472474491E-2"/>
          <c:w val="0.94794635291701024"/>
          <c:h val="0.813499415797610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62955528037840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66841671743880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5805366755602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665825954968108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411931232840191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67359824238018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Originations'!$C$43,' Upstream Originations'!$F$43,' Upstream Originations'!$J$43,' Upstream Originations'!$M$43,' Upstream Originations'!$P$43,' Upstream Originations'!$S$43)</c:f>
              <c:numCache>
                <c:formatCode>_(* #,##0.0_);_(* \(#,##0.0\);_(* "-"?_);_(@_)</c:formatCode>
                <c:ptCount val="6"/>
                <c:pt idx="0">
                  <c:v>30.3</c:v>
                </c:pt>
                <c:pt idx="1">
                  <c:v>18.422999999999998</c:v>
                </c:pt>
                <c:pt idx="2">
                  <c:v>20.238</c:v>
                </c:pt>
                <c:pt idx="3">
                  <c:v>21.355</c:v>
                </c:pt>
                <c:pt idx="4">
                  <c:v>90.316000000000003</c:v>
                </c:pt>
                <c:pt idx="5">
                  <c:v>28.829250000000005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2576"/>
        <c:axId val="147413136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336862174665623"/>
                  <c:y val="0.68396129226295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03397224720826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06238418142168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349752933543558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668656913251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Originations'!$B$37,' Upstream Originations'!$E$37,' Upstream Originations'!$I$37,' Upstream Originations'!$L$37,' Upstream Originations'!$O$37,' Upstream Originations'!$R$37)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 Upstream Originations'!$C$42,' Upstream Originations'!$F$42,' Upstream Originations'!$J$42,' Upstream Originations'!$M$42,' Upstream Originations'!$P$42,' Upstream Originations'!$S$42)</c:f>
              <c:numCache>
                <c:formatCode>_(* #,##0.0_);_(* \(#,##0.0\);_(* "-"?_);_(@_)</c:formatCode>
                <c:ptCount val="6"/>
                <c:pt idx="0">
                  <c:v>23.1</c:v>
                </c:pt>
                <c:pt idx="1">
                  <c:v>17.773</c:v>
                </c:pt>
                <c:pt idx="2">
                  <c:v>31.911999999999999</c:v>
                </c:pt>
                <c:pt idx="3">
                  <c:v>19.937000000000001</c:v>
                </c:pt>
                <c:pt idx="4">
                  <c:v>92.722000000000008</c:v>
                </c:pt>
                <c:pt idx="5">
                  <c:v>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3696"/>
        <c:axId val="147414256"/>
      </c:barChart>
      <c:catAx>
        <c:axId val="1474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13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41313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12576"/>
        <c:crosses val="autoZero"/>
        <c:crossBetween val="between"/>
        <c:majorUnit val="20"/>
      </c:valAx>
      <c:catAx>
        <c:axId val="14741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14256"/>
        <c:crosses val="autoZero"/>
        <c:auto val="1"/>
        <c:lblAlgn val="ctr"/>
        <c:lblOffset val="100"/>
        <c:noMultiLvlLbl val="0"/>
      </c:catAx>
      <c:valAx>
        <c:axId val="14741425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741369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312285136357282"/>
          <c:y val="0.92231143956671779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10908653326917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3732756779048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21782992966326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('HPL&amp;LRC'!$C$43,'HPL&amp;LRC'!$F$43,'HPL&amp;LRC'!$J$43,'HPL&amp;LRC'!$M$43,'HPL&amp;LRC'!$P$43,'HPL&amp;LRC'!$S$43)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12.436</c:v>
                </c:pt>
                <c:pt idx="2">
                  <c:v>27.077999999999999</c:v>
                </c:pt>
                <c:pt idx="3">
                  <c:v>26.841000000000001</c:v>
                </c:pt>
                <c:pt idx="4">
                  <c:v>66.35499999999999</c:v>
                </c:pt>
                <c:pt idx="5">
                  <c:v>36.235350000000004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9216"/>
        <c:axId val="146049776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5546290508533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68914281720434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896075181234364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('HPL&amp;LRC'!$B$37,'HPL&amp;LRC'!$E$37,'HPL&amp;LRC'!$I$37,'HPL&amp;LRC'!$L$37,'HPL&amp;LRC'!$O$37,'HPL&amp;LRC'!$R$37)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('HPL&amp;LRC'!$C$42,'HPL&amp;LRC'!$F$42,'HPL&amp;LRC'!$J$42,'HPL&amp;LRC'!$M$42,'HPL&amp;LRC'!$P$42,'HPL&amp;LRC'!$S$42)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15.347000000000003</c:v>
                </c:pt>
                <c:pt idx="2">
                  <c:v>6.8840000000000003</c:v>
                </c:pt>
                <c:pt idx="3">
                  <c:v>3.2509999999999999</c:v>
                </c:pt>
                <c:pt idx="4">
                  <c:v>25.482000000000003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0336"/>
        <c:axId val="146050896"/>
      </c:barChart>
      <c:catAx>
        <c:axId val="1460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4977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9216"/>
        <c:crosses val="autoZero"/>
        <c:crossBetween val="between"/>
        <c:majorUnit val="20"/>
      </c:valAx>
      <c:catAx>
        <c:axId val="1460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50896"/>
        <c:crosses val="autoZero"/>
        <c:auto val="1"/>
        <c:lblAlgn val="ctr"/>
        <c:lblOffset val="100"/>
        <c:noMultiLvlLbl val="0"/>
      </c:catAx>
      <c:valAx>
        <c:axId val="14605089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05033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873200138083325"/>
          <c:y val="0.93008372697879682"/>
          <c:w val="0.2091411649292812"/>
          <c:h val="6.21782992966326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4.4042962001781469E-2"/>
          <c:w val="0.95115158149830192"/>
          <c:h val="0.8290439906217688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523266510188537"/>
                  <c:y val="0.74613959155959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Investing'!$C$43,'Principal Investing'!$F$43,'Principal Investing'!$J$43,'Principal Investing'!$M$43,'Principal Investing'!$P$43,'Principal Investing'!$S$43)</c:f>
              <c:numCache>
                <c:formatCode>_(* #,##0.0_);_(* \(#,##0.0\);_(* "-"?_);_(@_)</c:formatCode>
                <c:ptCount val="6"/>
                <c:pt idx="0">
                  <c:v>15.4</c:v>
                </c:pt>
                <c:pt idx="1">
                  <c:v>15.385</c:v>
                </c:pt>
                <c:pt idx="2">
                  <c:v>15.39</c:v>
                </c:pt>
                <c:pt idx="3">
                  <c:v>15.39</c:v>
                </c:pt>
                <c:pt idx="4">
                  <c:v>61.564999999999998</c:v>
                </c:pt>
                <c:pt idx="5">
                  <c:v>20.776499999999999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0981888"/>
        <c:axId val="250982448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40934047036949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85495161532869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74095806661820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Investing'!$B$37,'Principal Investing'!$E$37,'Principal Investing'!$I$37,'Principal Investing'!$L$37,'Principal Investing'!$O$37,'Principal Investing'!$R$37)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('Principal Investing'!$C$42,'Principal Investing'!$F$42,'Principal Investing'!$J$42,'Principal Investing'!$M$42,'Principal Investing'!$P$42,'Principal Investing'!$S$42)</c:f>
              <c:numCache>
                <c:formatCode>_(* #,##0.0_);_(* \(#,##0.0\);_(* "-"?_);_(@_)</c:formatCode>
                <c:ptCount val="6"/>
                <c:pt idx="0">
                  <c:v>93.7</c:v>
                </c:pt>
                <c:pt idx="1">
                  <c:v>-29.673999999999999</c:v>
                </c:pt>
                <c:pt idx="2">
                  <c:v>10</c:v>
                </c:pt>
                <c:pt idx="3">
                  <c:v>10</c:v>
                </c:pt>
                <c:pt idx="4">
                  <c:v>84.02600000000001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0983008"/>
        <c:axId val="250983568"/>
      </c:barChart>
      <c:catAx>
        <c:axId val="2509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8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98244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81888"/>
        <c:crosses val="autoZero"/>
        <c:crossBetween val="between"/>
        <c:majorUnit val="20"/>
      </c:valAx>
      <c:catAx>
        <c:axId val="25098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83568"/>
        <c:crosses val="autoZero"/>
        <c:auto val="1"/>
        <c:lblAlgn val="ctr"/>
        <c:lblOffset val="100"/>
        <c:noMultiLvlLbl val="0"/>
      </c:catAx>
      <c:valAx>
        <c:axId val="25098356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5098300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1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46876468001390614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3200138083325E-2"/>
          <c:y val="4.6633724472474491E-2"/>
          <c:w val="0.95115158149830192"/>
          <c:h val="0.826453228151075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Res.'!$C$43,'Energy Capital Res.'!$F$43,'Energy Capital Res.'!$J$43,'Energy Capital Res.'!$M$43,'Energy Capital Res.'!$P$43,'Energy Capital Res.'!$S$43)</c:f>
              <c:numCache>
                <c:formatCode>_(* #,##0.0_);_(* \(#,##0.0\);_(* "-"?_);_(@_)</c:formatCode>
                <c:ptCount val="6"/>
                <c:pt idx="0">
                  <c:v>10.3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25.3</c:v>
                </c:pt>
                <c:pt idx="5" formatCode="_(* #,##0.0_);_(* \(#,##0.0\);_(* &quot;-&quot;??_);_(@_)">
                  <c:v>10.8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40256"/>
        <c:axId val="146040816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82645322815107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363005081123952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Res.'!$B$37,'Energy Capital Res.'!$E$37,'Energy Capital Res.'!$I$37,'Energy Capital Res.'!$L$37,'Energy Capital Res.'!$O$37,'Energy Capital Res.'!$R$37)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('Energy Capital Res.'!$C$42,'Energy Capital Res.'!$F$42,'Energy Capital Res.'!$J$42,'Energy Capital Res.'!$M$42,'Energy Capital Res.'!$P$42,'Energy Capital Res.'!$S$42)</c:f>
              <c:numCache>
                <c:formatCode>_(* #,##0.0_);_(* \(#,##0.0\);_(* "-"?_);_(@_)</c:formatCode>
                <c:ptCount val="6"/>
                <c:pt idx="0">
                  <c:v>0.9</c:v>
                </c:pt>
                <c:pt idx="1">
                  <c:v>3.5760000000000001</c:v>
                </c:pt>
                <c:pt idx="2">
                  <c:v>0</c:v>
                </c:pt>
                <c:pt idx="3">
                  <c:v>0</c:v>
                </c:pt>
                <c:pt idx="4">
                  <c:v>4.476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41376"/>
        <c:axId val="146041936"/>
      </c:barChart>
      <c:catAx>
        <c:axId val="14604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4081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0256"/>
        <c:crosses val="autoZero"/>
        <c:crossBetween val="between"/>
        <c:majorUnit val="20"/>
      </c:valAx>
      <c:catAx>
        <c:axId val="14604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41936"/>
        <c:crosses val="autoZero"/>
        <c:auto val="1"/>
        <c:lblAlgn val="ctr"/>
        <c:lblOffset val="100"/>
        <c:noMultiLvlLbl val="0"/>
      </c:catAx>
      <c:valAx>
        <c:axId val="14604193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04137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315552999664572"/>
          <c:y val="0.92231143956671779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5533225158183E-2"/>
          <c:y val="4.6230186516621322E-2"/>
          <c:w val="0.947193145184965"/>
          <c:h val="0.82241068645357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651948219724608"/>
                  <c:y val="0.754281990534347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0325270026053"/>
                  <c:y val="0.71048497172912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Assets'!$C$43,'CTG Assets'!$F$43,'CTG Assets'!$J$43,'CTG Assets'!$M$43,'CTG Assets'!$P$43,'CTG Assets'!$S$43)</c:f>
              <c:numCache>
                <c:formatCode>_(* #,##0.0_);_(* \(#,##0.0\);_(* "-"?_);_(@_)</c:formatCode>
                <c:ptCount val="6"/>
                <c:pt idx="0">
                  <c:v>14.4</c:v>
                </c:pt>
                <c:pt idx="1">
                  <c:v>14.705</c:v>
                </c:pt>
                <c:pt idx="2">
                  <c:v>13.904999999999999</c:v>
                </c:pt>
                <c:pt idx="3">
                  <c:v>19.954999999999998</c:v>
                </c:pt>
                <c:pt idx="4">
                  <c:v>62.964999999999996</c:v>
                </c:pt>
                <c:pt idx="5">
                  <c:v>26.939250000000001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8464"/>
        <c:axId val="149189024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499965995682922"/>
                  <c:y val="0.81511118331937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51948219724608"/>
                  <c:y val="0.858908202124596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96946753792335"/>
                  <c:y val="0.81024484789657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50456715444757"/>
                  <c:y val="0.85160869899039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Assets'!$B$37,'CTG Assets'!$E$37,'CTG Assets'!$I$37,'CTG Assets'!$L$37,'CTG Assets'!$O$37,'CTG Assets'!$R$37)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('CTG Assets'!$C$42,'CTG Assets'!$F$42,'CTG Assets'!$J$42,'CTG Assets'!$M$42,'CTG Assets'!$P$42,'CTG Assets'!$S$42)</c:f>
              <c:numCache>
                <c:formatCode>_(* #,##0.0_);_(* \(#,##0.0\);_(* "-"?_);_(@_)</c:formatCode>
                <c:ptCount val="6"/>
                <c:pt idx="0">
                  <c:v>-0.60000000000000009</c:v>
                </c:pt>
                <c:pt idx="1">
                  <c:v>-12.8</c:v>
                </c:pt>
                <c:pt idx="2">
                  <c:v>1</c:v>
                </c:pt>
                <c:pt idx="3">
                  <c:v>0</c:v>
                </c:pt>
                <c:pt idx="4">
                  <c:v>-12.4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9584"/>
        <c:axId val="149190144"/>
      </c:barChart>
      <c:catAx>
        <c:axId val="14918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9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8902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88464"/>
        <c:crosses val="autoZero"/>
        <c:crossBetween val="between"/>
        <c:majorUnit val="20"/>
      </c:valAx>
      <c:catAx>
        <c:axId val="14918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90144"/>
        <c:crosses val="autoZero"/>
        <c:auto val="1"/>
        <c:lblAlgn val="ctr"/>
        <c:lblOffset val="100"/>
        <c:noMultiLvlLbl val="0"/>
      </c:catAx>
      <c:valAx>
        <c:axId val="14919014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918958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300541726237453"/>
          <c:y val="0.94893540744643767"/>
          <c:w val="0.2028034543833272"/>
          <c:h val="4.37970188052202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77121574052075E-2"/>
          <c:y val="4.6633724472474491E-2"/>
          <c:w val="0.94874766006233313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484835084576037"/>
                  <c:y val="0.79536407850275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(Chairman!$C$43,Chairman!$F$43,Chairman!$J$43,Chairman!$M$43,Chairman!$P$43,Chairman!$S$43)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23.4</c:v>
                </c:pt>
                <c:pt idx="3">
                  <c:v>23.4</c:v>
                </c:pt>
                <c:pt idx="4">
                  <c:v>46.8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8752"/>
        <c:axId val="148589312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5028138014394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(Chairman!$B$37,Chairman!$E$37,Chairman!$I$37,Chairman!$L$37,Chairman!$O$37,Chairman!$R$37)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(Chairman!$C$42,Chairman!$F$42,Chairman!$J$42,Chairman!$M$42,Chairman!$P$42,Chairman!$S$42)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-18.812000000000001</c:v>
                </c:pt>
                <c:pt idx="2">
                  <c:v>30</c:v>
                </c:pt>
                <c:pt idx="3">
                  <c:v>0</c:v>
                </c:pt>
                <c:pt idx="4">
                  <c:v>11.187999999999999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89872"/>
        <c:axId val="148590432"/>
      </c:barChart>
      <c:catAx>
        <c:axId val="14858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8931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88752"/>
        <c:crosses val="autoZero"/>
        <c:crossBetween val="between"/>
        <c:majorUnit val="20"/>
      </c:valAx>
      <c:catAx>
        <c:axId val="14858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590432"/>
        <c:crosses val="autoZero"/>
        <c:auto val="1"/>
        <c:lblAlgn val="ctr"/>
        <c:lblOffset val="100"/>
        <c:noMultiLvlLbl val="0"/>
      </c:catAx>
      <c:valAx>
        <c:axId val="14859043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858987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395683714196867"/>
          <c:y val="0.93785601439087596"/>
          <c:w val="0.2091411649292812"/>
          <c:h val="5.44060118845535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2459679440582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6892800719543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6064443002672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(East!$C$43,East!$F$43,East!$J$43,East!$M$43,East!$P$43,East!$S$43)</c:f>
              <c:numCache>
                <c:formatCode>_(* #,##0.0_);_(* \(#,##0.0\);_(* "-"?_);_(@_)</c:formatCode>
                <c:ptCount val="6"/>
                <c:pt idx="0">
                  <c:v>14.2</c:v>
                </c:pt>
                <c:pt idx="1">
                  <c:v>20.492999999999999</c:v>
                </c:pt>
                <c:pt idx="2">
                  <c:v>21.492999999999999</c:v>
                </c:pt>
                <c:pt idx="3">
                  <c:v>22.344000000000001</c:v>
                </c:pt>
                <c:pt idx="4">
                  <c:v>78.53</c:v>
                </c:pt>
                <c:pt idx="5">
                  <c:v>30.164400000000001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97424"/>
        <c:axId val="149197984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98430749053122"/>
                  <c:y val="0.81090865332691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164312226446868"/>
                  <c:y val="0.79277331603206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49224486943167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59846613073008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(East!$B$37,East!$E$37,East!$I$37,East!$L$37,East!$O$37,East!$R$37)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(East!$C$42,East!$F$42,East!$J$42,East!$M$42,East!$P$42,East!$S$42)</c:f>
              <c:numCache>
                <c:formatCode>_(* #,##0.0_);_(* \(#,##0.0\);_(* "-"?_);_(@_)</c:formatCode>
                <c:ptCount val="6"/>
                <c:pt idx="0">
                  <c:v>2.8000000000000003</c:v>
                </c:pt>
                <c:pt idx="1">
                  <c:v>3.0580000000000003</c:v>
                </c:pt>
                <c:pt idx="2">
                  <c:v>74.25</c:v>
                </c:pt>
                <c:pt idx="3">
                  <c:v>52</c:v>
                </c:pt>
                <c:pt idx="4">
                  <c:v>132.108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98544"/>
        <c:axId val="149199104"/>
      </c:barChart>
      <c:catAx>
        <c:axId val="14919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9798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7424"/>
        <c:crosses val="autoZero"/>
        <c:crossBetween val="between"/>
        <c:majorUnit val="20"/>
      </c:valAx>
      <c:catAx>
        <c:axId val="14919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99104"/>
        <c:crosses val="autoZero"/>
        <c:auto val="1"/>
        <c:lblAlgn val="ctr"/>
        <c:lblOffset val="100"/>
        <c:noMultiLvlLbl val="0"/>
      </c:catAx>
      <c:valAx>
        <c:axId val="14919910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919854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7129387090187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7189299276041E-2"/>
          <c:y val="4.6633724472474491E-2"/>
          <c:w val="0.95195288864362482"/>
          <c:h val="0.826453228151075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7046873920285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45856495731266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(West!$C$43,West!$F$43,West!$J$43,West!$M$43,West!$P$43,West!$S$43)</c:f>
              <c:numCache>
                <c:formatCode>_(* #,##0.0_);_(* \(#,##0.0\);_(* "-"?_);_(@_)</c:formatCode>
                <c:ptCount val="6"/>
                <c:pt idx="0">
                  <c:v>13.2</c:v>
                </c:pt>
                <c:pt idx="1">
                  <c:v>13.234999999999999</c:v>
                </c:pt>
                <c:pt idx="2">
                  <c:v>17.163</c:v>
                </c:pt>
                <c:pt idx="3">
                  <c:v>43.231000000000002</c:v>
                </c:pt>
                <c:pt idx="4">
                  <c:v>86.829000000000008</c:v>
                </c:pt>
                <c:pt idx="5">
                  <c:v>58.361850000000004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86368"/>
        <c:axId val="250986928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443135795656242"/>
                  <c:y val="0.676189004850880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228886558517698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9795484097345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(West!$B$37,West!$E$37,West!$I$37,West!$L$37,West!$O$37,West!$R$37)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(West!$C$42,West!$F$42,West!$J$42,West!$M$42,West!$P$42,West!$S$42)</c:f>
              <c:numCache>
                <c:formatCode>_(* #,##0.0_);_(* \(#,##0.0\);_(* "-"?_);_(@_)</c:formatCode>
                <c:ptCount val="6"/>
                <c:pt idx="0">
                  <c:v>8.4</c:v>
                </c:pt>
                <c:pt idx="1">
                  <c:v>16.986000000000001</c:v>
                </c:pt>
                <c:pt idx="2">
                  <c:v>10</c:v>
                </c:pt>
                <c:pt idx="3">
                  <c:v>64</c:v>
                </c:pt>
                <c:pt idx="4">
                  <c:v>99.38600000000001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87488"/>
        <c:axId val="250988048"/>
      </c:barChart>
      <c:catAx>
        <c:axId val="25098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8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98692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86368"/>
        <c:crosses val="autoZero"/>
        <c:crossBetween val="between"/>
        <c:majorUnit val="20"/>
      </c:valAx>
      <c:catAx>
        <c:axId val="2509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88048"/>
        <c:crosses val="autoZero"/>
        <c:auto val="1"/>
        <c:lblAlgn val="ctr"/>
        <c:lblOffset val="100"/>
        <c:noMultiLvlLbl val="0"/>
      </c:catAx>
      <c:valAx>
        <c:axId val="25098804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5098748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7357252288584367"/>
          <c:y val="0.943037539332261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79735864697904E-2"/>
          <c:y val="4.6633724472474491E-2"/>
          <c:w val="0.94634373862636434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7383673041475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3214604284909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5829215559059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(Downstream!$C$43,Downstream!$F$43,Downstream!$J$43,Downstream!$M$43,Downstream!$P$43,Downstream!$S$43)</c:f>
              <c:numCache>
                <c:formatCode>_(* #,##0.0_);_(* \(#,##0.0\);_(* "-"?_);_(@_)</c:formatCode>
                <c:ptCount val="6"/>
                <c:pt idx="0">
                  <c:v>16.899999999999999</c:v>
                </c:pt>
                <c:pt idx="1">
                  <c:v>22.861000000000001</c:v>
                </c:pt>
                <c:pt idx="2">
                  <c:v>28.361000000000001</c:v>
                </c:pt>
                <c:pt idx="3">
                  <c:v>28.361000000000001</c:v>
                </c:pt>
                <c:pt idx="4">
                  <c:v>96.483000000000004</c:v>
                </c:pt>
                <c:pt idx="5">
                  <c:v>38.287350000000004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92944"/>
        <c:axId val="149193504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8031363659148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7255850602315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(Downstream!$B$37,Downstream!$E$37,Downstream!$I$37,Downstream!$L$37,Downstream!$O$37,Downstream!$R$37)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(Downstream!$C$42,Downstream!$F$42,Downstream!$J$42,Downstream!$M$42,Downstream!$P$42,Downstream!$S$42)</c:f>
              <c:numCache>
                <c:formatCode>_(* #,##0.0_);_(* \(#,##0.0\);_(* "-"?_);_(@_)</c:formatCode>
                <c:ptCount val="6"/>
                <c:pt idx="0">
                  <c:v>3.2</c:v>
                </c:pt>
                <c:pt idx="1">
                  <c:v>16.097000000000001</c:v>
                </c:pt>
                <c:pt idx="2">
                  <c:v>58</c:v>
                </c:pt>
                <c:pt idx="3">
                  <c:v>47</c:v>
                </c:pt>
                <c:pt idx="4">
                  <c:v>124.297</c:v>
                </c:pt>
                <c:pt idx="5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94064"/>
        <c:axId val="149194624"/>
      </c:barChart>
      <c:catAx>
        <c:axId val="14919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3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9193504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2944"/>
        <c:crosses val="autoZero"/>
        <c:crossBetween val="between"/>
        <c:majorUnit val="20"/>
      </c:valAx>
      <c:catAx>
        <c:axId val="149194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194624"/>
        <c:crosses val="autoZero"/>
        <c:auto val="1"/>
        <c:lblAlgn val="ctr"/>
        <c:lblOffset val="100"/>
        <c:noMultiLvlLbl val="0"/>
      </c:catAx>
      <c:valAx>
        <c:axId val="14919462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9194064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0334615671479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7842871937499E-2"/>
          <c:y val="4.6633724472474491E-2"/>
          <c:w val="0.94794635291701024"/>
          <c:h val="0.823862465680382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722822729323354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7100747990949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73577654167681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(Generation!$C$43,Generation!$F$43,Generation!$J$43,Generation!$M$43,Generation!$P$43,Generation!$S$43)</c:f>
              <c:numCache>
                <c:formatCode>_(* #,##0.0_);_(* \(#,##0.0\);_(* "-"?_);_(@_)</c:formatCode>
                <c:ptCount val="6"/>
                <c:pt idx="0">
                  <c:v>18.7</c:v>
                </c:pt>
                <c:pt idx="1">
                  <c:v>18.710999999999999</c:v>
                </c:pt>
                <c:pt idx="2">
                  <c:v>18.712</c:v>
                </c:pt>
                <c:pt idx="3">
                  <c:v>18.713000000000001</c:v>
                </c:pt>
                <c:pt idx="4">
                  <c:v>74.835999999999999</c:v>
                </c:pt>
                <c:pt idx="5">
                  <c:v>25.262550000000005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44736"/>
        <c:axId val="146045296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176412043819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24353167224514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0209662955781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(Generation!$B$37,Generation!$E$37,Generation!$I$37,Generation!$L$37,Generation!$O$37,Generation!$R$37)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(Generation!$C$42,Generation!$F$42,Generation!$J$42,Generation!$M$42,Generation!$P$42,Generation!$S$42)</c:f>
              <c:numCache>
                <c:formatCode>_(* #,##0.0_);_(* \(#,##0.0\);_(* "-"?_);_(@_)</c:formatCode>
                <c:ptCount val="6"/>
                <c:pt idx="0">
                  <c:v>7.2</c:v>
                </c:pt>
                <c:pt idx="1">
                  <c:v>35.366</c:v>
                </c:pt>
                <c:pt idx="2">
                  <c:v>29</c:v>
                </c:pt>
                <c:pt idx="3">
                  <c:v>67.5</c:v>
                </c:pt>
                <c:pt idx="4">
                  <c:v>139.066</c:v>
                </c:pt>
                <c:pt idx="5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45856"/>
        <c:axId val="146046416"/>
      </c:barChart>
      <c:catAx>
        <c:axId val="1460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4529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44736"/>
        <c:crosses val="autoZero"/>
        <c:crossBetween val="between"/>
      </c:valAx>
      <c:catAx>
        <c:axId val="1460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046416"/>
        <c:crosses val="autoZero"/>
        <c:auto val="1"/>
        <c:lblAlgn val="ctr"/>
        <c:lblOffset val="100"/>
        <c:noMultiLvlLbl val="0"/>
      </c:catAx>
      <c:valAx>
        <c:axId val="14604641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6045856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075160856067698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08493061802065E-2"/>
          <c:y val="4.6633724472474491E-2"/>
          <c:w val="0.92951628857458313"/>
          <c:h val="0.823862465680382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8286142229898953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831500849163529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296728753895822"/>
                  <c:y val="0.69432434214573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61141994308355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627838136021854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(Coal!$C$43,Coal!$F$43,Coal!$J$43,Coal!$M$43,Coal!$P$43,Coal!$S$43)</c:f>
              <c:numCache>
                <c:formatCode>_(* #,##0.0_);_(* \(#,##0.0\);_(* "-"?_);_(@_)</c:formatCode>
                <c:ptCount val="6"/>
                <c:pt idx="0">
                  <c:v>12.7</c:v>
                </c:pt>
                <c:pt idx="1">
                  <c:v>6.2119999999999997</c:v>
                </c:pt>
                <c:pt idx="2">
                  <c:v>6.2789999999999999</c:v>
                </c:pt>
                <c:pt idx="3">
                  <c:v>6.2789999999999999</c:v>
                </c:pt>
                <c:pt idx="4">
                  <c:v>31.47</c:v>
                </c:pt>
                <c:pt idx="5">
                  <c:v>8.4766500000000011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593232"/>
        <c:axId val="148593792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01045039698955"/>
                  <c:y val="0.82645322815107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8286142229898953"/>
                  <c:y val="0.7642749288544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510977991034366"/>
                  <c:y val="0.55960469366969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056336610298943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681825944095814"/>
                  <c:y val="0.43524809507642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69173357967503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(Coal!$B$37,Coal!$E$37,Coal!$I$37,Coal!$L$37,Coal!$O$37,Coal!$R$37)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(Coal!$C$42,Coal!$F$42,Coal!$J$42,Coal!$M$42,Coal!$P$42,Coal!$S$42)</c:f>
              <c:numCache>
                <c:formatCode>_(* #,##0.0_);_(* \(#,##0.0\);_(* "-"?_);_(@_)</c:formatCode>
                <c:ptCount val="6"/>
                <c:pt idx="0">
                  <c:v>-1.1000000000000001</c:v>
                </c:pt>
                <c:pt idx="1">
                  <c:v>4.1639999999999997</c:v>
                </c:pt>
                <c:pt idx="2">
                  <c:v>45</c:v>
                </c:pt>
                <c:pt idx="3">
                  <c:v>25</c:v>
                </c:pt>
                <c:pt idx="4">
                  <c:v>73.063999999999993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8594352"/>
        <c:axId val="148594912"/>
      </c:barChart>
      <c:catAx>
        <c:axId val="14859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59379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593232"/>
        <c:crosses val="autoZero"/>
        <c:crossBetween val="between"/>
        <c:majorUnit val="20"/>
      </c:valAx>
      <c:catAx>
        <c:axId val="14859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594912"/>
        <c:crosses val="autoZero"/>
        <c:auto val="1"/>
        <c:lblAlgn val="ctr"/>
        <c:lblOffset val="100"/>
        <c:noMultiLvlLbl val="0"/>
      </c:catAx>
      <c:valAx>
        <c:axId val="14859491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859435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6956598715922909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4.6633724472474491E-2"/>
          <c:w val="0.94474112433571855"/>
          <c:h val="0.816090178268303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0468739202850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64769061767325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575552323105196"/>
                  <c:y val="0.673598242380187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440429620017814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(Canada!$C$43,Canada!$F$43,Canada!$J$43,Canada!$M$43,Canada!$P$43,Canada!$S$43)</c:f>
              <c:numCache>
                <c:formatCode>_(* #,##0.0_);_(* \(#,##0.0\);_(* "-"?_);_(@_)</c:formatCode>
                <c:ptCount val="6"/>
                <c:pt idx="0">
                  <c:v>11.6</c:v>
                </c:pt>
                <c:pt idx="1">
                  <c:v>11.555999999999999</c:v>
                </c:pt>
                <c:pt idx="2">
                  <c:v>11.557</c:v>
                </c:pt>
                <c:pt idx="3">
                  <c:v>11.558</c:v>
                </c:pt>
                <c:pt idx="4">
                  <c:v>46.271000000000001</c:v>
                </c:pt>
                <c:pt idx="5">
                  <c:v>15.603300000000001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8176"/>
        <c:axId val="147418736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5650264144236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64250909273187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58033079343523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33185779206126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37306979577979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(Canada!$B$37,Canada!$E$37,Canada!$I$37,Canada!$L$37,Canada!$O$37,Canada!$R$37)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(Canada!$C$42,Canada!$F$42,Canada!$J$42,Canada!$M$42,Canada!$P$42,Canada!$S$42)</c:f>
              <c:numCache>
                <c:formatCode>_(* #,##0.0_);_(* \(#,##0.0\);_(* "-"?_);_(@_)</c:formatCode>
                <c:ptCount val="6"/>
                <c:pt idx="0">
                  <c:v>7.6000000000000005</c:v>
                </c:pt>
                <c:pt idx="1">
                  <c:v>12.428000000000001</c:v>
                </c:pt>
                <c:pt idx="2">
                  <c:v>19</c:v>
                </c:pt>
                <c:pt idx="3">
                  <c:v>11</c:v>
                </c:pt>
                <c:pt idx="4">
                  <c:v>50.027999999999992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419296"/>
        <c:axId val="147419856"/>
      </c:barChart>
      <c:catAx>
        <c:axId val="1474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1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741873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418176"/>
        <c:crosses val="autoZero"/>
        <c:crossBetween val="between"/>
        <c:majorUnit val="20"/>
      </c:valAx>
      <c:catAx>
        <c:axId val="1474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419856"/>
        <c:crosses val="autoZero"/>
        <c:auto val="1"/>
        <c:lblAlgn val="ctr"/>
        <c:lblOffset val="100"/>
        <c:noMultiLvlLbl val="0"/>
      </c:catAx>
      <c:valAx>
        <c:axId val="147419856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7419296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3671239420098951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886271591312491E-2"/>
          <c:y val="4.6633724472474491E-2"/>
          <c:w val="0.94313851004507276"/>
          <c:h val="0.81868094073899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8053579427052"/>
                  <c:y val="0.696915104616424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270585847437493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976205895766654"/>
                  <c:y val="0.77722874120790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40780227837488"/>
                  <c:y val="0.61401070555424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699505867087117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Products'!$B$37,'New Products'!$E$37,'New Products'!$I$37,'New Products'!$L$37,'New Products'!$O$37,'New Products'!$R$37)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('New Products'!$C$43,'New Products'!$F$43,'New Products'!$J$43,'New Products'!$M$43,'New Products'!$P$43,'New Products'!$S$43)</c:f>
              <c:numCache>
                <c:formatCode>_(* #,##0.0_);_(* \(#,##0.0\);_(* "-"?_);_(@_)</c:formatCode>
                <c:ptCount val="6"/>
                <c:pt idx="0">
                  <c:v>7.7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7.7119999999999997</c:v>
                </c:pt>
                <c:pt idx="4">
                  <c:v>30.835999999999999</c:v>
                </c:pt>
                <c:pt idx="5">
                  <c:v>10.411200000000001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0977408"/>
        <c:axId val="250977968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645096513640621"/>
                  <c:y val="0.75909340391305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030193703840613"/>
                  <c:y val="0.68137052979226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80518798772898"/>
                  <c:y val="0.67877976732157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467576706957276"/>
                  <c:y val="0.74873035403028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Products'!$B$37:$C$37,'New Products'!$E$37:$F$37,'New Products'!$I$37:$J$37,'New Products'!$L$37:$M$37,'New Products'!$O$37:$P$37,'New Products'!$R$37:$S$37)</c:f>
              <c:strCache>
                <c:ptCount val="11"/>
                <c:pt idx="0">
                  <c:v>1Q00</c:v>
                </c:pt>
                <c:pt idx="2">
                  <c:v>2Q00</c:v>
                </c:pt>
                <c:pt idx="4">
                  <c:v>3Q00</c:v>
                </c:pt>
                <c:pt idx="6">
                  <c:v>4Q00</c:v>
                </c:pt>
                <c:pt idx="8">
                  <c:v>2000</c:v>
                </c:pt>
                <c:pt idx="10">
                  <c:v>1Q01</c:v>
                </c:pt>
              </c:strCache>
            </c:strRef>
          </c:cat>
          <c:val>
            <c:numRef>
              <c:f>('New Products'!$C$42,'New Products'!$F$42,'New Products'!$J$42,'New Products'!$M$42,'New Products'!$P$42,'New Products'!$S$42)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1.7210000000000001</c:v>
                </c:pt>
                <c:pt idx="2">
                  <c:v>20</c:v>
                </c:pt>
                <c:pt idx="3">
                  <c:v>0</c:v>
                </c:pt>
                <c:pt idx="4">
                  <c:v>21.721</c:v>
                </c:pt>
                <c:pt idx="5">
                  <c:v>7.5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0978528"/>
        <c:axId val="250979088"/>
      </c:barChart>
      <c:catAx>
        <c:axId val="2509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7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97796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77408"/>
        <c:crosses val="autoZero"/>
        <c:crossBetween val="between"/>
        <c:majorUnit val="20"/>
      </c:valAx>
      <c:catAx>
        <c:axId val="250978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79088"/>
        <c:crosses val="autoZero"/>
        <c:auto val="1"/>
        <c:lblAlgn val="ctr"/>
        <c:lblOffset val="100"/>
        <c:noMultiLvlLbl val="0"/>
      </c:catAx>
      <c:valAx>
        <c:axId val="25097908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5097852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79306942355103"/>
          <c:y val="0.94044677686156897"/>
          <c:w val="0.2091411649292812"/>
          <c:h val="5.1815249413860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48235015534374E-2"/>
          <c:y val="5.1815249413860551E-2"/>
          <c:w val="0.94554243148104145"/>
          <c:h val="0.821271703209689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Mexico!$A$43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244442940979163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305950167354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4354882908889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(Mexico!$C$43,Mexico!$F$43,Mexico!$J$43,Mexico!$M$43,Mexico!$P$43,Mexico!$S$43)</c:f>
              <c:numCache>
                <c:formatCode>_(* #,##0.0_);_(* \(#,##0.0\);_(* "-"?_);_(@_)</c:formatCode>
                <c:ptCount val="6"/>
                <c:pt idx="0">
                  <c:v>4.7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4.6559999999999997</c:v>
                </c:pt>
                <c:pt idx="4">
                  <c:v>18.667999999999999</c:v>
                </c:pt>
                <c:pt idx="5">
                  <c:v>6.2856000000000005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053696"/>
        <c:axId val="146054256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Mexico!$A$42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244442940979163"/>
                  <c:y val="0.80054560344414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875917910906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(Mexico!$B$37,Mexico!$E$37,Mexico!$I$37,Mexico!$L$37,Mexico!$O$37,Mexico!$R$37)</c:f>
              <c:strCache>
                <c:ptCount val="6"/>
                <c:pt idx="0">
                  <c:v>1Q00</c:v>
                </c:pt>
                <c:pt idx="1">
                  <c:v>2Q00</c:v>
                </c:pt>
                <c:pt idx="2">
                  <c:v>3Q00</c:v>
                </c:pt>
                <c:pt idx="3">
                  <c:v>4Q00</c:v>
                </c:pt>
                <c:pt idx="4">
                  <c:v>2000</c:v>
                </c:pt>
                <c:pt idx="5">
                  <c:v>1Q01</c:v>
                </c:pt>
              </c:strCache>
            </c:strRef>
          </c:cat>
          <c:val>
            <c:numRef>
              <c:f>(Mexico!$C$42,Mexico!$F$42,Mexico!$J$42,Mexico!$M$42,Mexico!$P$42,Mexico!$S$42)</c:f>
              <c:numCache>
                <c:formatCode>_(* #,##0.0_);_(* \(#,##0.0\);_(* "-"?_);_(@_)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0</c:v>
                </c:pt>
                <c:pt idx="3">
                  <c:v>34</c:v>
                </c:pt>
                <c:pt idx="4">
                  <c:v>34.002000000000002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50974048"/>
        <c:axId val="250974608"/>
      </c:barChart>
      <c:catAx>
        <c:axId val="1460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05425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3696"/>
        <c:crosses val="autoZero"/>
        <c:crossBetween val="between"/>
        <c:majorUnit val="20"/>
      </c:valAx>
      <c:catAx>
        <c:axId val="25097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974608"/>
        <c:crosses val="autoZero"/>
        <c:auto val="1"/>
        <c:lblAlgn val="ctr"/>
        <c:lblOffset val="100"/>
        <c:noMultiLvlLbl val="0"/>
      </c:catAx>
      <c:valAx>
        <c:axId val="25097460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5097404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67450728340624"/>
          <c:y val="0.94562830180295498"/>
          <c:w val="0.2091411649292812"/>
          <c:h val="4.6633724472474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819275" cy="495300"/>
    <xdr:sp macro="" textlink="">
      <xdr:nvSpPr>
        <xdr:cNvPr id="1049" name="Text Box 25"/>
        <xdr:cNvSpPr txBox="1">
          <a:spLocks noChangeArrowheads="1"/>
        </xdr:cNvSpPr>
      </xdr:nvSpPr>
      <xdr:spPr bwMode="auto">
        <a:xfrm>
          <a:off x="5876925" y="7267575"/>
          <a:ext cx="18192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324600" y="981075"/>
          <a:ext cx="6353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0418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62466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115112</xdr:colOff>
      <xdr:row>48</xdr:row>
      <xdr:rowOff>76200</xdr:rowOff>
    </xdr:from>
    <xdr:ext cx="1703351" cy="436017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5853925" y="7327106"/>
          <a:ext cx="1703351" cy="436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lnSpc>
              <a:spcPts val="15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lnSpc>
              <a:spcPts val="1400"/>
            </a:lnSpc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813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46</xdr:row>
      <xdr:rowOff>0</xdr:rowOff>
    </xdr:from>
    <xdr:to>
      <xdr:col>20</xdr:col>
      <xdr:colOff>38100</xdr:colOff>
      <xdr:row>70</xdr:row>
      <xdr:rowOff>28575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0178" name="Text Box 2"/>
        <xdr:cNvSpPr txBox="1">
          <a:spLocks noChangeArrowheads="1"/>
        </xdr:cNvSpPr>
      </xdr:nvSpPr>
      <xdr:spPr bwMode="auto">
        <a:xfrm>
          <a:off x="6267450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837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1746" name="Text Box 1026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46</xdr:row>
      <xdr:rowOff>0</xdr:rowOff>
    </xdr:from>
    <xdr:to>
      <xdr:col>20</xdr:col>
      <xdr:colOff>57150</xdr:colOff>
      <xdr:row>68</xdr:row>
      <xdr:rowOff>114300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3794" name="Text Box 1026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5842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37890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4274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56322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123825</xdr:colOff>
      <xdr:row>48</xdr:row>
      <xdr:rowOff>76200</xdr:rowOff>
    </xdr:from>
    <xdr:to>
      <xdr:col>11</xdr:col>
      <xdr:colOff>190500</xdr:colOff>
      <xdr:row>51</xdr:row>
      <xdr:rowOff>85725</xdr:rowOff>
    </xdr:to>
    <xdr:sp macro="" textlink="">
      <xdr:nvSpPr>
        <xdr:cNvPr id="39938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46</xdr:row>
      <xdr:rowOff>0</xdr:rowOff>
    </xdr:from>
    <xdr:to>
      <xdr:col>20</xdr:col>
      <xdr:colOff>38100</xdr:colOff>
      <xdr:row>68</xdr:row>
      <xdr:rowOff>114300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123825</xdr:colOff>
      <xdr:row>48</xdr:row>
      <xdr:rowOff>76200</xdr:rowOff>
    </xdr:from>
    <xdr:ext cx="1781175" cy="504825"/>
    <xdr:sp macro="" textlink="">
      <xdr:nvSpPr>
        <xdr:cNvPr id="41986" name="Text Box 2"/>
        <xdr:cNvSpPr txBox="1">
          <a:spLocks noChangeArrowheads="1"/>
        </xdr:cNvSpPr>
      </xdr:nvSpPr>
      <xdr:spPr bwMode="auto">
        <a:xfrm>
          <a:off x="5857875" y="7267575"/>
          <a:ext cx="1781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18288" bIns="0" anchor="t" upright="1">
          <a:spAutoFit/>
        </a:bodyPr>
        <a:lstStyle/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Quarterly Summary</a:t>
          </a: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($ in millions)</a:t>
          </a:r>
        </a:p>
      </xdr:txBody>
    </xdr:sp>
    <xdr:clientData/>
  </xdr:one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The%20Hot%20List/Hot%20List%2006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80">
          <cell r="F80">
            <v>6279</v>
          </cell>
          <cell r="I80">
            <v>6279</v>
          </cell>
          <cell r="O80">
            <v>8476.6500000000015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list - Identified "/>
      <sheetName val="Hotlist - Completed"/>
    </sheetNames>
    <sheetDataSet>
      <sheetData sheetId="0">
        <row r="29">
          <cell r="F29">
            <v>21493</v>
          </cell>
          <cell r="I29">
            <v>22344</v>
          </cell>
          <cell r="O29">
            <v>30164.400000000001</v>
          </cell>
        </row>
        <row r="41">
          <cell r="F41">
            <v>17163</v>
          </cell>
          <cell r="I41">
            <v>43231</v>
          </cell>
          <cell r="O41">
            <v>58361.850000000006</v>
          </cell>
        </row>
        <row r="56">
          <cell r="F56">
            <v>28361</v>
          </cell>
          <cell r="I56">
            <v>28361</v>
          </cell>
          <cell r="O56">
            <v>38287.350000000006</v>
          </cell>
        </row>
        <row r="68">
          <cell r="F68">
            <v>18712</v>
          </cell>
          <cell r="I68">
            <v>18713</v>
          </cell>
          <cell r="O68">
            <v>25262.550000000003</v>
          </cell>
        </row>
        <row r="95">
          <cell r="F95">
            <v>11557</v>
          </cell>
          <cell r="I95">
            <v>11558</v>
          </cell>
          <cell r="O95">
            <v>15603.300000000001</v>
          </cell>
        </row>
        <row r="102">
          <cell r="F102">
            <v>7712</v>
          </cell>
          <cell r="I102">
            <v>7712</v>
          </cell>
          <cell r="O102">
            <v>10411.200000000001</v>
          </cell>
        </row>
        <row r="110">
          <cell r="F110">
            <v>4656</v>
          </cell>
          <cell r="I110">
            <v>4656</v>
          </cell>
          <cell r="O110">
            <v>6285.6</v>
          </cell>
        </row>
        <row r="134">
          <cell r="F134">
            <v>20238</v>
          </cell>
          <cell r="I134">
            <v>21355</v>
          </cell>
          <cell r="O134">
            <v>28829.250000000004</v>
          </cell>
        </row>
        <row r="144">
          <cell r="F144">
            <v>27078</v>
          </cell>
          <cell r="I144">
            <v>26841</v>
          </cell>
          <cell r="O144">
            <v>36235.350000000006</v>
          </cell>
        </row>
        <row r="153">
          <cell r="F153">
            <v>15390</v>
          </cell>
          <cell r="I153">
            <v>15390</v>
          </cell>
          <cell r="O153">
            <v>20776.5</v>
          </cell>
        </row>
        <row r="163">
          <cell r="F163">
            <v>5000</v>
          </cell>
          <cell r="I163">
            <v>8000</v>
          </cell>
          <cell r="O163">
            <v>10800</v>
          </cell>
        </row>
        <row r="176">
          <cell r="F176">
            <v>13905</v>
          </cell>
          <cell r="I176">
            <v>19955</v>
          </cell>
          <cell r="O176">
            <v>26939.25</v>
          </cell>
        </row>
      </sheetData>
      <sheetData sheetId="1">
        <row r="12">
          <cell r="C12">
            <v>20493</v>
          </cell>
          <cell r="I12">
            <v>4656</v>
          </cell>
        </row>
        <row r="19">
          <cell r="C19">
            <v>13235</v>
          </cell>
        </row>
        <row r="27">
          <cell r="C27">
            <v>22861</v>
          </cell>
          <cell r="I27">
            <v>12436</v>
          </cell>
        </row>
        <row r="36">
          <cell r="C36">
            <v>18711</v>
          </cell>
        </row>
        <row r="38">
          <cell r="I38">
            <v>18423</v>
          </cell>
        </row>
        <row r="44">
          <cell r="C44">
            <v>6212</v>
          </cell>
        </row>
        <row r="46">
          <cell r="I46">
            <v>15385</v>
          </cell>
        </row>
        <row r="52">
          <cell r="I52">
            <v>2000</v>
          </cell>
        </row>
        <row r="61">
          <cell r="C61">
            <v>11556</v>
          </cell>
          <cell r="I61">
            <v>14705</v>
          </cell>
        </row>
        <row r="67">
          <cell r="C67">
            <v>7712</v>
          </cell>
          <cell r="I6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B1" workbookViewId="0">
      <selection activeCell="J6" sqref="J6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42578125" style="2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43</v>
      </c>
    </row>
    <row r="3" spans="1:17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" customFormat="1" ht="23.25" customHeight="1" x14ac:dyDescent="0.35">
      <c r="A8" s="19"/>
      <c r="B8" s="38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" customFormat="1" ht="23.25" customHeight="1" x14ac:dyDescent="0.35">
      <c r="A9" s="19"/>
      <c r="B9" s="38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7" s="1" customFormat="1" ht="23.25" customHeight="1" x14ac:dyDescent="0.35">
      <c r="A10" s="19"/>
      <c r="B10" s="38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x14ac:dyDescent="0.2">
      <c r="A13" s="2" t="s">
        <v>5</v>
      </c>
      <c r="C13" s="44">
        <f>East!C13+West!C13+Downstream!C13+Generation!C13+'New Products'!C13+Mexico!C13+'Principal Investing'!C13+'Energy Capital Res.'!C13+'CTG Assets'!C13+' Upstream Originations'!C13+'HPL&amp;LRC'!C13+Coal!C13+Canada!C13+Chairman!C13</f>
        <v>0</v>
      </c>
      <c r="D13" s="44">
        <f>East!D13+West!D13+Downstream!D13+Generation!D13+'New Products'!D13+Mexico!D13+'Principal Investing'!D13+'Energy Capital Res.'!D13+'CTG Assets'!D13+' Upstream Originations'!D13+'HPL&amp;LRC'!D13+Coal!D13+Canada!D13+Chairman!D13</f>
        <v>110</v>
      </c>
      <c r="E13" s="44">
        <f>East!E13+West!E13+Downstream!E13+Generation!E13+'New Products'!E13+Mexico!E13+'Principal Investing'!E13+'Energy Capital Res.'!E13+'CTG Assets'!E13+' Upstream Originations'!E13+'HPL&amp;LRC'!E13+Coal!E13+Canada!E13+Chairman!E13</f>
        <v>216</v>
      </c>
      <c r="F13" s="44">
        <f>East!F13+West!F13+Downstream!F13+Generation!F13+'New Products'!F13+Mexico!F13+'Principal Investing'!F13+'Energy Capital Res.'!F13+'CTG Assets'!F13+' Upstream Originations'!F13+'HPL&amp;LRC'!F13+Coal!F13+Canada!F13+Chairman!F13</f>
        <v>224</v>
      </c>
      <c r="G13" s="44">
        <f>East!G13+West!G13+Downstream!G13+Generation!G13+'New Products'!G13+Mexico!G13+'Principal Investing'!G13+'Energy Capital Res.'!G13+'CTG Assets'!G13+' Upstream Originations'!G13+'HPL&amp;LRC'!G13+Coal!G13+Canada!G13+Chairman!G13</f>
        <v>233</v>
      </c>
      <c r="H13" s="44">
        <f>East!H13+West!H13+Downstream!H13+Generation!H13+'New Products'!H13+Mexico!H13+'Principal Investing'!H13+'Energy Capital Res.'!H13+'CTG Assets'!H13+' Upstream Originations'!H13+'HPL&amp;LRC'!H13+Coal!H13+Canada!H13+Chairman!H13</f>
        <v>224</v>
      </c>
      <c r="I13" s="44">
        <f>East!I13+West!I13+Downstream!I13+Generation!I13+'New Products'!I13+Mexico!I13+'Principal Investing'!I13+'Energy Capital Res.'!I13+'CTG Assets'!I13+' Upstream Originations'!I13+'HPL&amp;LRC'!I13+Coal!I13+Canada!I13+Chairman!I13</f>
        <v>301</v>
      </c>
      <c r="J13" s="44">
        <f>East!J13+West!J13+Downstream!J13+Generation!J13+'New Products'!J13+Mexico!J13+'Principal Investing'!J13+'Energy Capital Res.'!J13+'CTG Assets'!J13+' Upstream Originations'!J13+'HPL&amp;LRC'!J13+Coal!J13+Canada!J13+Chairman!J13</f>
        <v>302</v>
      </c>
      <c r="K13" s="44">
        <f>East!K13+West!K13+Downstream!K13+Generation!K13+'New Products'!K13+Mexico!K13+'Principal Investing'!K13+'Energy Capital Res.'!K13+'CTG Assets'!K13+' Upstream Originations'!K13+'HPL&amp;LRC'!K13+Coal!K13+Canada!K13+Chairman!K13</f>
        <v>292</v>
      </c>
      <c r="L13" s="44">
        <f>East!L13+West!L13+Downstream!L13+Generation!L13+'New Products'!L13+Mexico!L13+'Principal Investing'!L13+'Energy Capital Res.'!L13+'CTG Assets'!L13+' Upstream Originations'!L13+'HPL&amp;LRC'!L13+Coal!L13+Canada!L13+Chairman!L13</f>
        <v>359</v>
      </c>
      <c r="M13" s="44">
        <f>East!M13+West!M13+Downstream!M13+Generation!M13+'New Products'!M13+Mexico!M13+'Principal Investing'!M13+'Energy Capital Res.'!M13+'CTG Assets'!M13+' Upstream Originations'!M13+'HPL&amp;LRC'!M13+Coal!M13+Canada!M13+Chairman!M13</f>
        <v>391</v>
      </c>
      <c r="N13" s="44">
        <f>East!N13+West!N13+Downstream!N13+Generation!N13+'New Products'!N13+Mexico!N13+'Principal Investing'!N13+'Energy Capital Res.'!N13+'CTG Assets'!N13+' Upstream Originations'!N13+'HPL&amp;LRC'!N13+Coal!N13+Canada!N13+Chairman!N13</f>
        <v>395</v>
      </c>
      <c r="O13" s="44"/>
    </row>
    <row r="14" spans="1:17" x14ac:dyDescent="0.2">
      <c r="A14" s="4" t="s">
        <v>1</v>
      </c>
      <c r="C14" s="44">
        <f>East!C14+West!C14+Downstream!C14+Generation!C14+'New Products'!C14+Mexico!C14+'Principal Investing'!C14+'Energy Capital Res.'!C14+'CTG Assets'!C14+' Upstream Originations'!C14+'HPL&amp;LRC'!C14+Coal!C14+Canada!C14+Chairman!C14</f>
        <v>110</v>
      </c>
      <c r="D14" s="44">
        <f>East!D14+West!D14+Downstream!D14+Generation!D14+'New Products'!D14+Mexico!D14+'Principal Investing'!D14+'Energy Capital Res.'!D14+'CTG Assets'!D14+' Upstream Originations'!D14+'HPL&amp;LRC'!D14+Coal!D14+Canada!D14+Chairman!D14</f>
        <v>148</v>
      </c>
      <c r="E14" s="44">
        <f>East!E14+West!E14+Downstream!E14+Generation!E14+'New Products'!E14+Mexico!E14+'Principal Investing'!E14+'Energy Capital Res.'!E14+'CTG Assets'!E14+' Upstream Originations'!E14+'HPL&amp;LRC'!E14+Coal!E14+Canada!E14+Chairman!E14</f>
        <v>17</v>
      </c>
      <c r="F14" s="44">
        <f>East!F14+West!F14+Downstream!F14+Generation!F14+'New Products'!F14+Mexico!F14+'Principal Investing'!F14+'Energy Capital Res.'!F14+'CTG Assets'!F14+' Upstream Originations'!F14+'HPL&amp;LRC'!F14+Coal!F14+Canada!F14+Chairman!F14</f>
        <v>23</v>
      </c>
      <c r="G14" s="44">
        <f>East!G14+West!G14+Downstream!G14+Generation!G14+'New Products'!G14+Mexico!G14+'Principal Investing'!G14+'Energy Capital Res.'!G14+'CTG Assets'!G14+' Upstream Originations'!G14+'HPL&amp;LRC'!G14+Coal!G14+Canada!G14+Chairman!G14</f>
        <v>20</v>
      </c>
      <c r="H14" s="44">
        <f>East!H14+West!H14+Downstream!H14+Generation!H14+'New Products'!H14+Mexico!H14+'Principal Investing'!H14+'Energy Capital Res.'!H14+'CTG Assets'!H14+' Upstream Originations'!H14+'HPL&amp;LRC'!H14+Coal!H14+Canada!H14+Chairman!H14</f>
        <v>90</v>
      </c>
      <c r="I14" s="44">
        <f>East!I14+West!I14+Downstream!I14+Generation!I14+'New Products'!I14+Mexico!I14+'Principal Investing'!I14+'Energy Capital Res.'!I14+'CTG Assets'!I14+' Upstream Originations'!I14+'HPL&amp;LRC'!I14+Coal!I14+Canada!I14+Chairman!I14</f>
        <v>21</v>
      </c>
      <c r="J14" s="44">
        <f>East!J14+West!J14+Downstream!J14+Generation!J14+'New Products'!J14+Mexico!J14+'Principal Investing'!J14+'Energy Capital Res.'!J14+'CTG Assets'!J14+' Upstream Originations'!J14+'HPL&amp;LRC'!J14+Coal!J14+Canada!J14+Chairman!J14</f>
        <v>10</v>
      </c>
      <c r="K14" s="44">
        <f>East!K14+West!K14+Downstream!K14+Generation!K14+'New Products'!K14+Mexico!K14+'Principal Investing'!K14+'Energy Capital Res.'!K14+'CTG Assets'!K14+' Upstream Originations'!K14+'HPL&amp;LRC'!K14+Coal!K14+Canada!K14+Chairman!K14</f>
        <v>110</v>
      </c>
      <c r="L14" s="44">
        <f>East!L14+West!L14+Downstream!L14+Generation!L14+'New Products'!L14+Mexico!L14+'Principal Investing'!L14+'Energy Capital Res.'!L14+'CTG Assets'!L14+' Upstream Originations'!L14+'HPL&amp;LRC'!L14+Coal!L14+Canada!L14+Chairman!L14</f>
        <v>53</v>
      </c>
      <c r="M14" s="44">
        <f>East!M14+West!M14+Downstream!M14+Generation!M14+'New Products'!M14+Mexico!M14+'Principal Investing'!M14+'Energy Capital Res.'!M14+'CTG Assets'!M14+' Upstream Originations'!M14+'HPL&amp;LRC'!M14+Coal!M14+Canada!M14+Chairman!M14</f>
        <v>46</v>
      </c>
      <c r="N14" s="44">
        <f>East!N14+West!N14+Downstream!N14+Generation!N14+'New Products'!N14+Mexico!N14+'Principal Investing'!N14+'Energy Capital Res.'!N14+'CTG Assets'!N14+' Upstream Originations'!N14+'HPL&amp;LRC'!N14+Coal!N14+Canada!N14+Chairman!N14</f>
        <v>26</v>
      </c>
      <c r="O14" s="44"/>
    </row>
    <row r="15" spans="1:17" x14ac:dyDescent="0.2">
      <c r="A15" s="4" t="s">
        <v>2</v>
      </c>
      <c r="C15" s="44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44">
        <f>East!D15+West!D15+Downstream!D15+Generation!D15+'New Products'!D15+Mexico!D15+'Principal Investing'!D15+'Energy Capital Res.'!D15+'CTG Assets'!D15+' Upstream Originations'!D15+'HPL&amp;LRC'!D15+Coal!D15+Canada!D15+Chairman!D15</f>
        <v>11</v>
      </c>
      <c r="E15" s="44">
        <f>East!E15+West!E15+Downstream!E15+Generation!E15+'New Products'!E15+Mexico!E15+'Principal Investing'!E15+'Energy Capital Res.'!E15+'CTG Assets'!E15+' Upstream Originations'!E15+'HPL&amp;LRC'!E15+Coal!E15+Canada!E15+Chairman!E15</f>
        <v>9</v>
      </c>
      <c r="F15" s="44">
        <f>East!F15+West!F15+Downstream!F15+Generation!F15+'New Products'!F15+Mexico!F15+'Principal Investing'!F15+'Energy Capital Res.'!F15+'CTG Assets'!F15+' Upstream Originations'!F15+'HPL&amp;LRC'!F15+Coal!F15+Canada!F15+Chairman!F15</f>
        <v>13</v>
      </c>
      <c r="G15" s="44">
        <f>East!G15+West!G15+Downstream!G15+Generation!G15+'New Products'!G15+Mexico!G15+'Principal Investing'!G15+'Energy Capital Res.'!G15+'CTG Assets'!G15+' Upstream Originations'!G15+'HPL&amp;LRC'!G15+Coal!G15+Canada!G15+Chairman!G15</f>
        <v>19</v>
      </c>
      <c r="H15" s="44">
        <f>East!H15+West!H15+Downstream!H15+Generation!H15+'New Products'!H15+Mexico!H15+'Principal Investing'!H15+'Energy Capital Res.'!H15+'CTG Assets'!H15+' Upstream Originations'!H15+'HPL&amp;LRC'!H15+Coal!H15+Canada!H15+Chairman!H15</f>
        <v>8</v>
      </c>
      <c r="I15" s="44">
        <f>East!I15+West!I15+Downstream!I15+Generation!I15+'New Products'!I15+Mexico!I15+'Principal Investing'!I15+'Energy Capital Res.'!I15+'CTG Assets'!I15+' Upstream Originations'!I15+'HPL&amp;LRC'!I15+Coal!I15+Canada!I15+Chairman!I15</f>
        <v>14</v>
      </c>
      <c r="J15" s="44">
        <f>East!J15+West!J15+Downstream!J15+Generation!J15+'New Products'!J15+Mexico!J15+'Principal Investing'!J15+'Energy Capital Res.'!J15+'CTG Assets'!J15+' Upstream Originations'!J15+'HPL&amp;LRC'!J15+Coal!J15+Canada!J15+Chairman!J15</f>
        <v>7</v>
      </c>
      <c r="K15" s="44">
        <f>East!K15+West!K15+Downstream!K15+Generation!K15+'New Products'!K15+Mexico!K15+'Principal Investing'!K15+'Energy Capital Res.'!K15+'CTG Assets'!K15+' Upstream Originations'!K15+'HPL&amp;LRC'!K15+Coal!K15+Canada!K15+Chairman!K15</f>
        <v>7</v>
      </c>
      <c r="L15" s="44">
        <f>East!L15+West!L15+Downstream!L15+Generation!L15+'New Products'!L15+Mexico!L15+'Principal Investing'!L15+'Energy Capital Res.'!L15+'CTG Assets'!L15+' Upstream Originations'!L15+'HPL&amp;LRC'!L15+Coal!L15+Canada!L15+Chairman!L15</f>
        <v>11</v>
      </c>
      <c r="M15" s="44">
        <f>East!M15+West!M15+Downstream!M15+Generation!M15+'New Products'!M15+Mexico!M15+'Principal Investing'!M15+'Energy Capital Res.'!M15+'CTG Assets'!M15+' Upstream Originations'!M15+'HPL&amp;LRC'!M15+Coal!M15+Canada!M15+Chairman!M15</f>
        <v>30</v>
      </c>
      <c r="N15" s="44">
        <f>East!N15+West!N15+Downstream!N15+Generation!N15+'New Products'!N15+Mexico!N15+'Principal Investing'!N15+'Energy Capital Res.'!N15+'CTG Assets'!N15+' Upstream Originations'!N15+'HPL&amp;LRC'!N15+Coal!N15+Canada!N15+Chairman!N15</f>
        <v>13</v>
      </c>
      <c r="O15" s="44"/>
    </row>
    <row r="16" spans="1:17" x14ac:dyDescent="0.2">
      <c r="A16" s="4" t="s">
        <v>3</v>
      </c>
      <c r="C16" s="44">
        <f>East!C16+West!C16+Downstream!C16+Generation!C16+'New Products'!C16+Mexico!C16+'Principal Investing'!C16+'Energy Capital Res.'!C16+'CTG Assets'!C16+' Upstream Originations'!C16+'HPL&amp;LRC'!C16+Coal!C16+Canada!C16+Chairman!C16</f>
        <v>0</v>
      </c>
      <c r="D16" s="44">
        <f>East!D16+West!D16+Downstream!D16+Generation!D16+'New Products'!D16+Mexico!D16+'Principal Investing'!D16+'Energy Capital Res.'!D16+'CTG Assets'!D16+' Upstream Originations'!D16+'HPL&amp;LRC'!D16+Coal!D16+Canada!D16+Chairman!D16</f>
        <v>31</v>
      </c>
      <c r="E16" s="44">
        <f>East!E16+West!E16+Downstream!E16+Generation!E16+'New Products'!E16+Mexico!E16+'Principal Investing'!E16+'Energy Capital Res.'!E16+'CTG Assets'!E16+' Upstream Originations'!E16+'HPL&amp;LRC'!E16+Coal!E16+Canada!E16+Chairman!E16</f>
        <v>0</v>
      </c>
      <c r="F16" s="44">
        <f>East!F16+West!F16+Downstream!F16+Generation!F16+'New Products'!F16+Mexico!F16+'Principal Investing'!F16+'Energy Capital Res.'!F16+'CTG Assets'!F16+' Upstream Originations'!F16+'HPL&amp;LRC'!F16+Coal!F16+Canada!F16+Chairman!F16</f>
        <v>1</v>
      </c>
      <c r="G16" s="44">
        <f>East!G16+West!G16+Downstream!G16+Generation!G16+'New Products'!G16+Mexico!G16+'Principal Investing'!G16+'Energy Capital Res.'!G16+'CTG Assets'!G16+' Upstream Originations'!G16+'HPL&amp;LRC'!G16+Coal!G16+Canada!G16+Chairman!G16</f>
        <v>10</v>
      </c>
      <c r="H16" s="44">
        <f>East!H16+West!H16+Downstream!H16+Generation!H16+'New Products'!H16+Mexico!H16+'Principal Investing'!H16+'Energy Capital Res.'!H16+'CTG Assets'!H16+' Upstream Originations'!H16+'HPL&amp;LRC'!H16+Coal!H16+Canada!H16+Chairman!H16</f>
        <v>5</v>
      </c>
      <c r="I16" s="44">
        <f>East!I16+West!I16+Downstream!I16+Generation!I16+'New Products'!I16+Mexico!I16+'Principal Investing'!I16+'Energy Capital Res.'!I16+'CTG Assets'!I16+' Upstream Originations'!I16+'HPL&amp;LRC'!I16+Coal!I16+Canada!I16+Chairman!I16</f>
        <v>6</v>
      </c>
      <c r="J16" s="44">
        <f>East!J16+West!J16+Downstream!J16+Generation!J16+'New Products'!J16+Mexico!J16+'Principal Investing'!J16+'Energy Capital Res.'!J16+'CTG Assets'!J16+' Upstream Originations'!J16+'HPL&amp;LRC'!J16+Coal!J16+Canada!J16+Chairman!J16</f>
        <v>13</v>
      </c>
      <c r="K16" s="44">
        <f>East!K16+West!K16+Downstream!K16+Generation!K16+'New Products'!K16+Mexico!K16+'Principal Investing'!K16+'Energy Capital Res.'!K16+'CTG Assets'!K16+' Upstream Originations'!K16+'HPL&amp;LRC'!K16+Coal!K16+Canada!K16+Chairman!K16</f>
        <v>36</v>
      </c>
      <c r="L16" s="44">
        <f>East!L16+West!L16+Downstream!L16+Generation!L16+'New Products'!L16+Mexico!L16+'Principal Investing'!L16+'Energy Capital Res.'!L16+'CTG Assets'!L16+' Upstream Originations'!L16+'HPL&amp;LRC'!L16+Coal!L16+Canada!L16+Chairman!L16</f>
        <v>10</v>
      </c>
      <c r="M16" s="44">
        <f>East!M16+West!M16+Downstream!M16+Generation!M16+'New Products'!M16+Mexico!M16+'Principal Investing'!M16+'Energy Capital Res.'!M16+'CTG Assets'!M16+' Upstream Originations'!M16+'HPL&amp;LRC'!M16+Coal!M16+Canada!M16+Chairman!M16</f>
        <v>12</v>
      </c>
      <c r="N16" s="44">
        <f>East!N16+West!N16+Downstream!N16+Generation!N16+'New Products'!N16+Mexico!N16+'Principal Investing'!N16+'Energy Capital Res.'!N16+'CTG Assets'!N16+' Upstream Originations'!N16+'HPL&amp;LRC'!N16+Coal!N16+Canada!N16+Chairman!N16</f>
        <v>7</v>
      </c>
      <c r="O16" s="44"/>
      <c r="P16" s="65"/>
    </row>
    <row r="17" spans="1:19" ht="13.5" thickBot="1" x14ac:dyDescent="0.25">
      <c r="A17" s="2" t="s">
        <v>6</v>
      </c>
      <c r="C17" s="45">
        <f t="shared" ref="C17:H17" si="0">+C13+C14-C15-C16</f>
        <v>110</v>
      </c>
      <c r="D17" s="45">
        <f t="shared" si="0"/>
        <v>216</v>
      </c>
      <c r="E17" s="45">
        <f t="shared" si="0"/>
        <v>224</v>
      </c>
      <c r="F17" s="45">
        <f t="shared" si="0"/>
        <v>233</v>
      </c>
      <c r="G17" s="45">
        <f t="shared" si="0"/>
        <v>224</v>
      </c>
      <c r="H17" s="45">
        <f t="shared" si="0"/>
        <v>301</v>
      </c>
      <c r="I17" s="45">
        <f t="shared" ref="I17:O17" si="1">+I13+I14-I15-I16</f>
        <v>302</v>
      </c>
      <c r="J17" s="45">
        <f t="shared" si="1"/>
        <v>292</v>
      </c>
      <c r="K17" s="45">
        <f t="shared" si="1"/>
        <v>359</v>
      </c>
      <c r="L17" s="45">
        <f t="shared" si="1"/>
        <v>391</v>
      </c>
      <c r="M17" s="75">
        <f t="shared" si="1"/>
        <v>395</v>
      </c>
      <c r="N17" s="45">
        <f t="shared" si="1"/>
        <v>401</v>
      </c>
      <c r="O17" s="45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t="13.5" hidden="1" thickTop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f>East!B39+West!B39+Downstream!B39+Generation!B39+'New Products'!B39+Mexico!B39+'Principal Investing'!B39+'Energy Capital Res.'!B39+'CTG Assets'!B39+' Upstream Originations'!B39+'HPL&amp;LRC'!B39+Coal!B39+Canada!B39+Chairman!B39</f>
        <v>45</v>
      </c>
      <c r="C39" s="27">
        <f>East!C39+West!C39+Downstream!C39+Generation!C39+'New Products'!C39+Mexico!C39+'Principal Investing'!C39+'Energy Capital Res.'!C39+'CTG Assets'!C39+' Upstream Originations'!C39+'HPL&amp;LRC'!C39+Coal!C39+Canada!C39+Chairman!C39</f>
        <v>31.299999999999997</v>
      </c>
      <c r="D39" s="59"/>
      <c r="E39" s="26">
        <f>East!E39+West!E39+Downstream!E39+Generation!E39+'New Products'!E39+Mexico!E39+'Principal Investing'!E39+'Energy Capital Res.'!E39+'CTG Assets'!E39+' Upstream Originations'!E39+'HPL&amp;LRC'!E39+Coal!E39+Canada!E39+Chairman!E39</f>
        <v>131</v>
      </c>
      <c r="F39" s="27">
        <f>East!F39+West!F39+Downstream!F39+Generation!F39+'New Products'!F39+Mexico!F39+'Principal Investing'!F39+'Energy Capital Res.'!F39+'CTG Assets'!F39+' Upstream Originations'!F39+'HPL&amp;LRC'!F39+Coal!F39+Canada!F39+Chairman!F39</f>
        <v>32.624026999999998</v>
      </c>
      <c r="G39" s="59">
        <f>East!G39+West!G39+Downstream!G39+Generation!G39+'New Products'!G39+Mexico!G39+'Principal Investing'!G39+'Energy Capital Res.'!G39+'CTG Assets'!G39+' Upstream Originations'!G39+'HPL&amp;LRC'!G39+Coal!G39+Canada!G39+Chairman!G39</f>
        <v>33.415000000000006</v>
      </c>
      <c r="H39" s="9"/>
      <c r="I39" s="26">
        <f>East!I39+West!I39+Downstream!I39+Generation!I39+'New Products'!I39+Mexico!I39+'Principal Investing'!I39+'Energy Capital Res.'!I39+'CTG Assets'!I39+' Upstream Originations'!I39+'HPL&amp;LRC'!I39+Coal!I39+Canada!I39+Chairman!I39</f>
        <v>0</v>
      </c>
      <c r="J39" s="27">
        <f>East!J39+West!J39+Downstream!J39+Generation!J39+'New Products'!J39+Mexico!J39+'Principal Investing'!J39+'Energy Capital Res.'!J39+'CTG Assets'!J39+' Upstream Originations'!J39+'HPL&amp;LRC'!J39+Coal!J39+Canada!J39+Chairman!J39</f>
        <v>0</v>
      </c>
      <c r="K39" s="9"/>
      <c r="L39" s="26">
        <f>East!L39+West!L39+Downstream!L39+Generation!L39+'New Products'!L39+Mexico!L39+'Principal Investing'!L39+'Energy Capital Res.'!L39+'CTG Assets'!L39+' Upstream Originations'!L39+'HPL&amp;LRC'!L39+Coal!L39+Canada!L39+Chairman!L39</f>
        <v>0</v>
      </c>
      <c r="M39" s="27">
        <f>East!M39+West!M39+Downstream!M39+Generation!M39+'New Products'!M39+Mexico!M39+'Principal Investing'!M39+'Energy Capital Res.'!M39+'CTG Assets'!M39+' Upstream Originations'!M39+'HPL&amp;LRC'!M39+Coal!M39+Canada!M39+Chairman!M39</f>
        <v>0</v>
      </c>
      <c r="N39" s="9"/>
      <c r="O39" s="26">
        <f>+B39+E39+I39+L39</f>
        <v>176</v>
      </c>
      <c r="P39" s="27">
        <f>+C39+F39+J39+M39</f>
        <v>63.924026999999995</v>
      </c>
      <c r="Q39" s="9"/>
      <c r="R39" s="26">
        <f>East!R39+West!R39+Downstream!R39+Generation!R39+'New Products'!R39+Mexico!R39+'Principal Investing'!R39+'Energy Capital Res.'!R39+'CTG Assets'!R39+' Upstream Originations'!R39+'HPL&amp;LRC'!R39+Coal!R39+Canada!R39+Chairman!R39</f>
        <v>0</v>
      </c>
      <c r="S39" s="27">
        <f>East!S39+West!S39+Downstream!S39+Generation!S39+'New Products'!S39+Mexico!S39+'Principal Investing'!S39+'Energy Capital Res.'!S39+'CTG Assets'!S39+' Upstream Originations'!S39+'HPL&amp;LRC'!S39+Coal!S39+Canada!S39+Chairman!S39</f>
        <v>0</v>
      </c>
      <c r="T39" s="9"/>
    </row>
    <row r="40" spans="1:20" x14ac:dyDescent="0.2">
      <c r="A40" s="2" t="s">
        <v>58</v>
      </c>
      <c r="B40" s="26"/>
      <c r="C40" s="64">
        <f>East!C40+West!C40+Downstream!C40+Generation!C40+'New Products'!C40+Mexico!C40+'Principal Investing'!C40+'Energy Capital Res.'!C40+'CTG Assets'!C40+' Upstream Originations'!C40+'HPL&amp;LRC'!C40+Coal!C40+Canada!C40+Chairman!C40</f>
        <v>113.9</v>
      </c>
      <c r="D40" s="59"/>
      <c r="E40" s="26"/>
      <c r="F40" s="64">
        <f>East!F40+West!F40+Downstream!F40+Generation!F40+'New Products'!F40+Mexico!F40+'Principal Investing'!F40+'Energy Capital Res.'!F40+'CTG Assets'!F40+' Upstream Originations'!F40+'HPL&amp;LRC'!F40+Coal!F40+Canada!F40+Chairman!F40</f>
        <v>-25.602027</v>
      </c>
      <c r="G40" s="59"/>
      <c r="H40" s="9"/>
      <c r="I40" s="26"/>
      <c r="J40" s="64">
        <f>East!J40+West!J40+Downstream!J40+Generation!J40+'New Products'!J40+Mexico!J40+'Principal Investing'!J40+'Energy Capital Res.'!J40+'CTG Assets'!J40+' Upstream Originations'!J40+'HPL&amp;LRC'!J40+Coal!J40+Canada!J40+Chairman!J40</f>
        <v>0</v>
      </c>
      <c r="K40" s="9"/>
      <c r="L40" s="26"/>
      <c r="M40" s="64">
        <f>East!M40+West!M40+Downstream!M40+Generation!M40+'New Products'!M40+Mexico!M40+'Principal Investing'!M40+'Energy Capital Res.'!M40+'CTG Assets'!M40+' Upstream Originations'!M40+'HPL&amp;LRC'!M40+Coal!M40+Canada!M40+Chairman!M40</f>
        <v>0</v>
      </c>
      <c r="N40" s="9"/>
      <c r="O40" s="26"/>
      <c r="P40" s="64">
        <f>East!P40+West!P40+Downstream!P40+Generation!P40+'New Products'!P40+Mexico!P40+'Principal Investing'!P40+'Energy Capital Res.'!P40+'CTG Assets'!P40+' Upstream Originations'!P40+'HPL&amp;LRC'!P40+Coal!P40+Canada!P40+Chairman!P40</f>
        <v>88.297972999999999</v>
      </c>
      <c r="Q40" s="9"/>
      <c r="R40" s="26"/>
      <c r="S40" s="64">
        <f>East!S40+West!S40+Downstream!S40+Generation!S40+'New Products'!S40+Mexico!S40+'Principal Investing'!S40+'Energy Capital Res.'!S40+'CTG Assets'!S40+' Upstream Originations'!S40+'HPL&amp;LRC'!S40+Coal!S40+Canada!S40+Chairman!S40</f>
        <v>0</v>
      </c>
      <c r="T40" s="9"/>
    </row>
    <row r="41" spans="1:20" x14ac:dyDescent="0.2">
      <c r="A41" s="2" t="s">
        <v>0</v>
      </c>
      <c r="B41" s="28">
        <f>East!B41+West!B41+Downstream!B41+Generation!B41+'New Products'!B41+Mexico!B41+'Principal Investing'!B41+'Energy Capital Res.'!B41+'CTG Assets'!B41+' Upstream Originations'!B41+'HPL&amp;LRC'!B41+Coal!B41+Canada!B41+Chairman!B41</f>
        <v>0</v>
      </c>
      <c r="C41" s="32">
        <f>East!C41+West!C41+Downstream!C41+Generation!C41+'New Products'!C41+Mexico!C41+'Principal Investing'!C41+'Energy Capital Res.'!C41+'CTG Assets'!C41+' Upstream Originations'!C41+'HPL&amp;LRC'!C41+Coal!C41+Canada!C41+Chairman!C41</f>
        <v>0</v>
      </c>
      <c r="D41" s="54"/>
      <c r="E41" s="28">
        <f>East!E41+West!E41+Downstream!E41+Generation!E41+'New Products'!E41+Mexico!E41+'Principal Investing'!E41+'Energy Capital Res.'!E41+'CTG Assets'!E41+' Upstream Originations'!E41+'HPL&amp;LRC'!E41+Coal!E41+Canada!E41+Chairman!E41</f>
        <v>29</v>
      </c>
      <c r="F41" s="32">
        <f>East!F41+West!F41+Downstream!F41+Generation!F41+'New Products'!F41+Mexico!F41+'Principal Investing'!F41+'Energy Capital Res.'!F41+'CTG Assets'!F41+' Upstream Originations'!F41+'HPL&amp;LRC'!F41+Coal!F41+Canada!F41+Chairman!F41</f>
        <v>58.21</v>
      </c>
      <c r="G41" s="54"/>
      <c r="H41" s="9"/>
      <c r="I41" s="28">
        <f>East!I41+West!I41+Downstream!I41+Generation!I41+'New Products'!I41+Mexico!I41+'Principal Investing'!I41+'Energy Capital Res.'!I41+'CTG Assets'!I41+' Upstream Originations'!I41+'HPL&amp;LRC'!I41+Coal!I41+Canada!I41+Chairman!I41</f>
        <v>235</v>
      </c>
      <c r="J41" s="32">
        <f>East!J41+West!J41+Downstream!J41+Generation!J41+'New Products'!J41+Mexico!J41+'Principal Investing'!J41+'Energy Capital Res.'!J41+'CTG Assets'!J41+' Upstream Originations'!J41+'HPL&amp;LRC'!J41+Coal!J41+Canada!J41+Chairman!J41</f>
        <v>335.04599999999999</v>
      </c>
      <c r="K41" s="9"/>
      <c r="L41" s="28">
        <f>East!L41+West!L41+Downstream!L41+Generation!L41+'New Products'!L41+Mexico!L41+'Principal Investing'!L41+'Energy Capital Res.'!L41+'CTG Assets'!L41+' Upstream Originations'!L41+'HPL&amp;LRC'!L41+Coal!L41+Canada!L41+Chairman!L41</f>
        <v>116</v>
      </c>
      <c r="M41" s="32">
        <f>East!M41+West!M41+Downstream!M41+Generation!M41+'New Products'!M41+Mexico!M41+'Principal Investing'!M41+'Energy Capital Res.'!M41+'CTG Assets'!M41+' Upstream Originations'!M41+'HPL&amp;LRC'!M41+Coal!M41+Canada!M41+Chairman!M41</f>
        <v>333.68799999999999</v>
      </c>
      <c r="N41" s="9"/>
      <c r="O41" s="28">
        <f>East!O41+West!O41+Downstream!O41+Generation!O41+'New Products'!O41+Mexico!O41+'Principal Investing'!O41+'Energy Capital Res.'!O41+'CTG Assets'!O41+' Upstream Originations'!O41+'HPL&amp;LRC'!O41+Coal!O41+Canada!O41+Chairman!O41</f>
        <v>380</v>
      </c>
      <c r="P41" s="32">
        <f>+C41+F41+J41+M41</f>
        <v>726.94399999999996</v>
      </c>
      <c r="Q41" s="9"/>
      <c r="R41" s="28">
        <f>East!R41+West!R41+Downstream!R41+Generation!R41+'New Products'!R41+Mexico!R41+'Principal Investing'!R41+'Energy Capital Res.'!R41+'CTG Assets'!R41+' Upstream Originations'!R41+'HPL&amp;LRC'!R41+Coal!R41+Canada!R41+Chairman!R41</f>
        <v>21</v>
      </c>
      <c r="S41" s="32">
        <f>East!S41+West!S41+Downstream!S41+Generation!S41+'New Products'!S41+Mexico!S41+'Principal Investing'!S41+'Energy Capital Res.'!S41+'CTG Assets'!S41+' Upstream Originations'!S41+'HPL&amp;LRC'!S41+Coal!S41+Canada!S41+Chairman!S41</f>
        <v>71.599999999999994</v>
      </c>
      <c r="T41" s="9"/>
    </row>
    <row r="42" spans="1:20" s="5" customFormat="1" x14ac:dyDescent="0.2">
      <c r="A42" s="5" t="s">
        <v>59</v>
      </c>
      <c r="B42" s="23">
        <f>SUM(B39:B41)</f>
        <v>45</v>
      </c>
      <c r="C42" s="30">
        <f>SUM(C39:C41)</f>
        <v>145.19999999999999</v>
      </c>
      <c r="D42" s="55"/>
      <c r="E42" s="23">
        <f>SUM(E39:E41)</f>
        <v>160</v>
      </c>
      <c r="F42" s="30">
        <f>SUM(F39:F41)</f>
        <v>65.231999999999999</v>
      </c>
      <c r="G42" s="55"/>
      <c r="H42" s="11"/>
      <c r="I42" s="23">
        <f>SUM(I39:I41)</f>
        <v>235</v>
      </c>
      <c r="J42" s="30">
        <f>SUM(J39:J41)</f>
        <v>335.04599999999999</v>
      </c>
      <c r="K42" s="11"/>
      <c r="L42" s="23">
        <f>SUM(L39:L41)</f>
        <v>116</v>
      </c>
      <c r="M42" s="30">
        <f>SUM(M39:M41)</f>
        <v>333.68799999999999</v>
      </c>
      <c r="N42" s="11"/>
      <c r="O42" s="23">
        <f>SUM(O39:O41)</f>
        <v>556</v>
      </c>
      <c r="P42" s="30">
        <f>SUM(P39:P41)</f>
        <v>879.16599999999994</v>
      </c>
      <c r="Q42" s="11"/>
      <c r="R42" s="23">
        <f>SUM(R39:R41)</f>
        <v>21</v>
      </c>
      <c r="S42" s="30">
        <f>SUM(S39:S41)</f>
        <v>71.599999999999994</v>
      </c>
      <c r="T42" s="11"/>
    </row>
    <row r="43" spans="1:20" s="14" customFormat="1" x14ac:dyDescent="0.2">
      <c r="A43" s="46" t="s">
        <v>19</v>
      </c>
      <c r="B43" s="31"/>
      <c r="C43" s="30">
        <f>East!C43+West!C43+Downstream!C43+Generation!C43+'New Products'!C43+Mexico!C43+'Principal Investing'!C43+'Energy Capital Res.'!C43+'CTG Assets'!C43+' Upstream Originations'!C43+'HPL&amp;LRC'!C43+Coal!C43+Canada!C43+Chairman!C43</f>
        <v>170.1</v>
      </c>
      <c r="D43" s="55"/>
      <c r="E43" s="31"/>
      <c r="F43" s="30">
        <f>East!F43+West!F43+Downstream!F43+Generation!F43+'New Products'!F43+Mexico!F43+'Principal Investing'!F43+'Energy Capital Res.'!F43+'CTG Assets'!F43+' Upstream Originations'!F43+'HPL&amp;LRC'!F43+Coal!F43+Canada!F43+Chairman!F43</f>
        <v>168.38500000000002</v>
      </c>
      <c r="G43" s="55"/>
      <c r="H43" s="10"/>
      <c r="I43" s="31"/>
      <c r="J43" s="30">
        <f>East!J43+West!J43+Downstream!J43+Generation!J43+'New Products'!J43+Mexico!J43+'Principal Investing'!J43+'Energy Capital Res.'!J43+'CTG Assets'!J43+' Upstream Originations'!J43+'HPL&amp;LRC'!J43+Coal!J43+Canada!J43+Chairman!J43</f>
        <v>220.94399999999999</v>
      </c>
      <c r="K43" s="10"/>
      <c r="L43" s="31"/>
      <c r="M43" s="30">
        <f>East!M43+West!M43+Downstream!M43+Generation!M43+'New Products'!M43+Mexico!M43+'Principal Investing'!M43+'Energy Capital Res.'!M43+'CTG Assets'!M43+' Upstream Originations'!M43+'HPL&amp;LRC'!M43+Coal!M43+Canada!M43+Chairman!M43</f>
        <v>257.79500000000002</v>
      </c>
      <c r="N43" s="10"/>
      <c r="O43" s="31"/>
      <c r="P43" s="30">
        <f>+M43+J43+F43+C43</f>
        <v>817.22400000000005</v>
      </c>
      <c r="Q43" s="10"/>
      <c r="R43" s="31"/>
      <c r="S43" s="30">
        <f>East!S43+West!S43+Downstream!S43+Generation!S43+'New Products'!S43+Mexico!S43+'Principal Investing'!S43+'Energy Capital Res.'!S43+'CTG Assets'!S43+' Upstream Originations'!S43+'HPL&amp;LRC'!S43+Coal!S43+Canada!S43+Chairman!S43</f>
        <v>316.44324999999998</v>
      </c>
      <c r="T43" s="10"/>
    </row>
    <row r="44" spans="1:20" s="5" customFormat="1" ht="18.75" thickBot="1" x14ac:dyDescent="0.3">
      <c r="A44" s="5" t="s">
        <v>31</v>
      </c>
      <c r="B44" s="100">
        <f>+C42/C43</f>
        <v>0.8536155202821869</v>
      </c>
      <c r="C44" s="101"/>
      <c r="D44" s="49"/>
      <c r="E44" s="100">
        <f>+F42/F43</f>
        <v>0.38739792736882733</v>
      </c>
      <c r="F44" s="101"/>
      <c r="G44" s="56"/>
      <c r="H44" s="49"/>
      <c r="I44" s="100">
        <f>+J42/J43</f>
        <v>1.5164295024983707</v>
      </c>
      <c r="J44" s="101"/>
      <c r="K44" s="49"/>
      <c r="L44" s="100">
        <f>+M42/M43</f>
        <v>1.2943928315134117</v>
      </c>
      <c r="M44" s="101"/>
      <c r="N44" s="49"/>
      <c r="O44" s="100">
        <f>+P42/P43</f>
        <v>1.0757956202950474</v>
      </c>
      <c r="P44" s="101"/>
      <c r="Q44" s="49"/>
      <c r="R44" s="100">
        <f>+S42/S43</f>
        <v>0.2262648989984776</v>
      </c>
      <c r="S44" s="101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  <row r="70" spans="2:18" ht="13.5" x14ac:dyDescent="0.25">
      <c r="B70" s="41" t="str">
        <f ca="1">CELL("filename")</f>
        <v>C:\Users\Felienne\Enron\EnronSpreadsheets\[sally_beck__33712__Metrics 0623.xlsx]Consol</v>
      </c>
      <c r="C70" s="41"/>
    </row>
    <row r="71" spans="2:18" ht="13.5" x14ac:dyDescent="0.25">
      <c r="B71" s="99">
        <f ca="1">NOW()</f>
        <v>41887.534190162034</v>
      </c>
      <c r="C71" s="99"/>
    </row>
  </sheetData>
  <mergeCells count="24">
    <mergeCell ref="B71:C71"/>
    <mergeCell ref="B44:C44"/>
    <mergeCell ref="R44:S44"/>
    <mergeCell ref="L44:M44"/>
    <mergeCell ref="I44:J44"/>
    <mergeCell ref="E44:F44"/>
    <mergeCell ref="O44:P44"/>
    <mergeCell ref="I34:S34"/>
    <mergeCell ref="E36:F36"/>
    <mergeCell ref="O36:P36"/>
    <mergeCell ref="B36:C36"/>
    <mergeCell ref="A46:B46"/>
    <mergeCell ref="B37:C37"/>
    <mergeCell ref="E37:F37"/>
    <mergeCell ref="O37:P37"/>
    <mergeCell ref="R37:S37"/>
    <mergeCell ref="I37:J37"/>
    <mergeCell ref="L37:M37"/>
    <mergeCell ref="A3:F3"/>
    <mergeCell ref="R36:S36"/>
    <mergeCell ref="C8:O8"/>
    <mergeCell ref="C9:O9"/>
    <mergeCell ref="B19:O19"/>
    <mergeCell ref="A32:S32"/>
  </mergeCells>
  <printOptions horizontalCentered="1"/>
  <pageMargins left="0.42" right="0" top="0.25" bottom="0.24" header="0.25" footer="0.25"/>
  <pageSetup scale="6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61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17</v>
      </c>
      <c r="E13" s="17">
        <f t="shared" si="0"/>
        <v>23</v>
      </c>
      <c r="F13" s="17">
        <f t="shared" si="0"/>
        <v>24</v>
      </c>
      <c r="G13" s="17">
        <f t="shared" si="0"/>
        <v>24</v>
      </c>
      <c r="H13" s="17">
        <f t="shared" si="0"/>
        <v>21</v>
      </c>
      <c r="I13" s="17">
        <f t="shared" si="0"/>
        <v>45</v>
      </c>
      <c r="J13" s="17">
        <f t="shared" si="0"/>
        <v>47</v>
      </c>
      <c r="K13" s="17">
        <f t="shared" si="0"/>
        <v>47</v>
      </c>
      <c r="L13" s="17">
        <f t="shared" si="0"/>
        <v>56</v>
      </c>
      <c r="M13" s="72">
        <f t="shared" si="0"/>
        <v>59</v>
      </c>
      <c r="N13" s="72">
        <f t="shared" si="0"/>
        <v>59</v>
      </c>
      <c r="O13" s="17"/>
      <c r="P13" s="17"/>
    </row>
    <row r="14" spans="1:16" x14ac:dyDescent="0.2">
      <c r="A14" s="4" t="s">
        <v>1</v>
      </c>
      <c r="C14" s="17">
        <v>17</v>
      </c>
      <c r="D14" s="17">
        <v>10</v>
      </c>
      <c r="E14" s="17">
        <v>2</v>
      </c>
      <c r="F14" s="17">
        <v>0</v>
      </c>
      <c r="G14" s="17">
        <v>2</v>
      </c>
      <c r="H14" s="17">
        <f>36-10</f>
        <v>26</v>
      </c>
      <c r="I14" s="17">
        <v>2</v>
      </c>
      <c r="J14" s="17">
        <v>0</v>
      </c>
      <c r="K14" s="17">
        <v>10</v>
      </c>
      <c r="L14" s="17">
        <v>9</v>
      </c>
      <c r="M14" s="72">
        <v>0</v>
      </c>
      <c r="N14" s="17">
        <v>10</v>
      </c>
      <c r="O14" s="17"/>
      <c r="P14" s="17"/>
    </row>
    <row r="15" spans="1:16" x14ac:dyDescent="0.2">
      <c r="A15" s="4" t="s">
        <v>2</v>
      </c>
      <c r="C15" s="17">
        <v>0</v>
      </c>
      <c r="D15" s="17">
        <v>4</v>
      </c>
      <c r="E15" s="17">
        <v>1</v>
      </c>
      <c r="F15" s="17">
        <v>0</v>
      </c>
      <c r="G15" s="17">
        <v>4</v>
      </c>
      <c r="H15" s="17">
        <v>2</v>
      </c>
      <c r="I15" s="17">
        <v>0</v>
      </c>
      <c r="J15" s="17">
        <v>0</v>
      </c>
      <c r="K15" s="17">
        <v>1</v>
      </c>
      <c r="L15" s="17">
        <v>5</v>
      </c>
      <c r="M15" s="72">
        <v>0</v>
      </c>
      <c r="N15" s="17">
        <v>4</v>
      </c>
      <c r="O15" s="17"/>
      <c r="P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1</v>
      </c>
      <c r="H16" s="17">
        <v>0</v>
      </c>
      <c r="I16" s="17">
        <v>0</v>
      </c>
      <c r="J16" s="17">
        <v>0</v>
      </c>
      <c r="K16" s="17">
        <v>0</v>
      </c>
      <c r="L16" s="17">
        <v>1</v>
      </c>
      <c r="M16" s="72">
        <v>0</v>
      </c>
      <c r="N16" s="17">
        <v>4</v>
      </c>
      <c r="O16" s="17"/>
      <c r="P16" s="17"/>
    </row>
    <row r="17" spans="1:19" ht="13.5" thickBot="1" x14ac:dyDescent="0.25">
      <c r="A17" s="2" t="s">
        <v>6</v>
      </c>
      <c r="C17" s="18">
        <f t="shared" ref="C17:O17" si="1">+C13+C14-C15-C16</f>
        <v>17</v>
      </c>
      <c r="D17" s="18">
        <f t="shared" si="1"/>
        <v>23</v>
      </c>
      <c r="E17" s="18">
        <f t="shared" si="1"/>
        <v>24</v>
      </c>
      <c r="F17" s="18">
        <f t="shared" si="1"/>
        <v>24</v>
      </c>
      <c r="G17" s="18">
        <f t="shared" si="1"/>
        <v>21</v>
      </c>
      <c r="H17" s="18">
        <f t="shared" si="1"/>
        <v>45</v>
      </c>
      <c r="I17" s="18">
        <f t="shared" si="1"/>
        <v>47</v>
      </c>
      <c r="J17" s="18">
        <f t="shared" si="1"/>
        <v>47</v>
      </c>
      <c r="K17" s="18">
        <f t="shared" si="1"/>
        <v>56</v>
      </c>
      <c r="L17" s="18">
        <f t="shared" si="1"/>
        <v>59</v>
      </c>
      <c r="M17" s="73">
        <f t="shared" si="1"/>
        <v>59</v>
      </c>
      <c r="N17" s="18">
        <f t="shared" si="1"/>
        <v>61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17</v>
      </c>
      <c r="C39" s="27">
        <v>7.1</v>
      </c>
      <c r="D39" s="9"/>
      <c r="E39" s="26">
        <v>6</v>
      </c>
      <c r="F39" s="27">
        <f>0.861+0.527+5.82</f>
        <v>7.2080000000000002</v>
      </c>
      <c r="G39" s="59">
        <f>0.861+0.527+5.757</f>
        <v>7.1449999999999996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23</v>
      </c>
      <c r="P39" s="27">
        <f>+M39+J39+F39+C39</f>
        <v>14.308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16</v>
      </c>
      <c r="D40" s="9"/>
      <c r="E40" s="26"/>
      <c r="F40" s="64">
        <f>17.773-F39</f>
        <v>10.565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26.564999999999998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24</v>
      </c>
      <c r="J41" s="70">
        <v>31.911999999999999</v>
      </c>
      <c r="K41" s="68"/>
      <c r="L41" s="71">
        <v>29</v>
      </c>
      <c r="M41" s="70">
        <v>19.937000000000001</v>
      </c>
      <c r="N41" s="9"/>
      <c r="O41" s="28">
        <f>+L41+I41+E41+B41</f>
        <v>53</v>
      </c>
      <c r="P41" s="32">
        <f>+M41+J41+F41+C41</f>
        <v>51.849000000000004</v>
      </c>
      <c r="Q41" s="9"/>
      <c r="R41" s="28">
        <v>8</v>
      </c>
      <c r="S41" s="32">
        <v>6.6</v>
      </c>
      <c r="T41" s="9"/>
    </row>
    <row r="42" spans="1:20" s="5" customFormat="1" x14ac:dyDescent="0.2">
      <c r="A42" s="5" t="s">
        <v>59</v>
      </c>
      <c r="B42" s="23">
        <f>SUM(B39:B41)</f>
        <v>17</v>
      </c>
      <c r="C42" s="30">
        <f>SUM(C39:C41)</f>
        <v>23.1</v>
      </c>
      <c r="D42" s="11"/>
      <c r="E42" s="23">
        <f>SUM(E39:E41)</f>
        <v>6</v>
      </c>
      <c r="F42" s="30">
        <f>SUM(F39:F41)</f>
        <v>17.773</v>
      </c>
      <c r="G42" s="55"/>
      <c r="H42" s="11"/>
      <c r="I42" s="23">
        <f>SUM(I39:I41)</f>
        <v>24</v>
      </c>
      <c r="J42" s="30">
        <f>SUM(J39:J41)</f>
        <v>31.911999999999999</v>
      </c>
      <c r="K42" s="11"/>
      <c r="L42" s="23">
        <f>SUM(L39:L41)</f>
        <v>29</v>
      </c>
      <c r="M42" s="30">
        <f>SUM(M39:M41)</f>
        <v>19.937000000000001</v>
      </c>
      <c r="N42" s="11"/>
      <c r="O42" s="23">
        <f>SUM(O39:O41)</f>
        <v>76</v>
      </c>
      <c r="P42" s="30">
        <f>SUM(P39:P41)</f>
        <v>92.722000000000008</v>
      </c>
      <c r="Q42" s="11"/>
      <c r="R42" s="23">
        <f>SUM(R39:R41)</f>
        <v>8</v>
      </c>
      <c r="S42" s="30">
        <f>SUM(S39:S41)</f>
        <v>6.6</v>
      </c>
      <c r="T42" s="11"/>
    </row>
    <row r="43" spans="1:20" s="14" customFormat="1" x14ac:dyDescent="0.2">
      <c r="A43" s="46" t="s">
        <v>19</v>
      </c>
      <c r="B43" s="31"/>
      <c r="C43" s="30">
        <v>30.3</v>
      </c>
      <c r="D43" s="10"/>
      <c r="E43" s="31"/>
      <c r="F43" s="82">
        <f>+'[2]Hotlist - Completed'!I38/1000</f>
        <v>18.422999999999998</v>
      </c>
      <c r="G43" s="55"/>
      <c r="H43" s="10"/>
      <c r="I43" s="31"/>
      <c r="J43" s="82">
        <f>+'[2]Hotlist - Identified '!$F134/1000</f>
        <v>20.238</v>
      </c>
      <c r="K43" s="10"/>
      <c r="L43" s="31"/>
      <c r="M43" s="82">
        <f>+'[2]Hotlist - Identified '!$I134/1000</f>
        <v>21.355</v>
      </c>
      <c r="N43" s="10"/>
      <c r="O43" s="31"/>
      <c r="P43" s="30">
        <f>+M43+J43+F43+C43</f>
        <v>90.316000000000003</v>
      </c>
      <c r="Q43" s="10"/>
      <c r="R43" s="31"/>
      <c r="S43" s="82">
        <f>+'[2]Hotlist - Identified '!$O134/1000</f>
        <v>28.829250000000005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0.76237623762376239</v>
      </c>
      <c r="C44" s="103"/>
      <c r="D44" s="38"/>
      <c r="E44" s="102">
        <f>+F42/F43</f>
        <v>0.96471801552407321</v>
      </c>
      <c r="F44" s="103"/>
      <c r="G44" s="56"/>
      <c r="H44" s="38"/>
      <c r="I44" s="102">
        <f>+J42/J43</f>
        <v>1.5768356556972032</v>
      </c>
      <c r="J44" s="103"/>
      <c r="K44" s="38"/>
      <c r="L44" s="102">
        <f>+M42/M43</f>
        <v>0.93359868883165542</v>
      </c>
      <c r="M44" s="103"/>
      <c r="N44" s="38"/>
      <c r="O44" s="102">
        <f>+P42/P43</f>
        <v>1.0266397980424289</v>
      </c>
      <c r="P44" s="103"/>
      <c r="Q44" s="38"/>
      <c r="R44" s="102">
        <f>+S42/S43</f>
        <v>0.22893415541507317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3:F3"/>
    <mergeCell ref="E36:F36"/>
    <mergeCell ref="O36:P36"/>
    <mergeCell ref="C8:O8"/>
    <mergeCell ref="C9:O9"/>
    <mergeCell ref="R36:S36"/>
    <mergeCell ref="B19:O19"/>
    <mergeCell ref="A32:S32"/>
    <mergeCell ref="R37:S37"/>
    <mergeCell ref="I34:S34"/>
    <mergeCell ref="B36:C36"/>
    <mergeCell ref="B37:C37"/>
    <mergeCell ref="E37:F37"/>
    <mergeCell ref="I37:J37"/>
    <mergeCell ref="L37:M37"/>
    <mergeCell ref="O44:P44"/>
    <mergeCell ref="O37:P37"/>
    <mergeCell ref="A46:B46"/>
    <mergeCell ref="E44:F44"/>
    <mergeCell ref="I44:J44"/>
    <mergeCell ref="L44:M44"/>
    <mergeCell ref="B44:C44"/>
    <mergeCell ref="R44:S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62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>+C17</f>
        <v>65</v>
      </c>
      <c r="E13" s="17">
        <f t="shared" ref="E13:N13" si="0">+D17</f>
        <v>43</v>
      </c>
      <c r="F13" s="17">
        <f t="shared" si="0"/>
        <v>44</v>
      </c>
      <c r="G13" s="17">
        <f t="shared" si="0"/>
        <v>44</v>
      </c>
      <c r="H13" s="17">
        <f t="shared" si="0"/>
        <v>33</v>
      </c>
      <c r="I13" s="17">
        <f t="shared" si="0"/>
        <v>82</v>
      </c>
      <c r="J13" s="17">
        <f t="shared" si="0"/>
        <v>82</v>
      </c>
      <c r="K13" s="17">
        <f t="shared" si="0"/>
        <v>79</v>
      </c>
      <c r="L13" s="17">
        <f t="shared" si="0"/>
        <v>138</v>
      </c>
      <c r="M13" s="72">
        <f t="shared" si="0"/>
        <v>166</v>
      </c>
      <c r="N13" s="72">
        <f t="shared" si="0"/>
        <v>169</v>
      </c>
      <c r="O13" s="17"/>
    </row>
    <row r="14" spans="1:16" x14ac:dyDescent="0.2">
      <c r="A14" s="4" t="s">
        <v>1</v>
      </c>
      <c r="C14" s="17">
        <v>65</v>
      </c>
      <c r="D14" s="17">
        <v>10</v>
      </c>
      <c r="E14" s="17">
        <v>1</v>
      </c>
      <c r="F14" s="17">
        <v>0</v>
      </c>
      <c r="G14" s="17">
        <v>2</v>
      </c>
      <c r="H14" s="17">
        <f>43+10</f>
        <v>53</v>
      </c>
      <c r="I14" s="17">
        <v>7</v>
      </c>
      <c r="J14" s="17">
        <v>8</v>
      </c>
      <c r="K14" s="17">
        <v>93</v>
      </c>
      <c r="L14" s="17">
        <v>40</v>
      </c>
      <c r="M14" s="72">
        <f>8+8+11</f>
        <v>27</v>
      </c>
      <c r="N14" s="17">
        <v>12</v>
      </c>
      <c r="O14" s="17"/>
    </row>
    <row r="15" spans="1:16" x14ac:dyDescent="0.2">
      <c r="A15" s="4" t="s">
        <v>2</v>
      </c>
      <c r="C15" s="17">
        <v>0</v>
      </c>
      <c r="D15" s="17">
        <v>4</v>
      </c>
      <c r="E15" s="17">
        <v>0</v>
      </c>
      <c r="F15" s="17">
        <v>0</v>
      </c>
      <c r="G15" s="17">
        <v>4</v>
      </c>
      <c r="H15" s="17">
        <v>0</v>
      </c>
      <c r="I15" s="17">
        <v>1</v>
      </c>
      <c r="J15" s="17">
        <v>1</v>
      </c>
      <c r="K15" s="17">
        <v>2</v>
      </c>
      <c r="L15" s="17">
        <v>6</v>
      </c>
      <c r="M15" s="72">
        <v>16</v>
      </c>
      <c r="N15" s="17">
        <v>5</v>
      </c>
      <c r="O15" s="17"/>
    </row>
    <row r="16" spans="1:16" x14ac:dyDescent="0.2">
      <c r="A16" s="4" t="s">
        <v>3</v>
      </c>
      <c r="C16" s="17">
        <v>0</v>
      </c>
      <c r="D16" s="17">
        <v>28</v>
      </c>
      <c r="E16" s="17">
        <v>0</v>
      </c>
      <c r="F16" s="17">
        <v>0</v>
      </c>
      <c r="G16" s="17">
        <v>9</v>
      </c>
      <c r="H16" s="17">
        <v>4</v>
      </c>
      <c r="I16" s="17">
        <v>6</v>
      </c>
      <c r="J16" s="17">
        <v>10</v>
      </c>
      <c r="K16" s="17">
        <v>32</v>
      </c>
      <c r="L16" s="17">
        <v>6</v>
      </c>
      <c r="M16" s="72">
        <v>8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65</v>
      </c>
      <c r="D17" s="18">
        <f t="shared" si="1"/>
        <v>43</v>
      </c>
      <c r="E17" s="18">
        <f t="shared" si="1"/>
        <v>44</v>
      </c>
      <c r="F17" s="18">
        <f t="shared" si="1"/>
        <v>44</v>
      </c>
      <c r="G17" s="18">
        <f t="shared" si="1"/>
        <v>33</v>
      </c>
      <c r="H17" s="18">
        <f t="shared" si="1"/>
        <v>82</v>
      </c>
      <c r="I17" s="18">
        <f t="shared" si="1"/>
        <v>82</v>
      </c>
      <c r="J17" s="18">
        <f t="shared" si="1"/>
        <v>79</v>
      </c>
      <c r="K17" s="18">
        <f t="shared" si="1"/>
        <v>138</v>
      </c>
      <c r="L17" s="18">
        <f t="shared" si="1"/>
        <v>166</v>
      </c>
      <c r="M17" s="73">
        <f t="shared" si="1"/>
        <v>169</v>
      </c>
      <c r="N17" s="18">
        <f t="shared" si="1"/>
        <v>175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>+F22+F23-F24-F26</f>
        <v>0</v>
      </c>
      <c r="G27" s="8"/>
      <c r="H27" s="8">
        <f t="shared" ref="H27:O27" si="2">+H22+H23-H24-H26</f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2.3372093023255816</v>
      </c>
      <c r="D29" s="10">
        <f>+D27/E17</f>
        <v>2.6090909090909089</v>
      </c>
      <c r="E29" s="10">
        <f>+E27/F17</f>
        <v>2.3363636363636364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104</v>
      </c>
      <c r="F39" s="27">
        <v>4.8</v>
      </c>
      <c r="G39" s="59">
        <v>4.8</v>
      </c>
      <c r="H39" s="9"/>
      <c r="I39" s="26">
        <v>0</v>
      </c>
      <c r="J39" s="27">
        <v>0</v>
      </c>
      <c r="K39" s="9"/>
      <c r="L39" s="26">
        <v>0</v>
      </c>
      <c r="M39" s="27">
        <v>0</v>
      </c>
      <c r="N39" s="9"/>
      <c r="O39" s="26">
        <f>+L39+I39+E39+B39</f>
        <v>104</v>
      </c>
      <c r="P39" s="27">
        <f>+M39+J39+F39+C39</f>
        <v>4.8</v>
      </c>
      <c r="Q39" s="9"/>
      <c r="R39" s="26">
        <v>0</v>
      </c>
      <c r="S39" s="27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14.742-0.379-F39</f>
        <v>9.5630000000000024</v>
      </c>
      <c r="G40" s="59"/>
      <c r="H40" s="9"/>
      <c r="I40" s="26"/>
      <c r="J40" s="64">
        <v>0</v>
      </c>
      <c r="K40" s="68"/>
      <c r="L40" s="69"/>
      <c r="M40" s="64">
        <v>0</v>
      </c>
      <c r="N40" s="9"/>
      <c r="O40" s="26"/>
      <c r="P40" s="64">
        <f>+C40+F40+J40+M40</f>
        <v>9.5630000000000024</v>
      </c>
      <c r="Q40" s="9"/>
      <c r="R40" s="26"/>
      <c r="S40" s="27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6</v>
      </c>
      <c r="F41" s="32">
        <v>0.98399999999999999</v>
      </c>
      <c r="G41" s="54"/>
      <c r="H41" s="9"/>
      <c r="I41" s="28">
        <v>137</v>
      </c>
      <c r="J41" s="70">
        <v>6.8840000000000003</v>
      </c>
      <c r="K41" s="68"/>
      <c r="L41" s="71">
        <v>32</v>
      </c>
      <c r="M41" s="70">
        <v>3.2509999999999999</v>
      </c>
      <c r="N41" s="9"/>
      <c r="O41" s="28">
        <f>+L41+I41+E41+B41</f>
        <v>175</v>
      </c>
      <c r="P41" s="32">
        <f>+M41+J41+F41+C41</f>
        <v>11.119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110</v>
      </c>
      <c r="F42" s="30">
        <f>SUM(F39:F41)</f>
        <v>15.347000000000003</v>
      </c>
      <c r="G42" s="55"/>
      <c r="H42" s="11"/>
      <c r="I42" s="23">
        <f>SUM(I39:I41)</f>
        <v>137</v>
      </c>
      <c r="J42" s="30">
        <f>SUM(J39:J41)</f>
        <v>6.8840000000000003</v>
      </c>
      <c r="K42" s="11"/>
      <c r="L42" s="23">
        <f>SUM(L39:L41)</f>
        <v>32</v>
      </c>
      <c r="M42" s="30">
        <f>SUM(M39:M41)</f>
        <v>3.2509999999999999</v>
      </c>
      <c r="N42" s="11"/>
      <c r="O42" s="23">
        <f>SUM(O39:O41)</f>
        <v>279</v>
      </c>
      <c r="P42" s="30">
        <f>SUM(P39:P41)</f>
        <v>25.482000000000003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0</v>
      </c>
      <c r="D43" s="10"/>
      <c r="E43" s="31"/>
      <c r="F43" s="82">
        <f>+'[2]Hotlist - Completed'!I27/1000</f>
        <v>12.436</v>
      </c>
      <c r="G43" s="55"/>
      <c r="H43" s="10"/>
      <c r="I43" s="31"/>
      <c r="J43" s="83">
        <f>+'[2]Hotlist - Identified '!$F144/1000</f>
        <v>27.077999999999999</v>
      </c>
      <c r="K43" s="10"/>
      <c r="L43" s="31"/>
      <c r="M43" s="83">
        <f>+'[2]Hotlist - Identified '!$I144/1000</f>
        <v>26.841000000000001</v>
      </c>
      <c r="N43" s="10"/>
      <c r="O43" s="31"/>
      <c r="P43" s="30">
        <f>+M43+J43+F43+C43</f>
        <v>66.35499999999999</v>
      </c>
      <c r="Q43" s="10"/>
      <c r="R43" s="31"/>
      <c r="S43" s="83">
        <f>+'[2]Hotlist - Identified '!$O144/1000</f>
        <v>36.235350000000004</v>
      </c>
      <c r="T43" s="10"/>
    </row>
    <row r="44" spans="1:20" s="5" customFormat="1" ht="18.75" thickBot="1" x14ac:dyDescent="0.3">
      <c r="A44" s="5" t="s">
        <v>31</v>
      </c>
      <c r="B44" s="102" t="e">
        <f>+C42/C43</f>
        <v>#DIV/0!</v>
      </c>
      <c r="C44" s="103"/>
      <c r="D44" s="38"/>
      <c r="E44" s="102">
        <f>+F42/F43</f>
        <v>1.2340784818269543</v>
      </c>
      <c r="F44" s="103"/>
      <c r="G44" s="56"/>
      <c r="H44" s="38"/>
      <c r="I44" s="102">
        <f>+J42/J43</f>
        <v>0.25422852500184656</v>
      </c>
      <c r="J44" s="103"/>
      <c r="K44" s="38"/>
      <c r="L44" s="102">
        <f>+M42/M43</f>
        <v>0.12112067359636376</v>
      </c>
      <c r="M44" s="103"/>
      <c r="N44" s="38"/>
      <c r="O44" s="102">
        <f>+P42/P43</f>
        <v>0.38402531836334874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80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49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0</v>
      </c>
      <c r="G13" s="17">
        <f t="shared" si="0"/>
        <v>0</v>
      </c>
      <c r="H13" s="17">
        <f t="shared" si="0"/>
        <v>10</v>
      </c>
      <c r="I13" s="17">
        <f t="shared" si="0"/>
        <v>10</v>
      </c>
      <c r="J13" s="17">
        <f t="shared" si="0"/>
        <v>10</v>
      </c>
      <c r="K13" s="17">
        <f t="shared" si="0"/>
        <v>10</v>
      </c>
      <c r="L13" s="17">
        <f t="shared" si="0"/>
        <v>10</v>
      </c>
      <c r="M13" s="72">
        <f t="shared" si="0"/>
        <v>10</v>
      </c>
      <c r="N13" s="72">
        <f t="shared" si="0"/>
        <v>9</v>
      </c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0</v>
      </c>
      <c r="F14" s="17">
        <v>0</v>
      </c>
      <c r="G14" s="17">
        <v>10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1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2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0</v>
      </c>
      <c r="F17" s="18">
        <f t="shared" si="1"/>
        <v>0</v>
      </c>
      <c r="G17" s="18">
        <f t="shared" si="1"/>
        <v>10</v>
      </c>
      <c r="H17" s="18">
        <f t="shared" si="1"/>
        <v>10</v>
      </c>
      <c r="I17" s="18">
        <f t="shared" si="1"/>
        <v>10</v>
      </c>
      <c r="J17" s="18">
        <f t="shared" si="1"/>
        <v>10</v>
      </c>
      <c r="K17" s="18">
        <f t="shared" si="1"/>
        <v>10</v>
      </c>
      <c r="L17" s="18">
        <f t="shared" si="1"/>
        <v>10</v>
      </c>
      <c r="M17" s="73">
        <f t="shared" si="1"/>
        <v>9</v>
      </c>
      <c r="N17" s="18">
        <f t="shared" si="1"/>
        <v>9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 t="e">
        <f>+D27/E17</f>
        <v>#DIV/0!</v>
      </c>
      <c r="E29" s="10" t="e">
        <f>+E27/F17</f>
        <v>#DIV/0!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2.2999999999999998</v>
      </c>
      <c r="D39" s="9"/>
      <c r="E39" s="26">
        <v>2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2.2999999999999998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91.4</v>
      </c>
      <c r="D40" s="9"/>
      <c r="E40" s="26"/>
      <c r="F40" s="64">
        <f>-29.674-F39</f>
        <v>-29.673999999999999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61.726000000000006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5</v>
      </c>
      <c r="J41" s="70">
        <v>10</v>
      </c>
      <c r="K41" s="68"/>
      <c r="L41" s="71">
        <v>2</v>
      </c>
      <c r="M41" s="70">
        <v>10</v>
      </c>
      <c r="N41" s="9"/>
      <c r="O41" s="28">
        <f>+L41+I41+E41+B41</f>
        <v>7</v>
      </c>
      <c r="P41" s="32">
        <f>+M41+J41+F41+C41</f>
        <v>20</v>
      </c>
      <c r="Q41" s="9"/>
      <c r="R41" s="28">
        <v>2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93.7</v>
      </c>
      <c r="D42" s="11"/>
      <c r="E42" s="23">
        <f>SUM(E39:E41)</f>
        <v>2</v>
      </c>
      <c r="F42" s="30">
        <f>SUM(F39:F41)</f>
        <v>-29.673999999999999</v>
      </c>
      <c r="G42" s="55"/>
      <c r="H42" s="11"/>
      <c r="I42" s="23">
        <f>SUM(I39:I41)</f>
        <v>5</v>
      </c>
      <c r="J42" s="30">
        <f>SUM(J39:J41)</f>
        <v>10</v>
      </c>
      <c r="K42" s="11"/>
      <c r="L42" s="23">
        <f>SUM(L39:L41)</f>
        <v>2</v>
      </c>
      <c r="M42" s="30">
        <f>SUM(M39:M41)</f>
        <v>10</v>
      </c>
      <c r="N42" s="11"/>
      <c r="O42" s="23">
        <f>SUM(O39:O41)</f>
        <v>10</v>
      </c>
      <c r="P42" s="30">
        <f>SUM(P39:P41)</f>
        <v>84.02600000000001</v>
      </c>
      <c r="Q42" s="11"/>
      <c r="R42" s="23">
        <f>SUM(R39:R41)</f>
        <v>2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15.4</v>
      </c>
      <c r="D43" s="10"/>
      <c r="E43" s="31"/>
      <c r="F43" s="82">
        <f>+'[2]Hotlist - Completed'!I46/1000</f>
        <v>15.385</v>
      </c>
      <c r="G43" s="55"/>
      <c r="H43" s="10"/>
      <c r="I43" s="31"/>
      <c r="J43" s="83">
        <f>+'[2]Hotlist - Identified '!$F153/1000</f>
        <v>15.39</v>
      </c>
      <c r="K43" s="10"/>
      <c r="L43" s="31"/>
      <c r="M43" s="83">
        <f>+'[2]Hotlist - Identified '!$I153/1000</f>
        <v>15.39</v>
      </c>
      <c r="N43" s="10"/>
      <c r="O43" s="31"/>
      <c r="P43" s="30">
        <f>+M43+J43+F43+C43</f>
        <v>61.564999999999998</v>
      </c>
      <c r="Q43" s="10"/>
      <c r="R43" s="31"/>
      <c r="S43" s="83">
        <f>+'[2]Hotlist - Identified '!$O153/1000</f>
        <v>20.776499999999999</v>
      </c>
      <c r="T43" s="10"/>
    </row>
    <row r="44" spans="1:20" s="5" customFormat="1" ht="18.75" thickBot="1" x14ac:dyDescent="0.3">
      <c r="A44" s="5" t="s">
        <v>31</v>
      </c>
      <c r="B44" s="102">
        <f>+C42/C43</f>
        <v>6.0844155844155843</v>
      </c>
      <c r="C44" s="103"/>
      <c r="D44" s="38"/>
      <c r="E44" s="102">
        <f>+F42/F43</f>
        <v>-1.928761780955476</v>
      </c>
      <c r="F44" s="103"/>
      <c r="G44" s="56"/>
      <c r="H44" s="38"/>
      <c r="I44" s="102">
        <f>+J42/J43</f>
        <v>0.64977257959714096</v>
      </c>
      <c r="J44" s="103"/>
      <c r="K44" s="38"/>
      <c r="L44" s="102">
        <f>+M42/M43</f>
        <v>0.64977257959714096</v>
      </c>
      <c r="M44" s="103"/>
      <c r="N44" s="38"/>
      <c r="O44" s="102">
        <f>+P42/P43</f>
        <v>1.3648339153739952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52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11</v>
      </c>
      <c r="F13" s="17">
        <f t="shared" si="0"/>
        <v>11</v>
      </c>
      <c r="G13" s="17">
        <f t="shared" si="0"/>
        <v>11</v>
      </c>
      <c r="H13" s="17">
        <f t="shared" si="0"/>
        <v>12</v>
      </c>
      <c r="I13" s="17">
        <f t="shared" si="0"/>
        <v>11</v>
      </c>
      <c r="J13" s="17">
        <f t="shared" si="0"/>
        <v>12</v>
      </c>
      <c r="K13" s="17">
        <f t="shared" si="0"/>
        <v>12</v>
      </c>
      <c r="L13" s="17">
        <f t="shared" si="0"/>
        <v>12</v>
      </c>
      <c r="M13" s="72">
        <f t="shared" si="0"/>
        <v>12</v>
      </c>
      <c r="N13" s="72">
        <f t="shared" si="0"/>
        <v>12</v>
      </c>
      <c r="O13" s="17"/>
    </row>
    <row r="14" spans="1:16" x14ac:dyDescent="0.2">
      <c r="A14" s="4" t="s">
        <v>1</v>
      </c>
      <c r="C14" s="17">
        <v>0</v>
      </c>
      <c r="D14" s="17">
        <v>11</v>
      </c>
      <c r="E14" s="17">
        <v>0</v>
      </c>
      <c r="F14" s="17">
        <v>0</v>
      </c>
      <c r="G14" s="17">
        <v>1</v>
      </c>
      <c r="H14" s="17">
        <v>0</v>
      </c>
      <c r="I14" s="17">
        <v>1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11</v>
      </c>
      <c r="E17" s="18">
        <f t="shared" si="1"/>
        <v>11</v>
      </c>
      <c r="F17" s="18">
        <f t="shared" si="1"/>
        <v>11</v>
      </c>
      <c r="G17" s="18">
        <f t="shared" si="1"/>
        <v>12</v>
      </c>
      <c r="H17" s="18">
        <f t="shared" si="1"/>
        <v>11</v>
      </c>
      <c r="I17" s="18">
        <f t="shared" si="1"/>
        <v>12</v>
      </c>
      <c r="J17" s="18">
        <f t="shared" si="1"/>
        <v>12</v>
      </c>
      <c r="K17" s="18">
        <f t="shared" si="1"/>
        <v>12</v>
      </c>
      <c r="L17" s="18">
        <f t="shared" si="1"/>
        <v>12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9.1363636363636367</v>
      </c>
      <c r="D29" s="10">
        <f>+D27/E17</f>
        <v>10.436363636363636</v>
      </c>
      <c r="E29" s="10">
        <f>+E27/F17</f>
        <v>9.3454545454545457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0.1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0.1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0.8</v>
      </c>
      <c r="D40" s="9"/>
      <c r="E40" s="26"/>
      <c r="F40" s="64">
        <f>3.576-F39</f>
        <v>3.5760000000000001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4.3760000000000003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1</v>
      </c>
      <c r="F41" s="32">
        <v>0</v>
      </c>
      <c r="G41" s="54"/>
      <c r="H41" s="9"/>
      <c r="I41" s="28">
        <v>5</v>
      </c>
      <c r="J41" s="70">
        <v>0</v>
      </c>
      <c r="K41" s="68"/>
      <c r="L41" s="71">
        <v>6</v>
      </c>
      <c r="M41" s="70">
        <v>0</v>
      </c>
      <c r="N41" s="9"/>
      <c r="O41" s="28">
        <f>+L41+I41+E41+B41</f>
        <v>12</v>
      </c>
      <c r="P41" s="32">
        <f>+M41+J41+F41+C41</f>
        <v>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0.9</v>
      </c>
      <c r="D42" s="11"/>
      <c r="E42" s="23">
        <f>SUM(E39:E41)</f>
        <v>1</v>
      </c>
      <c r="F42" s="30">
        <f>SUM(F39:F41)</f>
        <v>3.5760000000000001</v>
      </c>
      <c r="G42" s="55"/>
      <c r="H42" s="11"/>
      <c r="I42" s="23">
        <f>SUM(I39:I41)</f>
        <v>5</v>
      </c>
      <c r="J42" s="30">
        <f>SUM(J39:J41)</f>
        <v>0</v>
      </c>
      <c r="K42" s="11"/>
      <c r="L42" s="23">
        <f>SUM(L39:L41)</f>
        <v>6</v>
      </c>
      <c r="M42" s="30">
        <f>SUM(M39:M41)</f>
        <v>0</v>
      </c>
      <c r="N42" s="11"/>
      <c r="O42" s="23">
        <f>SUM(O39:O41)</f>
        <v>13</v>
      </c>
      <c r="P42" s="30">
        <f>SUM(P39:P41)</f>
        <v>4.476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10.3</v>
      </c>
      <c r="D43" s="10"/>
      <c r="E43" s="31"/>
      <c r="F43" s="82">
        <f>+'[2]Hotlist - Completed'!I52/1000</f>
        <v>2</v>
      </c>
      <c r="G43" s="55"/>
      <c r="H43" s="10"/>
      <c r="I43" s="31"/>
      <c r="J43" s="83">
        <f>+'[2]Hotlist - Identified '!$F163/1000</f>
        <v>5</v>
      </c>
      <c r="K43" s="10"/>
      <c r="L43" s="31"/>
      <c r="M43" s="83">
        <f>+'[2]Hotlist - Identified '!$I163/1000</f>
        <v>8</v>
      </c>
      <c r="N43" s="10"/>
      <c r="O43" s="31"/>
      <c r="P43" s="30">
        <f>+M43+J43+F43+C43</f>
        <v>25.3</v>
      </c>
      <c r="Q43" s="10"/>
      <c r="R43" s="31"/>
      <c r="S43" s="84">
        <f>+'[2]Hotlist - Identified '!$O163/1000</f>
        <v>10.8</v>
      </c>
      <c r="T43" s="10"/>
    </row>
    <row r="44" spans="1:20" s="5" customFormat="1" ht="18.75" thickBot="1" x14ac:dyDescent="0.3">
      <c r="A44" s="5" t="s">
        <v>31</v>
      </c>
      <c r="B44" s="102">
        <f>+C42/C43</f>
        <v>8.7378640776699032E-2</v>
      </c>
      <c r="C44" s="103"/>
      <c r="D44" s="38"/>
      <c r="E44" s="102">
        <f>+F42/F43</f>
        <v>1.788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0</v>
      </c>
      <c r="M44" s="103"/>
      <c r="N44" s="38"/>
      <c r="O44" s="102">
        <f>+P42/P43</f>
        <v>0.17691699604743083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B1"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50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17</v>
      </c>
      <c r="J13" s="17">
        <f t="shared" si="0"/>
        <v>17</v>
      </c>
      <c r="K13" s="17">
        <f t="shared" si="0"/>
        <v>17</v>
      </c>
      <c r="L13" s="17">
        <f t="shared" si="0"/>
        <v>16</v>
      </c>
      <c r="M13" s="72">
        <f t="shared" si="0"/>
        <v>16</v>
      </c>
      <c r="N13" s="72">
        <f t="shared" si="0"/>
        <v>15</v>
      </c>
      <c r="O13" s="17"/>
    </row>
    <row r="14" spans="1:16" x14ac:dyDescent="0.2">
      <c r="A14" s="4" t="s">
        <v>1</v>
      </c>
      <c r="C14" s="17">
        <v>0</v>
      </c>
      <c r="D14" s="17">
        <v>17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1</v>
      </c>
      <c r="L16" s="17">
        <v>0</v>
      </c>
      <c r="M16" s="72">
        <v>1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17</v>
      </c>
      <c r="I17" s="18">
        <f t="shared" si="1"/>
        <v>17</v>
      </c>
      <c r="J17" s="18">
        <f t="shared" si="1"/>
        <v>17</v>
      </c>
      <c r="K17" s="18">
        <f t="shared" si="1"/>
        <v>16</v>
      </c>
      <c r="L17" s="18">
        <f t="shared" si="1"/>
        <v>16</v>
      </c>
      <c r="M17" s="73">
        <f t="shared" si="1"/>
        <v>15</v>
      </c>
      <c r="N17" s="18">
        <f t="shared" si="1"/>
        <v>15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1.4</v>
      </c>
      <c r="D39" s="9"/>
      <c r="E39" s="26">
        <v>2</v>
      </c>
      <c r="F39" s="27">
        <f>-0.17-0.054973</f>
        <v>-0.22497300000000001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3</v>
      </c>
      <c r="P39" s="27">
        <f>+M39+J39+F39+C39</f>
        <v>1.1750269999999998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</v>
      </c>
      <c r="D40" s="9"/>
      <c r="E40" s="26"/>
      <c r="F40" s="64">
        <f>-12.8-F39</f>
        <v>-12.575027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-14.575027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0</v>
      </c>
      <c r="G41" s="54"/>
      <c r="H41" s="9"/>
      <c r="I41" s="28">
        <v>9</v>
      </c>
      <c r="J41" s="70">
        <v>1</v>
      </c>
      <c r="K41" s="68"/>
      <c r="L41" s="71">
        <v>3</v>
      </c>
      <c r="M41" s="70">
        <v>0</v>
      </c>
      <c r="N41" s="9"/>
      <c r="O41" s="28">
        <f>+L41+I41+E41+B41</f>
        <v>15</v>
      </c>
      <c r="P41" s="32">
        <f>+M41+J41+F41+C41</f>
        <v>1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-0.60000000000000009</v>
      </c>
      <c r="D42" s="11"/>
      <c r="E42" s="23">
        <f>SUM(E39:E41)</f>
        <v>5</v>
      </c>
      <c r="F42" s="30">
        <f>SUM(F39:F41)</f>
        <v>-12.8</v>
      </c>
      <c r="G42" s="55"/>
      <c r="H42" s="11"/>
      <c r="I42" s="23">
        <f>SUM(I39:I41)</f>
        <v>9</v>
      </c>
      <c r="J42" s="30">
        <f>SUM(J39:J41)</f>
        <v>1</v>
      </c>
      <c r="K42" s="11"/>
      <c r="L42" s="23">
        <f>SUM(L39:L41)</f>
        <v>3</v>
      </c>
      <c r="M42" s="30">
        <f>SUM(M39:M41)</f>
        <v>0</v>
      </c>
      <c r="N42" s="11"/>
      <c r="O42" s="23">
        <f>SUM(O39:O41)</f>
        <v>18</v>
      </c>
      <c r="P42" s="30">
        <f>SUM(P39:P41)</f>
        <v>-12.4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f>7.9+6.5</f>
        <v>14.4</v>
      </c>
      <c r="D43" s="10"/>
      <c r="E43" s="31"/>
      <c r="F43" s="82">
        <f>+'[2]Hotlist - Completed'!I61/1000</f>
        <v>14.705</v>
      </c>
      <c r="G43" s="55"/>
      <c r="H43" s="10"/>
      <c r="I43" s="31"/>
      <c r="J43" s="83">
        <f>+'[2]Hotlist - Identified '!$F176/1000</f>
        <v>13.904999999999999</v>
      </c>
      <c r="K43" s="10"/>
      <c r="L43" s="31"/>
      <c r="M43" s="83">
        <f>+'[2]Hotlist - Identified '!$I176/1000</f>
        <v>19.954999999999998</v>
      </c>
      <c r="N43" s="10"/>
      <c r="O43" s="31"/>
      <c r="P43" s="30">
        <f>+M43+J43+F43+C43</f>
        <v>62.964999999999996</v>
      </c>
      <c r="Q43" s="10"/>
      <c r="R43" s="31"/>
      <c r="S43" s="83">
        <f>+'[2]Hotlist - Identified '!$O176/1000</f>
        <v>26.939250000000001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-4.1666666666666671E-2</v>
      </c>
      <c r="C44" s="103"/>
      <c r="D44" s="38"/>
      <c r="E44" s="102">
        <f>+F42/F43</f>
        <v>-0.87045222713362802</v>
      </c>
      <c r="F44" s="103"/>
      <c r="G44" s="56"/>
      <c r="H44" s="38"/>
      <c r="I44" s="102">
        <f>+J42/J43</f>
        <v>7.1916576770945706E-2</v>
      </c>
      <c r="J44" s="103"/>
      <c r="K44" s="38"/>
      <c r="L44" s="102">
        <f>+M42/M43</f>
        <v>0</v>
      </c>
      <c r="M44" s="103"/>
      <c r="N44" s="38"/>
      <c r="O44" s="102">
        <f>+P42/P43</f>
        <v>-0.19693480505042485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4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51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0</v>
      </c>
      <c r="F13" s="17">
        <f t="shared" si="0"/>
        <v>1</v>
      </c>
      <c r="G13" s="17">
        <f t="shared" si="0"/>
        <v>1</v>
      </c>
      <c r="H13" s="17">
        <f t="shared" si="0"/>
        <v>3</v>
      </c>
      <c r="I13" s="17">
        <f t="shared" si="0"/>
        <v>3</v>
      </c>
      <c r="J13" s="17">
        <f t="shared" si="0"/>
        <v>3</v>
      </c>
      <c r="K13" s="17">
        <f t="shared" si="0"/>
        <v>1</v>
      </c>
      <c r="L13" s="17">
        <f t="shared" si="0"/>
        <v>1</v>
      </c>
      <c r="M13" s="72">
        <f t="shared" si="0"/>
        <v>1</v>
      </c>
      <c r="N13" s="72">
        <f t="shared" si="0"/>
        <v>1</v>
      </c>
      <c r="O13" s="17"/>
    </row>
    <row r="14" spans="1:16" x14ac:dyDescent="0.2">
      <c r="A14" s="4" t="s">
        <v>1</v>
      </c>
      <c r="C14" s="17">
        <v>0</v>
      </c>
      <c r="D14" s="17">
        <v>0</v>
      </c>
      <c r="E14" s="17">
        <v>1</v>
      </c>
      <c r="F14" s="17">
        <v>0</v>
      </c>
      <c r="G14" s="17">
        <v>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2</v>
      </c>
      <c r="K15" s="17">
        <v>0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0</v>
      </c>
      <c r="E17" s="18">
        <f t="shared" si="1"/>
        <v>1</v>
      </c>
      <c r="F17" s="18">
        <f t="shared" si="1"/>
        <v>1</v>
      </c>
      <c r="G17" s="18">
        <f t="shared" si="1"/>
        <v>3</v>
      </c>
      <c r="H17" s="18">
        <f t="shared" si="1"/>
        <v>3</v>
      </c>
      <c r="I17" s="18">
        <f t="shared" si="1"/>
        <v>3</v>
      </c>
      <c r="J17" s="18">
        <f t="shared" si="1"/>
        <v>1</v>
      </c>
      <c r="K17" s="18">
        <f t="shared" si="1"/>
        <v>1</v>
      </c>
      <c r="L17" s="18">
        <f t="shared" si="1"/>
        <v>1</v>
      </c>
      <c r="M17" s="73">
        <f t="shared" si="1"/>
        <v>1</v>
      </c>
      <c r="N17" s="18">
        <f t="shared" si="1"/>
        <v>1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 t="e">
        <f>+C27/D17</f>
        <v>#DIV/0!</v>
      </c>
      <c r="D29" s="10">
        <f>+D27/E17</f>
        <v>114.8</v>
      </c>
      <c r="E29" s="10">
        <f>+E27/F17</f>
        <v>102.8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v>-18.812000000000001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-18.812000000000001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1</v>
      </c>
      <c r="J41" s="70">
        <v>30</v>
      </c>
      <c r="K41" s="68"/>
      <c r="L41" s="71">
        <v>0</v>
      </c>
      <c r="M41" s="70">
        <v>0</v>
      </c>
      <c r="N41" s="9"/>
      <c r="O41" s="28">
        <f>+L41+I41+E41+B41</f>
        <v>1</v>
      </c>
      <c r="P41" s="32">
        <f>+M41+J41+F41+C41</f>
        <v>30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0</v>
      </c>
      <c r="F42" s="30">
        <f>SUM(F39:F41)</f>
        <v>-18.812000000000001</v>
      </c>
      <c r="G42" s="55"/>
      <c r="H42" s="11"/>
      <c r="I42" s="23">
        <f>SUM(I39:I41)</f>
        <v>1</v>
      </c>
      <c r="J42" s="30">
        <f>SUM(J39:J41)</f>
        <v>30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1</v>
      </c>
      <c r="P42" s="30">
        <f>SUM(P39:P41)</f>
        <v>11.187999999999999</v>
      </c>
      <c r="Q42" s="11"/>
      <c r="R42" s="23">
        <f>SUM(R39:R41)</f>
        <v>0</v>
      </c>
      <c r="S42" s="30">
        <f>SUM(S39:S41)</f>
        <v>0</v>
      </c>
      <c r="T42" s="11"/>
    </row>
    <row r="43" spans="1:20" s="80" customFormat="1" x14ac:dyDescent="0.2">
      <c r="A43" s="77" t="s">
        <v>19</v>
      </c>
      <c r="B43" s="78"/>
      <c r="C43" s="76">
        <v>0</v>
      </c>
      <c r="D43" s="79"/>
      <c r="E43" s="78"/>
      <c r="F43" s="82">
        <f>+'[2]Hotlist - Completed'!I67/1000</f>
        <v>0</v>
      </c>
      <c r="G43" s="55"/>
      <c r="H43" s="79"/>
      <c r="I43" s="78"/>
      <c r="J43" s="82">
        <v>23.4</v>
      </c>
      <c r="K43" s="79"/>
      <c r="L43" s="78"/>
      <c r="M43" s="82">
        <v>23.4</v>
      </c>
      <c r="N43" s="79"/>
      <c r="O43" s="78"/>
      <c r="P43" s="76">
        <f>+M43+J43+F43+C43</f>
        <v>46.8</v>
      </c>
      <c r="Q43" s="79"/>
      <c r="R43" s="78"/>
      <c r="S43" s="82">
        <v>0.01</v>
      </c>
      <c r="T43" s="79"/>
    </row>
    <row r="44" spans="1:20" s="5" customFormat="1" ht="18.75" thickBot="1" x14ac:dyDescent="0.3">
      <c r="A44" s="5" t="s">
        <v>31</v>
      </c>
      <c r="B44" s="102">
        <v>0</v>
      </c>
      <c r="C44" s="103"/>
      <c r="D44" s="38"/>
      <c r="E44" s="102" t="e">
        <f>+F42/F43</f>
        <v>#DIV/0!</v>
      </c>
      <c r="F44" s="103"/>
      <c r="G44" s="56"/>
      <c r="H44" s="38"/>
      <c r="I44" s="102">
        <f>+J42/J43</f>
        <v>1.2820512820512822</v>
      </c>
      <c r="J44" s="103"/>
      <c r="K44" s="38"/>
      <c r="L44" s="102">
        <f>+M42/M43</f>
        <v>0</v>
      </c>
      <c r="M44" s="103"/>
      <c r="N44" s="38"/>
      <c r="O44" s="102">
        <f>+P42/P43</f>
        <v>0.23905982905982906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35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20</v>
      </c>
      <c r="F13" s="17">
        <f t="shared" si="0"/>
        <v>23</v>
      </c>
      <c r="G13" s="17">
        <f t="shared" si="0"/>
        <v>24</v>
      </c>
      <c r="H13" s="17">
        <f t="shared" si="0"/>
        <v>22</v>
      </c>
      <c r="I13" s="17">
        <f t="shared" si="0"/>
        <v>21</v>
      </c>
      <c r="J13" s="17">
        <f t="shared" si="0"/>
        <v>24</v>
      </c>
      <c r="K13" s="17">
        <f t="shared" si="0"/>
        <v>20</v>
      </c>
      <c r="L13" s="17">
        <f t="shared" si="0"/>
        <v>21</v>
      </c>
      <c r="M13" s="72">
        <f t="shared" si="0"/>
        <v>21</v>
      </c>
      <c r="N13" s="72">
        <f t="shared" si="0"/>
        <v>27</v>
      </c>
      <c r="O13" s="17"/>
    </row>
    <row r="14" spans="1:16" x14ac:dyDescent="0.2">
      <c r="A14" s="4" t="s">
        <v>1</v>
      </c>
      <c r="C14" s="17">
        <v>1</v>
      </c>
      <c r="D14" s="17">
        <v>20</v>
      </c>
      <c r="E14" s="17">
        <v>5</v>
      </c>
      <c r="F14" s="17">
        <v>1</v>
      </c>
      <c r="G14" s="17">
        <v>0</v>
      </c>
      <c r="H14" s="17">
        <v>0</v>
      </c>
      <c r="I14" s="17">
        <v>5</v>
      </c>
      <c r="J14" s="17">
        <v>0</v>
      </c>
      <c r="K14" s="17">
        <v>1</v>
      </c>
      <c r="L14" s="17">
        <v>0</v>
      </c>
      <c r="M14" s="72">
        <v>9</v>
      </c>
      <c r="N14" s="17">
        <v>1</v>
      </c>
      <c r="O14" s="17"/>
    </row>
    <row r="15" spans="1:16" x14ac:dyDescent="0.2">
      <c r="A15" s="4" t="s">
        <v>2</v>
      </c>
      <c r="C15" s="17">
        <v>0</v>
      </c>
      <c r="D15" s="17">
        <v>1</v>
      </c>
      <c r="E15" s="17">
        <v>2</v>
      </c>
      <c r="F15" s="17">
        <v>0</v>
      </c>
      <c r="G15" s="17">
        <v>2</v>
      </c>
      <c r="H15" s="17">
        <v>1</v>
      </c>
      <c r="I15" s="17">
        <v>2</v>
      </c>
      <c r="J15" s="17">
        <v>3</v>
      </c>
      <c r="K15" s="17">
        <v>0</v>
      </c>
      <c r="L15" s="17">
        <v>0</v>
      </c>
      <c r="M15" s="72">
        <v>3</v>
      </c>
      <c r="N15" s="17">
        <v>1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1</v>
      </c>
      <c r="K16" s="17">
        <v>0</v>
      </c>
      <c r="L16" s="17">
        <v>0</v>
      </c>
      <c r="M16" s="72">
        <v>0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20</v>
      </c>
      <c r="E17" s="18">
        <f t="shared" si="1"/>
        <v>23</v>
      </c>
      <c r="F17" s="18">
        <f t="shared" si="1"/>
        <v>24</v>
      </c>
      <c r="G17" s="18">
        <f t="shared" si="1"/>
        <v>22</v>
      </c>
      <c r="H17" s="18">
        <f t="shared" si="1"/>
        <v>21</v>
      </c>
      <c r="I17" s="18">
        <f t="shared" si="1"/>
        <v>24</v>
      </c>
      <c r="J17" s="18">
        <f t="shared" si="1"/>
        <v>20</v>
      </c>
      <c r="K17" s="18">
        <f t="shared" si="1"/>
        <v>21</v>
      </c>
      <c r="L17" s="18">
        <f t="shared" si="1"/>
        <v>21</v>
      </c>
      <c r="M17" s="73">
        <f t="shared" si="1"/>
        <v>27</v>
      </c>
      <c r="N17" s="18">
        <f t="shared" si="1"/>
        <v>26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t="12.75" hidden="1" customHeight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t="12.75" hidden="1" customHeight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t="12.75" hidden="1" customHeight="1" x14ac:dyDescent="0.2">
      <c r="A21" s="3" t="s">
        <v>4</v>
      </c>
    </row>
    <row r="22" spans="1:19" ht="12.75" hidden="1" customHeight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t="12.75" hidden="1" customHeight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t="12.75" hidden="1" customHeight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t="12.75" hidden="1" customHeight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t="12.75" hidden="1" customHeight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customHeight="1" thickBot="1" x14ac:dyDescent="0.25">
      <c r="A27" s="2" t="s">
        <v>6</v>
      </c>
      <c r="B27" s="7"/>
      <c r="C27" s="8">
        <f>+C22+C23-C24-C26</f>
        <v>100.5</v>
      </c>
      <c r="D27" s="8">
        <f t="shared" ref="D27:J27" si="2">+D22+D23-D24-D26</f>
        <v>114.8</v>
      </c>
      <c r="E27" s="8">
        <f>+E22+E23-E24-E26+E25</f>
        <v>102.8</v>
      </c>
      <c r="F27" s="8">
        <f t="shared" si="2"/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>+K22+K23-K24-K26</f>
        <v>0</v>
      </c>
      <c r="L27" s="8">
        <f>+L22+L23-L24-L26</f>
        <v>0</v>
      </c>
      <c r="M27" s="8">
        <f>+M22+M23-M24-M26</f>
        <v>0</v>
      </c>
      <c r="N27" s="8">
        <f>+N22+N23-N24-N26</f>
        <v>0</v>
      </c>
      <c r="O27" s="8">
        <f>+O22+O23-O24-O26</f>
        <v>110.36666666666666</v>
      </c>
    </row>
    <row r="28" spans="1:19" ht="12.75" hidden="1" customHeight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t="12.75" hidden="1" customHeight="1" x14ac:dyDescent="0.2">
      <c r="A29" s="5" t="s">
        <v>21</v>
      </c>
      <c r="B29" s="11"/>
      <c r="C29" s="10">
        <f>+C27/D17</f>
        <v>5.0250000000000004</v>
      </c>
      <c r="D29" s="10">
        <f>+D27/E17</f>
        <v>4.9913043478260866</v>
      </c>
      <c r="E29" s="10">
        <f>+E27/F17</f>
        <v>4.2833333333333332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ht="12.75" customHeigh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4</v>
      </c>
      <c r="C39" s="27">
        <v>3.1</v>
      </c>
      <c r="D39" s="9"/>
      <c r="E39" s="26">
        <v>2</v>
      </c>
      <c r="F39" s="27">
        <v>0.97499999999999998</v>
      </c>
      <c r="G39" s="59">
        <v>1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6</v>
      </c>
      <c r="P39" s="27">
        <f>+M39+J39+F39+C39</f>
        <v>4.0750000000000002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-0.3</v>
      </c>
      <c r="D40" s="9"/>
      <c r="E40" s="26"/>
      <c r="F40" s="64">
        <v>0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3</v>
      </c>
      <c r="F41" s="32">
        <v>2.0830000000000002</v>
      </c>
      <c r="G41" s="61"/>
      <c r="H41" s="9"/>
      <c r="I41" s="28">
        <v>16</v>
      </c>
      <c r="J41" s="70">
        <v>74.25</v>
      </c>
      <c r="K41" s="68"/>
      <c r="L41" s="71">
        <v>7</v>
      </c>
      <c r="M41" s="70">
        <v>52</v>
      </c>
      <c r="N41" s="9"/>
      <c r="O41" s="28">
        <f>+L41+I41+E41+B41</f>
        <v>26</v>
      </c>
      <c r="P41" s="32">
        <f>+M41+J41+F41+C41</f>
        <v>128.333</v>
      </c>
      <c r="Q41" s="9"/>
      <c r="R41" s="28">
        <v>0</v>
      </c>
      <c r="S41" s="32">
        <v>0</v>
      </c>
      <c r="T41" s="9"/>
    </row>
    <row r="42" spans="1:20" s="5" customFormat="1" x14ac:dyDescent="0.2">
      <c r="A42" s="5" t="s">
        <v>59</v>
      </c>
      <c r="B42" s="23">
        <f>SUM(B39:B41)</f>
        <v>4</v>
      </c>
      <c r="C42" s="30">
        <f>SUM(C39:C41)</f>
        <v>2.8000000000000003</v>
      </c>
      <c r="D42" s="11"/>
      <c r="E42" s="23">
        <f>SUM(E39:E41)</f>
        <v>5</v>
      </c>
      <c r="F42" s="30">
        <f>SUM(F39:F41)</f>
        <v>3.0580000000000003</v>
      </c>
      <c r="G42" s="62"/>
      <c r="H42" s="11"/>
      <c r="I42" s="23">
        <f>SUM(I39:I41)</f>
        <v>16</v>
      </c>
      <c r="J42" s="30">
        <f>SUM(J39:J41)</f>
        <v>74.25</v>
      </c>
      <c r="K42" s="11"/>
      <c r="L42" s="23">
        <f>SUM(L39:L41)</f>
        <v>7</v>
      </c>
      <c r="M42" s="30">
        <f>SUM(M39:M41)</f>
        <v>52</v>
      </c>
      <c r="N42" s="11"/>
      <c r="O42" s="23">
        <f>SUM(O39:O41)</f>
        <v>32</v>
      </c>
      <c r="P42" s="30">
        <f>SUM(P39:P41)</f>
        <v>132.108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14.2</v>
      </c>
      <c r="D43" s="10"/>
      <c r="E43" s="31"/>
      <c r="F43" s="82">
        <f>+'[2]Hotlist - Completed'!C12/1000</f>
        <v>20.492999999999999</v>
      </c>
      <c r="G43" s="62"/>
      <c r="H43" s="10"/>
      <c r="I43" s="31"/>
      <c r="J43" s="83">
        <f>+'[2]Hotlist - Identified '!F29/1000</f>
        <v>21.492999999999999</v>
      </c>
      <c r="K43" s="10"/>
      <c r="L43" s="31"/>
      <c r="M43" s="83">
        <f>+'[2]Hotlist - Identified '!I29/1000</f>
        <v>22.344000000000001</v>
      </c>
      <c r="N43" s="10"/>
      <c r="O43" s="31"/>
      <c r="P43" s="30">
        <f>+M43+J43+F43+C43</f>
        <v>78.53</v>
      </c>
      <c r="Q43" s="10"/>
      <c r="R43" s="31"/>
      <c r="S43" s="83">
        <f>+'[2]Hotlist - Identified '!O29/1000</f>
        <v>30.164400000000001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0.19718309859154931</v>
      </c>
      <c r="C44" s="103"/>
      <c r="D44" s="38"/>
      <c r="E44" s="102">
        <f>+F42/F43</f>
        <v>0.14922168545356954</v>
      </c>
      <c r="F44" s="103"/>
      <c r="G44" s="63"/>
      <c r="H44" s="38"/>
      <c r="I44" s="102">
        <f>+J42/J43</f>
        <v>3.4546131298562326</v>
      </c>
      <c r="J44" s="103"/>
      <c r="K44" s="38"/>
      <c r="L44" s="102">
        <f>+M42/M43</f>
        <v>2.3272466881489438</v>
      </c>
      <c r="M44" s="103"/>
      <c r="N44" s="38"/>
      <c r="O44" s="102">
        <f>+P42/P43</f>
        <v>1.6822615560932128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E36:F36"/>
    <mergeCell ref="B36:C36"/>
    <mergeCell ref="B37:C37"/>
    <mergeCell ref="I44:J44"/>
    <mergeCell ref="E37:F37"/>
    <mergeCell ref="L44:M44"/>
    <mergeCell ref="R44:S44"/>
    <mergeCell ref="B19:O19"/>
    <mergeCell ref="I34:S34"/>
    <mergeCell ref="R37:S37"/>
    <mergeCell ref="A32:S32"/>
    <mergeCell ref="R36:S36"/>
    <mergeCell ref="O36:P36"/>
    <mergeCell ref="A3:F3"/>
    <mergeCell ref="C8:O8"/>
    <mergeCell ref="C9:O9"/>
    <mergeCell ref="A46:B46"/>
    <mergeCell ref="O44:P44"/>
    <mergeCell ref="O37:P37"/>
    <mergeCell ref="B44:C44"/>
    <mergeCell ref="L37:M37"/>
    <mergeCell ref="I37:J37"/>
    <mergeCell ref="E44:F4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topLeftCell="A6"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46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18</v>
      </c>
      <c r="F13" s="17">
        <f t="shared" si="0"/>
        <v>17</v>
      </c>
      <c r="G13" s="17">
        <f t="shared" si="0"/>
        <v>17</v>
      </c>
      <c r="H13" s="17">
        <f t="shared" si="0"/>
        <v>16</v>
      </c>
      <c r="I13" s="17">
        <f t="shared" si="0"/>
        <v>15</v>
      </c>
      <c r="J13" s="17">
        <f t="shared" si="0"/>
        <v>15</v>
      </c>
      <c r="K13" s="17">
        <f t="shared" si="0"/>
        <v>15</v>
      </c>
      <c r="L13" s="17">
        <f t="shared" si="0"/>
        <v>15</v>
      </c>
      <c r="M13" s="72">
        <f t="shared" si="0"/>
        <v>15</v>
      </c>
      <c r="N13" s="72">
        <f t="shared" si="0"/>
        <v>16</v>
      </c>
      <c r="O13" s="17"/>
    </row>
    <row r="14" spans="1:16" x14ac:dyDescent="0.2">
      <c r="A14" s="4" t="s">
        <v>1</v>
      </c>
      <c r="C14" s="17">
        <v>1</v>
      </c>
      <c r="D14" s="17">
        <v>17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72">
        <v>3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18</v>
      </c>
      <c r="E17" s="18">
        <f t="shared" si="1"/>
        <v>17</v>
      </c>
      <c r="F17" s="18">
        <f t="shared" si="1"/>
        <v>17</v>
      </c>
      <c r="G17" s="18">
        <f t="shared" si="1"/>
        <v>16</v>
      </c>
      <c r="H17" s="18">
        <f t="shared" si="1"/>
        <v>15</v>
      </c>
      <c r="I17" s="18">
        <f t="shared" si="1"/>
        <v>15</v>
      </c>
      <c r="J17" s="18">
        <f t="shared" si="1"/>
        <v>15</v>
      </c>
      <c r="K17" s="18">
        <f t="shared" si="1"/>
        <v>15</v>
      </c>
      <c r="L17" s="18">
        <f t="shared" si="1"/>
        <v>15</v>
      </c>
      <c r="M17" s="73">
        <f t="shared" si="1"/>
        <v>16</v>
      </c>
      <c r="N17" s="18">
        <f t="shared" si="1"/>
        <v>16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5.583333333333333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</v>
      </c>
      <c r="C39" s="27">
        <v>2.9</v>
      </c>
      <c r="D39" s="9"/>
      <c r="E39" s="26">
        <v>0</v>
      </c>
      <c r="F39" s="27">
        <v>0</v>
      </c>
      <c r="G39" s="59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2.9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5.5</v>
      </c>
      <c r="D40" s="9"/>
      <c r="E40" s="26"/>
      <c r="F40" s="64">
        <v>0.50600000000000001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6.0060000000000002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4</v>
      </c>
      <c r="F41" s="32">
        <v>16.48</v>
      </c>
      <c r="G41" s="54"/>
      <c r="H41" s="9"/>
      <c r="I41" s="28">
        <v>3</v>
      </c>
      <c r="J41" s="70">
        <v>10</v>
      </c>
      <c r="K41" s="68"/>
      <c r="L41" s="71">
        <v>8</v>
      </c>
      <c r="M41" s="70">
        <v>64</v>
      </c>
      <c r="N41" s="9"/>
      <c r="O41" s="28">
        <f>+L41+I41+E41+B41</f>
        <v>15</v>
      </c>
      <c r="P41" s="32">
        <f>+M41+J41+F41+C41</f>
        <v>90.48</v>
      </c>
      <c r="Q41" s="9"/>
      <c r="R41" s="28">
        <v>1</v>
      </c>
      <c r="S41" s="32">
        <v>5</v>
      </c>
      <c r="T41" s="9"/>
    </row>
    <row r="42" spans="1:20" s="5" customFormat="1" x14ac:dyDescent="0.2">
      <c r="A42" s="5" t="s">
        <v>59</v>
      </c>
      <c r="B42" s="23">
        <f>SUM(B39:B41)</f>
        <v>1</v>
      </c>
      <c r="C42" s="30">
        <f>SUM(C39:C41)</f>
        <v>8.4</v>
      </c>
      <c r="D42" s="11"/>
      <c r="E42" s="23">
        <f>SUM(E39:E41)</f>
        <v>4</v>
      </c>
      <c r="F42" s="30">
        <f>SUM(F39:F41)</f>
        <v>16.986000000000001</v>
      </c>
      <c r="G42" s="55"/>
      <c r="H42" s="11"/>
      <c r="I42" s="23">
        <f>SUM(I39:I41)</f>
        <v>3</v>
      </c>
      <c r="J42" s="30">
        <f>SUM(J39:J41)</f>
        <v>10</v>
      </c>
      <c r="K42" s="11"/>
      <c r="L42" s="23">
        <f>SUM(L39:L41)</f>
        <v>8</v>
      </c>
      <c r="M42" s="30">
        <f>SUM(M39:M41)</f>
        <v>64</v>
      </c>
      <c r="N42" s="11"/>
      <c r="O42" s="23">
        <f>SUM(O39:O41)</f>
        <v>16</v>
      </c>
      <c r="P42" s="30">
        <f>SUM(P39:P41)</f>
        <v>99.38600000000001</v>
      </c>
      <c r="Q42" s="11"/>
      <c r="R42" s="23">
        <f>SUM(R39:R41)</f>
        <v>1</v>
      </c>
      <c r="S42" s="30">
        <f>SUM(S39:S41)</f>
        <v>5</v>
      </c>
      <c r="T42" s="11"/>
    </row>
    <row r="43" spans="1:20" s="14" customFormat="1" x14ac:dyDescent="0.2">
      <c r="A43" s="46" t="s">
        <v>19</v>
      </c>
      <c r="B43" s="31"/>
      <c r="C43" s="30">
        <v>13.2</v>
      </c>
      <c r="D43" s="10"/>
      <c r="E43" s="31"/>
      <c r="F43" s="82">
        <f>+'[2]Hotlist - Completed'!C19/1000</f>
        <v>13.234999999999999</v>
      </c>
      <c r="G43" s="55"/>
      <c r="H43" s="10"/>
      <c r="I43" s="31"/>
      <c r="J43" s="83">
        <f>+'[2]Hotlist - Identified '!$F41/1000</f>
        <v>17.163</v>
      </c>
      <c r="K43" s="10"/>
      <c r="L43" s="31"/>
      <c r="M43" s="83">
        <f>+'[2]Hotlist - Identified '!$I41/1000</f>
        <v>43.231000000000002</v>
      </c>
      <c r="N43" s="10"/>
      <c r="O43" s="31"/>
      <c r="P43" s="30">
        <f>+M43+J43+F43+C43</f>
        <v>86.829000000000008</v>
      </c>
      <c r="Q43" s="10"/>
      <c r="R43" s="31"/>
      <c r="S43" s="83">
        <f>+'[2]Hotlist - Identified '!$O41/1000</f>
        <v>58.361850000000004</v>
      </c>
      <c r="T43" s="10"/>
    </row>
    <row r="44" spans="1:20" s="5" customFormat="1" ht="18.75" thickBot="1" x14ac:dyDescent="0.3">
      <c r="A44" s="5" t="s">
        <v>31</v>
      </c>
      <c r="B44" s="102">
        <f>+C42/C43</f>
        <v>0.63636363636363646</v>
      </c>
      <c r="C44" s="103"/>
      <c r="D44" s="38"/>
      <c r="E44" s="102">
        <f>+F42/F43</f>
        <v>1.2834151870041557</v>
      </c>
      <c r="F44" s="103"/>
      <c r="G44" s="56"/>
      <c r="H44" s="38"/>
      <c r="I44" s="102">
        <f>+J42/J43</f>
        <v>0.58264872108605725</v>
      </c>
      <c r="J44" s="103"/>
      <c r="K44" s="38"/>
      <c r="L44" s="102">
        <f>+M42/M43</f>
        <v>1.4804191436700516</v>
      </c>
      <c r="M44" s="103"/>
      <c r="N44" s="38"/>
      <c r="O44" s="102">
        <f>+P42/P43</f>
        <v>1.1446175816835389</v>
      </c>
      <c r="P44" s="103"/>
      <c r="Q44" s="38"/>
      <c r="R44" s="102">
        <f>+S42/S43</f>
        <v>8.567240414757242E-2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C8:O8"/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47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5</v>
      </c>
      <c r="E13" s="17">
        <f t="shared" si="0"/>
        <v>15</v>
      </c>
      <c r="F13" s="17">
        <f t="shared" si="0"/>
        <v>16</v>
      </c>
      <c r="G13" s="17">
        <f t="shared" si="0"/>
        <v>27</v>
      </c>
      <c r="H13" s="17">
        <f t="shared" si="0"/>
        <v>22</v>
      </c>
      <c r="I13" s="17">
        <f t="shared" si="0"/>
        <v>26</v>
      </c>
      <c r="J13" s="17">
        <f t="shared" si="0"/>
        <v>27</v>
      </c>
      <c r="K13" s="17">
        <f t="shared" si="0"/>
        <v>27</v>
      </c>
      <c r="L13" s="17">
        <f t="shared" si="0"/>
        <v>26</v>
      </c>
      <c r="M13" s="72">
        <f t="shared" si="0"/>
        <v>26</v>
      </c>
      <c r="N13" s="72">
        <f t="shared" si="0"/>
        <v>25</v>
      </c>
      <c r="O13" s="17"/>
    </row>
    <row r="14" spans="1:16" x14ac:dyDescent="0.2">
      <c r="A14" s="4" t="s">
        <v>1</v>
      </c>
      <c r="C14" s="17">
        <v>5</v>
      </c>
      <c r="D14" s="17">
        <v>14</v>
      </c>
      <c r="E14" s="17">
        <v>2</v>
      </c>
      <c r="F14" s="17">
        <v>17</v>
      </c>
      <c r="G14" s="17">
        <v>0</v>
      </c>
      <c r="H14" s="17">
        <v>5</v>
      </c>
      <c r="I14" s="17">
        <v>3</v>
      </c>
      <c r="J14" s="17">
        <v>0</v>
      </c>
      <c r="K14" s="17">
        <v>0</v>
      </c>
      <c r="L14" s="17">
        <v>0</v>
      </c>
      <c r="M14" s="72">
        <v>0</v>
      </c>
      <c r="N14" s="17">
        <v>1</v>
      </c>
      <c r="O14" s="17"/>
    </row>
    <row r="15" spans="1:16" x14ac:dyDescent="0.2">
      <c r="A15" s="4" t="s">
        <v>2</v>
      </c>
      <c r="C15" s="17">
        <v>0</v>
      </c>
      <c r="D15" s="17">
        <v>2</v>
      </c>
      <c r="E15" s="17">
        <v>1</v>
      </c>
      <c r="F15" s="17">
        <v>6</v>
      </c>
      <c r="G15" s="17">
        <v>5</v>
      </c>
      <c r="H15" s="17">
        <v>1</v>
      </c>
      <c r="I15" s="17">
        <v>2</v>
      </c>
      <c r="J15" s="17">
        <v>0</v>
      </c>
      <c r="K15" s="17">
        <v>1</v>
      </c>
      <c r="L15" s="17">
        <v>0</v>
      </c>
      <c r="M15" s="72">
        <v>1</v>
      </c>
      <c r="N15" s="17">
        <v>1</v>
      </c>
      <c r="O15" s="17"/>
    </row>
    <row r="16" spans="1:16" x14ac:dyDescent="0.2">
      <c r="A16" s="4" t="s">
        <v>3</v>
      </c>
      <c r="C16" s="17">
        <v>0</v>
      </c>
      <c r="D16" s="17">
        <v>2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5</v>
      </c>
      <c r="D17" s="18">
        <f t="shared" si="1"/>
        <v>15</v>
      </c>
      <c r="E17" s="18">
        <f t="shared" si="1"/>
        <v>16</v>
      </c>
      <c r="F17" s="18">
        <f t="shared" si="1"/>
        <v>27</v>
      </c>
      <c r="G17" s="18">
        <f t="shared" si="1"/>
        <v>22</v>
      </c>
      <c r="H17" s="18">
        <f t="shared" si="1"/>
        <v>26</v>
      </c>
      <c r="I17" s="18">
        <f t="shared" si="1"/>
        <v>27</v>
      </c>
      <c r="J17" s="18">
        <f t="shared" si="1"/>
        <v>27</v>
      </c>
      <c r="K17" s="18">
        <f t="shared" si="1"/>
        <v>26</v>
      </c>
      <c r="L17" s="18">
        <f t="shared" si="1"/>
        <v>26</v>
      </c>
      <c r="M17" s="73">
        <f t="shared" si="1"/>
        <v>25</v>
      </c>
      <c r="N17" s="18">
        <f t="shared" si="1"/>
        <v>25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6.7</v>
      </c>
      <c r="D29" s="10">
        <f>+D27/E17</f>
        <v>7.1749999999999998</v>
      </c>
      <c r="E29" s="10">
        <f>+E27/F17</f>
        <v>3.8074074074074074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13</v>
      </c>
      <c r="C39" s="27">
        <v>4</v>
      </c>
      <c r="D39" s="9"/>
      <c r="E39" s="26">
        <v>2</v>
      </c>
      <c r="F39" s="27">
        <v>0.33600000000000002</v>
      </c>
      <c r="G39" s="59">
        <v>0.3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15</v>
      </c>
      <c r="P39" s="27">
        <f>+M39+J39+F39+C39</f>
        <v>4.3360000000000003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-0.8</v>
      </c>
      <c r="D40" s="9"/>
      <c r="E40" s="26"/>
      <c r="F40" s="64">
        <f>4.5-F39</f>
        <v>4.1639999999999997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3.3639999999999999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2</v>
      </c>
      <c r="F41" s="70">
        <v>11.597</v>
      </c>
      <c r="G41" s="54"/>
      <c r="H41" s="9"/>
      <c r="I41" s="28">
        <v>10</v>
      </c>
      <c r="J41" s="70">
        <v>58</v>
      </c>
      <c r="K41" s="68"/>
      <c r="L41" s="71">
        <v>9</v>
      </c>
      <c r="M41" s="70">
        <v>47</v>
      </c>
      <c r="N41" s="9"/>
      <c r="O41" s="28">
        <f>+L41+I41+E41+B41</f>
        <v>21</v>
      </c>
      <c r="P41" s="32">
        <f>+M41+J41+F41+C41</f>
        <v>116.59699999999999</v>
      </c>
      <c r="Q41" s="9"/>
      <c r="R41" s="28">
        <v>4</v>
      </c>
      <c r="S41" s="32">
        <v>31</v>
      </c>
      <c r="T41" s="9"/>
    </row>
    <row r="42" spans="1:20" s="5" customFormat="1" x14ac:dyDescent="0.2">
      <c r="A42" s="5" t="s">
        <v>59</v>
      </c>
      <c r="B42" s="23">
        <f>SUM(B39:B41)</f>
        <v>13</v>
      </c>
      <c r="C42" s="30">
        <f>SUM(C39:C41)</f>
        <v>3.2</v>
      </c>
      <c r="D42" s="11"/>
      <c r="E42" s="23">
        <f>SUM(E39:E41)</f>
        <v>4</v>
      </c>
      <c r="F42" s="30">
        <f>SUM(F39:F41)</f>
        <v>16.097000000000001</v>
      </c>
      <c r="G42" s="55"/>
      <c r="H42" s="11"/>
      <c r="I42" s="23">
        <f>SUM(I39:I41)</f>
        <v>10</v>
      </c>
      <c r="J42" s="30">
        <f>SUM(J39:J41)</f>
        <v>58</v>
      </c>
      <c r="K42" s="11"/>
      <c r="L42" s="23">
        <f>SUM(L39:L41)</f>
        <v>9</v>
      </c>
      <c r="M42" s="30">
        <f>SUM(M39:M41)</f>
        <v>47</v>
      </c>
      <c r="N42" s="11"/>
      <c r="O42" s="23">
        <f>SUM(O39:O41)</f>
        <v>36</v>
      </c>
      <c r="P42" s="30">
        <f>SUM(P39:P41)</f>
        <v>124.297</v>
      </c>
      <c r="Q42" s="11"/>
      <c r="R42" s="23">
        <f>SUM(R39:R41)</f>
        <v>4</v>
      </c>
      <c r="S42" s="30">
        <f>SUM(S39:S41)</f>
        <v>31</v>
      </c>
      <c r="T42" s="11"/>
    </row>
    <row r="43" spans="1:20" s="14" customFormat="1" x14ac:dyDescent="0.2">
      <c r="A43" s="46" t="s">
        <v>19</v>
      </c>
      <c r="B43" s="31"/>
      <c r="C43" s="30">
        <v>16.899999999999999</v>
      </c>
      <c r="D43" s="10"/>
      <c r="E43" s="31"/>
      <c r="F43" s="82">
        <f>+'[2]Hotlist - Completed'!C27/1000</f>
        <v>22.861000000000001</v>
      </c>
      <c r="G43" s="55"/>
      <c r="H43" s="10"/>
      <c r="I43" s="31"/>
      <c r="J43" s="83">
        <f>+'[2]Hotlist - Identified '!$F$56/1000</f>
        <v>28.361000000000001</v>
      </c>
      <c r="K43" s="10"/>
      <c r="L43" s="31"/>
      <c r="M43" s="83">
        <f>+'[2]Hotlist - Identified '!$I$56/1000</f>
        <v>28.361000000000001</v>
      </c>
      <c r="N43" s="10"/>
      <c r="O43" s="31"/>
      <c r="P43" s="30">
        <f>+M43+J43+F43+C43</f>
        <v>96.483000000000004</v>
      </c>
      <c r="Q43" s="10"/>
      <c r="R43" s="31"/>
      <c r="S43" s="83">
        <f>+'[2]Hotlist - Identified '!$O$56/1000</f>
        <v>38.287350000000004</v>
      </c>
      <c r="T43" s="10"/>
    </row>
    <row r="44" spans="1:20" s="5" customFormat="1" ht="18.75" thickBot="1" x14ac:dyDescent="0.3">
      <c r="A44" s="5" t="s">
        <v>31</v>
      </c>
      <c r="B44" s="102">
        <f>+C42/C43</f>
        <v>0.18934911242603553</v>
      </c>
      <c r="C44" s="103"/>
      <c r="D44" s="38"/>
      <c r="E44" s="102">
        <f>+F42/F43</f>
        <v>0.70412492891824507</v>
      </c>
      <c r="F44" s="103"/>
      <c r="G44" s="56"/>
      <c r="H44" s="38"/>
      <c r="I44" s="102">
        <f>+J42/J43</f>
        <v>2.0450618807517364</v>
      </c>
      <c r="J44" s="103"/>
      <c r="K44" s="38"/>
      <c r="L44" s="102">
        <f>+M42/M43</f>
        <v>1.6572053171608898</v>
      </c>
      <c r="M44" s="103"/>
      <c r="N44" s="38"/>
      <c r="O44" s="102">
        <f>+P42/P43</f>
        <v>1.2882787641346143</v>
      </c>
      <c r="P44" s="103"/>
      <c r="Q44" s="38"/>
      <c r="R44" s="102">
        <f>+S42/S43</f>
        <v>0.80966690042533618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60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15</v>
      </c>
      <c r="E13" s="17">
        <f t="shared" si="0"/>
        <v>32</v>
      </c>
      <c r="F13" s="17">
        <f t="shared" si="0"/>
        <v>31</v>
      </c>
      <c r="G13" s="17">
        <f t="shared" si="0"/>
        <v>25</v>
      </c>
      <c r="H13" s="17">
        <f t="shared" si="0"/>
        <v>23</v>
      </c>
      <c r="I13" s="17">
        <f t="shared" si="0"/>
        <v>24</v>
      </c>
      <c r="J13" s="17">
        <f t="shared" si="0"/>
        <v>15</v>
      </c>
      <c r="K13" s="17">
        <f t="shared" si="0"/>
        <v>14</v>
      </c>
      <c r="L13" s="17">
        <f t="shared" si="0"/>
        <v>14</v>
      </c>
      <c r="M13" s="72">
        <f t="shared" si="0"/>
        <v>14</v>
      </c>
      <c r="N13" s="72">
        <f t="shared" si="0"/>
        <v>12</v>
      </c>
      <c r="O13" s="17"/>
    </row>
    <row r="14" spans="1:16" x14ac:dyDescent="0.2">
      <c r="A14" s="4" t="s">
        <v>1</v>
      </c>
      <c r="C14" s="17">
        <v>15</v>
      </c>
      <c r="D14" s="17">
        <v>17</v>
      </c>
      <c r="E14" s="17">
        <v>1</v>
      </c>
      <c r="F14" s="17">
        <v>2</v>
      </c>
      <c r="G14" s="17">
        <v>0</v>
      </c>
      <c r="H14" s="17">
        <v>1</v>
      </c>
      <c r="I14" s="17">
        <v>0</v>
      </c>
      <c r="J14" s="17">
        <v>0</v>
      </c>
      <c r="K14" s="17">
        <v>0</v>
      </c>
      <c r="L14" s="17">
        <v>0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2</v>
      </c>
      <c r="F15" s="17">
        <v>7</v>
      </c>
      <c r="G15" s="17">
        <v>2</v>
      </c>
      <c r="H15" s="17">
        <v>0</v>
      </c>
      <c r="I15" s="17">
        <v>9</v>
      </c>
      <c r="J15" s="17">
        <v>1</v>
      </c>
      <c r="K15" s="17">
        <v>0</v>
      </c>
      <c r="L15" s="17">
        <v>0</v>
      </c>
      <c r="M15" s="72">
        <v>2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15</v>
      </c>
      <c r="D17" s="18">
        <f t="shared" si="1"/>
        <v>32</v>
      </c>
      <c r="E17" s="18">
        <f t="shared" si="1"/>
        <v>31</v>
      </c>
      <c r="F17" s="18">
        <f t="shared" si="1"/>
        <v>25</v>
      </c>
      <c r="G17" s="18">
        <f t="shared" si="1"/>
        <v>23</v>
      </c>
      <c r="H17" s="18">
        <f t="shared" si="1"/>
        <v>24</v>
      </c>
      <c r="I17" s="18">
        <f t="shared" si="1"/>
        <v>15</v>
      </c>
      <c r="J17" s="18">
        <f t="shared" si="1"/>
        <v>14</v>
      </c>
      <c r="K17" s="18">
        <f t="shared" si="1"/>
        <v>14</v>
      </c>
      <c r="L17" s="18">
        <f t="shared" si="1"/>
        <v>14</v>
      </c>
      <c r="M17" s="73">
        <f t="shared" si="1"/>
        <v>12</v>
      </c>
      <c r="N17" s="18">
        <f t="shared" si="1"/>
        <v>12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3.140625</v>
      </c>
      <c r="D29" s="10">
        <f>+D27/E17</f>
        <v>3.7032258064516128</v>
      </c>
      <c r="E29" s="10">
        <f>+E27/F17</f>
        <v>4.1120000000000001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12.6</v>
      </c>
      <c r="G39" s="59">
        <v>12.6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12.6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7.2</v>
      </c>
      <c r="D40" s="9"/>
      <c r="E40" s="26"/>
      <c r="F40" s="64">
        <f>16.15-F39</f>
        <v>3.5499999999999989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10.75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1</v>
      </c>
      <c r="F41" s="32">
        <v>19.216000000000001</v>
      </c>
      <c r="G41" s="54"/>
      <c r="H41" s="9"/>
      <c r="I41" s="28">
        <v>3</v>
      </c>
      <c r="J41" s="70">
        <v>29</v>
      </c>
      <c r="K41" s="68"/>
      <c r="L41" s="71">
        <v>7</v>
      </c>
      <c r="M41" s="70">
        <v>67.5</v>
      </c>
      <c r="N41" s="9"/>
      <c r="O41" s="28">
        <f>+L41+I41+E41+B41</f>
        <v>11</v>
      </c>
      <c r="P41" s="32">
        <f>+M41+J41+F41+C41</f>
        <v>115.71600000000001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7.2</v>
      </c>
      <c r="D42" s="11"/>
      <c r="E42" s="23">
        <f>SUM(E39:E41)</f>
        <v>2</v>
      </c>
      <c r="F42" s="30">
        <f>SUM(F39:F41)</f>
        <v>35.366</v>
      </c>
      <c r="G42" s="55"/>
      <c r="H42" s="11"/>
      <c r="I42" s="23">
        <f>SUM(I39:I41)</f>
        <v>3</v>
      </c>
      <c r="J42" s="30">
        <f>SUM(J39:J41)</f>
        <v>29</v>
      </c>
      <c r="K42" s="11"/>
      <c r="L42" s="23">
        <f>SUM(L39:L41)</f>
        <v>7</v>
      </c>
      <c r="M42" s="30">
        <f>SUM(M39:M41)</f>
        <v>67.5</v>
      </c>
      <c r="N42" s="11"/>
      <c r="O42" s="23">
        <f>SUM(O39:O41)</f>
        <v>12</v>
      </c>
      <c r="P42" s="30">
        <f>SUM(P39:P41)</f>
        <v>139.066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18.7</v>
      </c>
      <c r="D43" s="10"/>
      <c r="E43" s="31"/>
      <c r="F43" s="82">
        <f>+'[2]Hotlist - Completed'!C36/1000</f>
        <v>18.710999999999999</v>
      </c>
      <c r="G43" s="55"/>
      <c r="H43" s="10"/>
      <c r="I43" s="31"/>
      <c r="J43" s="83">
        <f>+'[2]Hotlist - Identified '!$F68/1000</f>
        <v>18.712</v>
      </c>
      <c r="K43" s="10"/>
      <c r="L43" s="31"/>
      <c r="M43" s="83">
        <f>+'[2]Hotlist - Identified '!$I68/1000</f>
        <v>18.713000000000001</v>
      </c>
      <c r="N43" s="10"/>
      <c r="O43" s="31"/>
      <c r="P43" s="30">
        <f>+M43+J43+F43+C43</f>
        <v>74.835999999999999</v>
      </c>
      <c r="Q43" s="10"/>
      <c r="R43" s="31"/>
      <c r="S43" s="83">
        <f>+'[2]Hotlist - Identified '!$O68/1000</f>
        <v>25.262550000000005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0.38502673796791448</v>
      </c>
      <c r="C44" s="103"/>
      <c r="D44" s="38"/>
      <c r="E44" s="102">
        <f>+F42/F43</f>
        <v>1.8901181123403348</v>
      </c>
      <c r="F44" s="103"/>
      <c r="G44" s="56"/>
      <c r="H44" s="38"/>
      <c r="I44" s="102">
        <f>+J42/J43</f>
        <v>1.549807610089782</v>
      </c>
      <c r="J44" s="103"/>
      <c r="K44" s="38"/>
      <c r="L44" s="102">
        <f>+M42/M43</f>
        <v>3.6071180462779884</v>
      </c>
      <c r="M44" s="103"/>
      <c r="N44" s="38"/>
      <c r="O44" s="102">
        <f>+P42/P43</f>
        <v>1.8582767651932226</v>
      </c>
      <c r="P44" s="103"/>
      <c r="Q44" s="38"/>
      <c r="R44" s="102">
        <f>+S42/S43</f>
        <v>0.29688214372658339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54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4</v>
      </c>
      <c r="E13" s="17">
        <f t="shared" si="0"/>
        <v>14</v>
      </c>
      <c r="F13" s="17">
        <f t="shared" si="0"/>
        <v>14</v>
      </c>
      <c r="G13" s="17">
        <f t="shared" si="0"/>
        <v>17</v>
      </c>
      <c r="H13" s="17">
        <f t="shared" si="0"/>
        <v>19</v>
      </c>
      <c r="I13" s="17">
        <f t="shared" si="0"/>
        <v>18</v>
      </c>
      <c r="J13" s="17">
        <f t="shared" si="0"/>
        <v>19</v>
      </c>
      <c r="K13" s="17">
        <f t="shared" si="0"/>
        <v>19</v>
      </c>
      <c r="L13" s="17">
        <f t="shared" si="0"/>
        <v>19</v>
      </c>
      <c r="M13" s="72">
        <f t="shared" si="0"/>
        <v>21</v>
      </c>
      <c r="N13" s="72">
        <f t="shared" si="0"/>
        <v>22</v>
      </c>
      <c r="O13" s="17"/>
    </row>
    <row r="14" spans="1:16" x14ac:dyDescent="0.2">
      <c r="A14" s="4" t="s">
        <v>1</v>
      </c>
      <c r="C14" s="17">
        <v>4</v>
      </c>
      <c r="D14" s="17">
        <v>10</v>
      </c>
      <c r="E14" s="17">
        <v>1</v>
      </c>
      <c r="F14" s="17">
        <v>3</v>
      </c>
      <c r="G14" s="17">
        <v>3</v>
      </c>
      <c r="H14" s="17">
        <v>0</v>
      </c>
      <c r="I14" s="17">
        <v>1</v>
      </c>
      <c r="J14" s="17">
        <v>0</v>
      </c>
      <c r="K14" s="17">
        <v>0</v>
      </c>
      <c r="L14" s="17">
        <v>2</v>
      </c>
      <c r="M14" s="72">
        <v>6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72">
        <v>5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4</v>
      </c>
      <c r="D17" s="18">
        <f t="shared" si="1"/>
        <v>14</v>
      </c>
      <c r="E17" s="18">
        <f t="shared" si="1"/>
        <v>14</v>
      </c>
      <c r="F17" s="18">
        <f t="shared" si="1"/>
        <v>17</v>
      </c>
      <c r="G17" s="18">
        <f t="shared" si="1"/>
        <v>19</v>
      </c>
      <c r="H17" s="18">
        <f t="shared" si="1"/>
        <v>18</v>
      </c>
      <c r="I17" s="18">
        <f t="shared" si="1"/>
        <v>19</v>
      </c>
      <c r="J17" s="18">
        <f t="shared" si="1"/>
        <v>19</v>
      </c>
      <c r="K17" s="18">
        <f t="shared" si="1"/>
        <v>19</v>
      </c>
      <c r="L17" s="18">
        <f t="shared" si="1"/>
        <v>21</v>
      </c>
      <c r="M17" s="73">
        <f t="shared" si="1"/>
        <v>22</v>
      </c>
      <c r="N17" s="18">
        <f t="shared" si="1"/>
        <v>22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9" hidden="1" x14ac:dyDescent="0.2">
      <c r="A23" s="4" t="s">
        <v>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9" hidden="1" x14ac:dyDescent="0.2">
      <c r="A24" s="4" t="s">
        <v>2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9" hidden="1" x14ac:dyDescent="0.2">
      <c r="A25" s="4" t="s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9" hidden="1" x14ac:dyDescent="0.2">
      <c r="A26" s="4" t="s">
        <v>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9" ht="13.5" hidden="1" thickBot="1" x14ac:dyDescent="0.25">
      <c r="A27" s="2" t="s">
        <v>6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/>
      <c r="D29" s="10"/>
      <c r="E29" s="10"/>
      <c r="F29" s="10"/>
      <c r="G29" s="10"/>
      <c r="H29" s="10"/>
      <c r="I29" s="10"/>
      <c r="J29" s="10"/>
      <c r="O29" s="10"/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-1.1000000000000001</v>
      </c>
      <c r="D40" s="9"/>
      <c r="E40" s="26"/>
      <c r="F40" s="64">
        <f>0.164-F39</f>
        <v>0.16400000000000001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-0.93600000000000005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5</v>
      </c>
      <c r="F41" s="32">
        <v>4</v>
      </c>
      <c r="G41" s="54"/>
      <c r="H41" s="9"/>
      <c r="I41" s="28">
        <v>10</v>
      </c>
      <c r="J41" s="70">
        <v>45</v>
      </c>
      <c r="K41" s="68"/>
      <c r="L41" s="71">
        <v>5</v>
      </c>
      <c r="M41" s="70">
        <v>25</v>
      </c>
      <c r="N41" s="9"/>
      <c r="O41" s="28">
        <f>+L41+I41+E41+B41</f>
        <v>20</v>
      </c>
      <c r="P41" s="32">
        <f>+M41+J41+F41+C41</f>
        <v>74</v>
      </c>
      <c r="Q41" s="9"/>
      <c r="R41" s="28">
        <v>2</v>
      </c>
      <c r="S41" s="32">
        <v>10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-1.1000000000000001</v>
      </c>
      <c r="D42" s="11"/>
      <c r="E42" s="23">
        <f>SUM(E39:E41)</f>
        <v>5</v>
      </c>
      <c r="F42" s="30">
        <f>SUM(F39:F41)</f>
        <v>4.1639999999999997</v>
      </c>
      <c r="G42" s="55"/>
      <c r="H42" s="11"/>
      <c r="I42" s="23">
        <f>SUM(I39:I41)</f>
        <v>10</v>
      </c>
      <c r="J42" s="30">
        <f>SUM(J39:J41)</f>
        <v>45</v>
      </c>
      <c r="K42" s="11"/>
      <c r="L42" s="23">
        <f>SUM(L39:L41)</f>
        <v>5</v>
      </c>
      <c r="M42" s="30">
        <f>SUM(M39:M41)</f>
        <v>25</v>
      </c>
      <c r="N42" s="11"/>
      <c r="O42" s="23">
        <f>SUM(O39:O41)</f>
        <v>20</v>
      </c>
      <c r="P42" s="30">
        <f>SUM(P39:P41)</f>
        <v>73.063999999999993</v>
      </c>
      <c r="Q42" s="11"/>
      <c r="R42" s="23">
        <f>SUM(R39:R41)</f>
        <v>2</v>
      </c>
      <c r="S42" s="30">
        <f>SUM(S39:S41)</f>
        <v>10</v>
      </c>
      <c r="T42" s="11"/>
    </row>
    <row r="43" spans="1:20" s="14" customFormat="1" x14ac:dyDescent="0.2">
      <c r="A43" s="46" t="s">
        <v>19</v>
      </c>
      <c r="B43" s="31"/>
      <c r="C43" s="30">
        <v>12.7</v>
      </c>
      <c r="D43" s="10"/>
      <c r="E43" s="31"/>
      <c r="F43" s="82">
        <f>+'[2]Hotlist - Completed'!C44/1000</f>
        <v>6.2119999999999997</v>
      </c>
      <c r="G43" s="55"/>
      <c r="H43" s="10"/>
      <c r="I43" s="31"/>
      <c r="J43" s="83">
        <f>+'[1]Hotlist - Identified '!$F$80/1000</f>
        <v>6.2789999999999999</v>
      </c>
      <c r="K43" s="10"/>
      <c r="L43" s="31"/>
      <c r="M43" s="83">
        <f>+'[1]Hotlist - Identified '!$I$80/1000</f>
        <v>6.2789999999999999</v>
      </c>
      <c r="N43" s="10"/>
      <c r="O43" s="31"/>
      <c r="P43" s="30">
        <f>+M43+J43+F43+C43</f>
        <v>31.47</v>
      </c>
      <c r="Q43" s="10"/>
      <c r="R43" s="31"/>
      <c r="S43" s="83">
        <f>+'[1]Hotlist - Identified '!$O$80/1000</f>
        <v>8.4766500000000011</v>
      </c>
      <c r="T43" s="10"/>
    </row>
    <row r="44" spans="1:20" s="5" customFormat="1" ht="18.75" thickBot="1" x14ac:dyDescent="0.3">
      <c r="A44" s="5" t="s">
        <v>31</v>
      </c>
      <c r="B44" s="102">
        <f>+C42/C43</f>
        <v>-8.6614173228346469E-2</v>
      </c>
      <c r="C44" s="103"/>
      <c r="D44" s="38"/>
      <c r="E44" s="102">
        <f>+F42/F43</f>
        <v>0.67031551835157754</v>
      </c>
      <c r="F44" s="103"/>
      <c r="G44" s="56"/>
      <c r="H44" s="38"/>
      <c r="I44" s="102">
        <f>+J42/J43</f>
        <v>7.1667462971810796</v>
      </c>
      <c r="J44" s="103"/>
      <c r="K44" s="38"/>
      <c r="L44" s="102">
        <f>+M42/M43</f>
        <v>3.9815257206561556</v>
      </c>
      <c r="M44" s="103"/>
      <c r="N44" s="38"/>
      <c r="O44" s="102">
        <f>+P42/P43</f>
        <v>2.3217032094057832</v>
      </c>
      <c r="P44" s="103"/>
      <c r="Q44" s="38"/>
      <c r="R44" s="102">
        <f>+S42/S43</f>
        <v>1.1797113246388606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55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0</v>
      </c>
      <c r="E13" s="17">
        <f t="shared" si="0"/>
        <v>17</v>
      </c>
      <c r="F13" s="17">
        <f t="shared" si="0"/>
        <v>17</v>
      </c>
      <c r="G13" s="17">
        <f t="shared" si="0"/>
        <v>17</v>
      </c>
      <c r="H13" s="17">
        <f t="shared" si="0"/>
        <v>17</v>
      </c>
      <c r="I13" s="17">
        <f t="shared" si="0"/>
        <v>16</v>
      </c>
      <c r="J13" s="17">
        <f t="shared" si="0"/>
        <v>18</v>
      </c>
      <c r="K13" s="17">
        <f t="shared" si="0"/>
        <v>18</v>
      </c>
      <c r="L13" s="17">
        <f t="shared" si="0"/>
        <v>15</v>
      </c>
      <c r="M13" s="72">
        <f t="shared" si="0"/>
        <v>13</v>
      </c>
      <c r="N13" s="72">
        <f t="shared" si="0"/>
        <v>13</v>
      </c>
      <c r="O13" s="17"/>
    </row>
    <row r="14" spans="1:16" x14ac:dyDescent="0.2">
      <c r="A14" s="4" t="s">
        <v>1</v>
      </c>
      <c r="C14" s="17">
        <v>0</v>
      </c>
      <c r="D14" s="17">
        <v>18</v>
      </c>
      <c r="E14" s="17">
        <v>0</v>
      </c>
      <c r="F14" s="17">
        <v>0</v>
      </c>
      <c r="G14" s="17">
        <v>0</v>
      </c>
      <c r="H14" s="17">
        <v>0</v>
      </c>
      <c r="I14" s="17">
        <v>2</v>
      </c>
      <c r="J14" s="17">
        <v>2</v>
      </c>
      <c r="K14" s="17">
        <v>1</v>
      </c>
      <c r="L14" s="17">
        <v>1</v>
      </c>
      <c r="M14" s="72">
        <v>0</v>
      </c>
      <c r="N14" s="17">
        <v>2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1</v>
      </c>
      <c r="L15" s="17">
        <v>0</v>
      </c>
      <c r="M15" s="72">
        <v>0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1</v>
      </c>
      <c r="E16" s="17">
        <v>0</v>
      </c>
      <c r="F16" s="17">
        <v>0</v>
      </c>
      <c r="G16" s="17">
        <v>0</v>
      </c>
      <c r="H16" s="17">
        <v>1</v>
      </c>
      <c r="I16" s="17">
        <v>0</v>
      </c>
      <c r="J16" s="17">
        <v>2</v>
      </c>
      <c r="K16" s="17">
        <v>3</v>
      </c>
      <c r="L16" s="17">
        <v>3</v>
      </c>
      <c r="M16" s="72">
        <v>0</v>
      </c>
      <c r="N16" s="17">
        <v>1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0</v>
      </c>
      <c r="D17" s="18">
        <f t="shared" si="1"/>
        <v>17</v>
      </c>
      <c r="E17" s="18">
        <f t="shared" si="1"/>
        <v>17</v>
      </c>
      <c r="F17" s="18">
        <f t="shared" si="1"/>
        <v>17</v>
      </c>
      <c r="G17" s="18">
        <f t="shared" si="1"/>
        <v>17</v>
      </c>
      <c r="H17" s="18">
        <f t="shared" si="1"/>
        <v>16</v>
      </c>
      <c r="I17" s="18">
        <f t="shared" si="1"/>
        <v>18</v>
      </c>
      <c r="J17" s="18">
        <f t="shared" si="1"/>
        <v>18</v>
      </c>
      <c r="K17" s="18">
        <f t="shared" si="1"/>
        <v>15</v>
      </c>
      <c r="L17" s="18">
        <f t="shared" si="1"/>
        <v>13</v>
      </c>
      <c r="M17" s="73">
        <f t="shared" si="1"/>
        <v>13</v>
      </c>
      <c r="N17" s="18">
        <f t="shared" si="1"/>
        <v>14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5.9117647058823533</v>
      </c>
      <c r="D29" s="10">
        <f>+D27/E17</f>
        <v>6.7529411764705882</v>
      </c>
      <c r="E29" s="10">
        <f>+E27/F17</f>
        <v>6.0470588235294116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7</v>
      </c>
      <c r="C39" s="27">
        <v>10.4</v>
      </c>
      <c r="D39" s="9"/>
      <c r="E39" s="26">
        <v>11</v>
      </c>
      <c r="F39" s="27">
        <f>6.47+0.46</f>
        <v>6.93</v>
      </c>
      <c r="G39" s="59">
        <f>3.6+0.95+0.5+0.34+0.23+1.45+0.5</f>
        <v>7.57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18</v>
      </c>
      <c r="P39" s="27">
        <f>+M39+J39+F39+C39</f>
        <v>17.329999999999998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-2.8</v>
      </c>
      <c r="D40" s="9"/>
      <c r="E40" s="26"/>
      <c r="F40" s="64">
        <f>9.628-F39</f>
        <v>2.6980000000000004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-0.10199999999999942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48">
        <v>0</v>
      </c>
      <c r="D41" s="9"/>
      <c r="E41" s="28">
        <v>2</v>
      </c>
      <c r="F41" s="32">
        <v>2.8</v>
      </c>
      <c r="G41" s="54"/>
      <c r="H41" s="9"/>
      <c r="I41" s="28">
        <v>8</v>
      </c>
      <c r="J41" s="70">
        <v>19</v>
      </c>
      <c r="K41" s="68"/>
      <c r="L41" s="71">
        <v>4</v>
      </c>
      <c r="M41" s="70">
        <v>11</v>
      </c>
      <c r="N41" s="9"/>
      <c r="O41" s="28">
        <f>+L41+I41+E41+B41</f>
        <v>14</v>
      </c>
      <c r="P41" s="32">
        <f>+M41+J41+F41+C41</f>
        <v>32.799999999999997</v>
      </c>
      <c r="Q41" s="9"/>
      <c r="R41" s="28">
        <v>0</v>
      </c>
      <c r="S41" s="48">
        <v>0</v>
      </c>
      <c r="T41" s="9"/>
    </row>
    <row r="42" spans="1:20" s="5" customFormat="1" x14ac:dyDescent="0.2">
      <c r="A42" s="5" t="s">
        <v>59</v>
      </c>
      <c r="B42" s="23">
        <f>SUM(B39:B41)</f>
        <v>7</v>
      </c>
      <c r="C42" s="30">
        <f>SUM(C39:C41)</f>
        <v>7.6000000000000005</v>
      </c>
      <c r="D42" s="11"/>
      <c r="E42" s="23">
        <f>SUM(E39:E41)</f>
        <v>13</v>
      </c>
      <c r="F42" s="30">
        <f>SUM(F39:F41)</f>
        <v>12.428000000000001</v>
      </c>
      <c r="G42" s="55"/>
      <c r="H42" s="11"/>
      <c r="I42" s="23">
        <f>SUM(I39:I41)</f>
        <v>8</v>
      </c>
      <c r="J42" s="30">
        <f>SUM(J39:J41)</f>
        <v>19</v>
      </c>
      <c r="K42" s="11"/>
      <c r="L42" s="23">
        <f>SUM(L39:L41)</f>
        <v>4</v>
      </c>
      <c r="M42" s="30">
        <f>SUM(M39:M41)</f>
        <v>11</v>
      </c>
      <c r="N42" s="11"/>
      <c r="O42" s="23">
        <f>SUM(O39:O41)</f>
        <v>32</v>
      </c>
      <c r="P42" s="30">
        <f>SUM(P39:P41)</f>
        <v>50.027999999999992</v>
      </c>
      <c r="Q42" s="11"/>
      <c r="R42" s="23">
        <f>SUM(R39:R41)</f>
        <v>0</v>
      </c>
      <c r="S42" s="30">
        <f>SUM(S39:S41)</f>
        <v>0</v>
      </c>
      <c r="T42" s="11"/>
    </row>
    <row r="43" spans="1:20" s="14" customFormat="1" x14ac:dyDescent="0.2">
      <c r="A43" s="46" t="s">
        <v>19</v>
      </c>
      <c r="B43" s="31"/>
      <c r="C43" s="30">
        <v>11.6</v>
      </c>
      <c r="D43" s="10"/>
      <c r="E43" s="31"/>
      <c r="F43" s="82">
        <f>+'[2]Hotlist - Completed'!C61/1000</f>
        <v>11.555999999999999</v>
      </c>
      <c r="G43" s="55"/>
      <c r="H43" s="10"/>
      <c r="I43" s="31"/>
      <c r="J43" s="83">
        <f>+'[2]Hotlist - Identified '!$F95/1000</f>
        <v>11.557</v>
      </c>
      <c r="K43" s="10"/>
      <c r="L43" s="31"/>
      <c r="M43" s="83">
        <f>+'[2]Hotlist - Identified '!$I95/1000</f>
        <v>11.558</v>
      </c>
      <c r="N43" s="10"/>
      <c r="O43" s="31"/>
      <c r="P43" s="30">
        <f>+M43+J43+F43+C43</f>
        <v>46.271000000000001</v>
      </c>
      <c r="Q43" s="10"/>
      <c r="R43" s="31"/>
      <c r="S43" s="83">
        <f>+'[2]Hotlist - Identified '!$O95/1000</f>
        <v>15.603300000000001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0.65517241379310354</v>
      </c>
      <c r="C44" s="103"/>
      <c r="D44" s="38"/>
      <c r="E44" s="102">
        <f>+F42/F43</f>
        <v>1.0754586362062999</v>
      </c>
      <c r="F44" s="103"/>
      <c r="G44" s="56"/>
      <c r="H44" s="38"/>
      <c r="I44" s="102">
        <f>+J42/J43</f>
        <v>1.6440252660725101</v>
      </c>
      <c r="J44" s="103"/>
      <c r="K44" s="38"/>
      <c r="L44" s="102">
        <f>+M42/M43</f>
        <v>0.95172175116802216</v>
      </c>
      <c r="M44" s="103"/>
      <c r="N44" s="38"/>
      <c r="O44" s="102">
        <f>+P42/P43</f>
        <v>1.0811955652568561</v>
      </c>
      <c r="P44" s="103"/>
      <c r="Q44" s="38"/>
      <c r="R44" s="102">
        <f>+S42/S43</f>
        <v>0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41"/>
      <c r="B1" s="42"/>
    </row>
    <row r="2" spans="1:17" ht="30" x14ac:dyDescent="0.4">
      <c r="A2" s="43" t="s">
        <v>41</v>
      </c>
      <c r="B2" s="43"/>
      <c r="N2" s="40" t="s">
        <v>33</v>
      </c>
      <c r="O2" s="39" t="s">
        <v>53</v>
      </c>
    </row>
    <row r="3" spans="1:17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7" s="15" customFormat="1" ht="18" x14ac:dyDescent="0.25">
      <c r="B4" s="16"/>
    </row>
    <row r="5" spans="1:17" s="15" customFormat="1" ht="18" x14ac:dyDescent="0.25">
      <c r="B5" s="16"/>
    </row>
    <row r="6" spans="1:17" s="15" customFormat="1" ht="18" x14ac:dyDescent="0.25">
      <c r="B6" s="16"/>
    </row>
    <row r="7" spans="1:17" s="15" customFormat="1" ht="18" x14ac:dyDescent="0.25">
      <c r="B7" s="16"/>
    </row>
    <row r="8" spans="1:17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  <c r="Q8" s="38"/>
    </row>
    <row r="9" spans="1:17" s="15" customFormat="1" ht="23.25" customHeight="1" x14ac:dyDescent="0.25">
      <c r="B9" s="16"/>
      <c r="C9" s="91" t="s">
        <v>16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52"/>
    </row>
    <row r="10" spans="1:17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7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7" x14ac:dyDescent="0.2">
      <c r="A12" s="3" t="s">
        <v>4</v>
      </c>
    </row>
    <row r="13" spans="1:17" ht="12.75" customHeight="1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5</v>
      </c>
      <c r="F13" s="17">
        <f t="shared" si="0"/>
        <v>5</v>
      </c>
      <c r="G13" s="17">
        <f t="shared" si="0"/>
        <v>5</v>
      </c>
      <c r="H13" s="17">
        <f t="shared" si="0"/>
        <v>5</v>
      </c>
      <c r="I13" s="17">
        <f t="shared" si="0"/>
        <v>4</v>
      </c>
      <c r="J13" s="17">
        <f t="shared" si="0"/>
        <v>4</v>
      </c>
      <c r="K13" s="17">
        <f t="shared" si="0"/>
        <v>4</v>
      </c>
      <c r="L13" s="17">
        <f t="shared" si="0"/>
        <v>7</v>
      </c>
      <c r="M13" s="72">
        <f t="shared" si="0"/>
        <v>7</v>
      </c>
      <c r="N13" s="72">
        <f t="shared" si="0"/>
        <v>7</v>
      </c>
      <c r="O13" s="17"/>
    </row>
    <row r="14" spans="1:17" x14ac:dyDescent="0.2">
      <c r="A14" s="4" t="s">
        <v>1</v>
      </c>
      <c r="C14" s="17">
        <v>1</v>
      </c>
      <c r="D14" s="17">
        <v>4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5</v>
      </c>
      <c r="L14" s="17">
        <v>0</v>
      </c>
      <c r="M14" s="72">
        <v>0</v>
      </c>
      <c r="N14" s="17">
        <v>0</v>
      </c>
      <c r="O14" s="17"/>
    </row>
    <row r="15" spans="1:17" x14ac:dyDescent="0.2">
      <c r="A15" s="4" t="s">
        <v>2</v>
      </c>
      <c r="C15" s="17">
        <v>0</v>
      </c>
      <c r="D15" s="17"/>
      <c r="E15" s="17">
        <v>0</v>
      </c>
      <c r="F15" s="17">
        <v>0</v>
      </c>
      <c r="G15" s="17">
        <v>0</v>
      </c>
      <c r="H15" s="17">
        <v>1</v>
      </c>
      <c r="I15" s="17">
        <v>0</v>
      </c>
      <c r="J15" s="17">
        <v>0</v>
      </c>
      <c r="K15" s="17">
        <v>2</v>
      </c>
      <c r="L15" s="17">
        <v>0</v>
      </c>
      <c r="M15" s="72">
        <v>0</v>
      </c>
      <c r="N15" s="17">
        <v>2</v>
      </c>
      <c r="O15" s="17"/>
    </row>
    <row r="16" spans="1:17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0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5</v>
      </c>
      <c r="E17" s="18">
        <f t="shared" si="1"/>
        <v>5</v>
      </c>
      <c r="F17" s="18">
        <f t="shared" si="1"/>
        <v>5</v>
      </c>
      <c r="G17" s="18">
        <f t="shared" si="1"/>
        <v>5</v>
      </c>
      <c r="H17" s="18">
        <f t="shared" si="1"/>
        <v>4</v>
      </c>
      <c r="I17" s="18">
        <f t="shared" si="1"/>
        <v>4</v>
      </c>
      <c r="J17" s="18">
        <f t="shared" si="1"/>
        <v>4</v>
      </c>
      <c r="K17" s="18">
        <f t="shared" si="1"/>
        <v>7</v>
      </c>
      <c r="L17" s="18">
        <f t="shared" si="1"/>
        <v>7</v>
      </c>
      <c r="M17" s="73">
        <f t="shared" si="1"/>
        <v>7</v>
      </c>
      <c r="N17" s="18">
        <f t="shared" si="1"/>
        <v>5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20.100000000000001</v>
      </c>
      <c r="D29" s="10">
        <f>+D27/E17</f>
        <v>22.96</v>
      </c>
      <c r="E29" s="10">
        <f>+E27/F17</f>
        <v>20.56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60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0</v>
      </c>
      <c r="F39" s="27">
        <v>0</v>
      </c>
      <c r="G39" s="61"/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0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0.671-F39</f>
        <v>0.67100000000000004</v>
      </c>
      <c r="G40" s="61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0.67100000000000004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32">
        <v>0</v>
      </c>
      <c r="D41" s="9"/>
      <c r="E41" s="28">
        <v>2</v>
      </c>
      <c r="F41" s="32">
        <v>1.05</v>
      </c>
      <c r="G41" s="61"/>
      <c r="H41" s="9"/>
      <c r="I41" s="28">
        <v>2</v>
      </c>
      <c r="J41" s="70">
        <v>20</v>
      </c>
      <c r="K41" s="68"/>
      <c r="L41" s="71">
        <v>0</v>
      </c>
      <c r="M41" s="70">
        <v>0</v>
      </c>
      <c r="N41" s="9"/>
      <c r="O41" s="28">
        <f>+L41+I41+E41+B41</f>
        <v>4</v>
      </c>
      <c r="P41" s="32">
        <f>+M41+J41+F41+C41</f>
        <v>21.05</v>
      </c>
      <c r="Q41" s="9"/>
      <c r="R41" s="28">
        <v>1</v>
      </c>
      <c r="S41" s="32">
        <v>7.5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2</v>
      </c>
      <c r="F42" s="30">
        <f>SUM(F39:F41)</f>
        <v>1.7210000000000001</v>
      </c>
      <c r="G42" s="62"/>
      <c r="H42" s="11"/>
      <c r="I42" s="23">
        <f>SUM(I39:I41)</f>
        <v>2</v>
      </c>
      <c r="J42" s="30">
        <f>SUM(J39:J41)</f>
        <v>20</v>
      </c>
      <c r="K42" s="11"/>
      <c r="L42" s="23">
        <f>SUM(L39:L41)</f>
        <v>0</v>
      </c>
      <c r="M42" s="30">
        <f>SUM(M39:M41)</f>
        <v>0</v>
      </c>
      <c r="N42" s="11"/>
      <c r="O42" s="23">
        <f>SUM(O39:O41)</f>
        <v>4</v>
      </c>
      <c r="P42" s="30">
        <f>SUM(P39:P41)</f>
        <v>21.721</v>
      </c>
      <c r="Q42" s="11"/>
      <c r="R42" s="23">
        <f>SUM(R39:R41)</f>
        <v>1</v>
      </c>
      <c r="S42" s="30">
        <f>SUM(S39:S41)</f>
        <v>7.5</v>
      </c>
      <c r="T42" s="11"/>
    </row>
    <row r="43" spans="1:20" s="14" customFormat="1" x14ac:dyDescent="0.2">
      <c r="A43" s="46" t="s">
        <v>19</v>
      </c>
      <c r="B43" s="31"/>
      <c r="C43" s="30">
        <v>7.7</v>
      </c>
      <c r="D43" s="10"/>
      <c r="E43" s="31"/>
      <c r="F43" s="82">
        <f>+'[2]Hotlist - Completed'!C67/1000</f>
        <v>7.7119999999999997</v>
      </c>
      <c r="G43" s="62"/>
      <c r="H43" s="10"/>
      <c r="I43" s="31"/>
      <c r="J43" s="83">
        <f>+'[2]Hotlist - Identified '!$F102/1000</f>
        <v>7.7119999999999997</v>
      </c>
      <c r="K43" s="10"/>
      <c r="L43" s="31"/>
      <c r="M43" s="83">
        <f>+'[2]Hotlist - Identified '!$I102/1000</f>
        <v>7.7119999999999997</v>
      </c>
      <c r="N43" s="10"/>
      <c r="O43" s="31"/>
      <c r="P43" s="30">
        <f>+M43+J43+F43+C43</f>
        <v>30.835999999999999</v>
      </c>
      <c r="Q43" s="10"/>
      <c r="R43" s="31"/>
      <c r="S43" s="83">
        <f>+'[2]Hotlist - Identified '!$O102/1000</f>
        <v>10.411200000000001</v>
      </c>
      <c r="T43" s="10"/>
    </row>
    <row r="44" spans="1:20" s="5" customFormat="1" ht="18.75" thickBot="1" x14ac:dyDescent="0.3">
      <c r="A44" s="5" t="s">
        <v>31</v>
      </c>
      <c r="B44" s="102">
        <f>+C42/C43</f>
        <v>0</v>
      </c>
      <c r="C44" s="103"/>
      <c r="D44" s="38"/>
      <c r="E44" s="102">
        <f>+F42/F43</f>
        <v>0.22315871369294607</v>
      </c>
      <c r="F44" s="103"/>
      <c r="G44" s="63"/>
      <c r="H44" s="38"/>
      <c r="I44" s="102">
        <f>+J42/J43</f>
        <v>2.5933609958506225</v>
      </c>
      <c r="J44" s="103"/>
      <c r="K44" s="38"/>
      <c r="L44" s="102">
        <f>+M42/M43</f>
        <v>0</v>
      </c>
      <c r="M44" s="103"/>
      <c r="N44" s="38"/>
      <c r="O44" s="102">
        <f>+P42/P43</f>
        <v>0.70440394344272927</v>
      </c>
      <c r="P44" s="103"/>
      <c r="Q44" s="38"/>
      <c r="R44" s="102">
        <f>+S42/S43</f>
        <v>0.72037805440295055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A46:B46"/>
    <mergeCell ref="E44:F44"/>
    <mergeCell ref="I44:J44"/>
    <mergeCell ref="L44:M44"/>
    <mergeCell ref="B44:C44"/>
    <mergeCell ref="R37:S37"/>
    <mergeCell ref="I34:S34"/>
    <mergeCell ref="B36:C36"/>
    <mergeCell ref="R44:S44"/>
    <mergeCell ref="B37:C37"/>
    <mergeCell ref="E37:F37"/>
    <mergeCell ref="I37:J37"/>
    <mergeCell ref="L37:M37"/>
    <mergeCell ref="O44:P44"/>
    <mergeCell ref="O37:P37"/>
    <mergeCell ref="A3:F3"/>
    <mergeCell ref="E36:F36"/>
    <mergeCell ref="O36:P36"/>
    <mergeCell ref="C8:O8"/>
    <mergeCell ref="C9:O9"/>
    <mergeCell ref="R36:S36"/>
    <mergeCell ref="B19:O19"/>
    <mergeCell ref="A32:S32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zoomScale="75" workbookViewId="0">
      <selection activeCell="B7" sqref="B7"/>
    </sheetView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41"/>
      <c r="B1" s="42"/>
    </row>
    <row r="2" spans="1:16" ht="30" x14ac:dyDescent="0.4">
      <c r="A2" s="43" t="s">
        <v>41</v>
      </c>
      <c r="B2" s="43"/>
      <c r="N2" s="40" t="s">
        <v>33</v>
      </c>
      <c r="O2" s="39" t="s">
        <v>48</v>
      </c>
    </row>
    <row r="3" spans="1:16" ht="30" x14ac:dyDescent="0.4">
      <c r="A3" s="87" t="s">
        <v>63</v>
      </c>
      <c r="B3" s="87"/>
      <c r="C3" s="87"/>
      <c r="D3" s="87"/>
      <c r="E3" s="87"/>
      <c r="F3" s="87"/>
      <c r="G3" s="51"/>
      <c r="N3" s="40" t="s">
        <v>34</v>
      </c>
      <c r="O3" s="39">
        <v>12</v>
      </c>
    </row>
    <row r="4" spans="1:16" s="15" customFormat="1" ht="18" x14ac:dyDescent="0.25">
      <c r="B4" s="16"/>
    </row>
    <row r="5" spans="1:16" s="15" customFormat="1" ht="18" x14ac:dyDescent="0.25">
      <c r="B5" s="16"/>
    </row>
    <row r="6" spans="1:16" s="15" customFormat="1" ht="18" x14ac:dyDescent="0.25">
      <c r="B6" s="16"/>
    </row>
    <row r="7" spans="1:16" s="15" customFormat="1" ht="18" x14ac:dyDescent="0.25">
      <c r="B7" s="16"/>
    </row>
    <row r="8" spans="1:16" s="15" customFormat="1" ht="23.25" customHeight="1" x14ac:dyDescent="0.25">
      <c r="B8" s="16"/>
      <c r="C8" s="90" t="s">
        <v>45</v>
      </c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38"/>
    </row>
    <row r="9" spans="1:16" s="15" customFormat="1" ht="23.25" customHeight="1" x14ac:dyDescent="0.25">
      <c r="B9" s="16"/>
      <c r="C9" s="91" t="s">
        <v>16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52"/>
    </row>
    <row r="10" spans="1:16" s="15" customFormat="1" ht="23.25" customHeight="1" x14ac:dyDescent="0.25">
      <c r="B10" s="16"/>
      <c r="C10" s="50" t="s">
        <v>7</v>
      </c>
      <c r="D10" s="50" t="s">
        <v>8</v>
      </c>
      <c r="E10" s="50" t="s">
        <v>9</v>
      </c>
      <c r="F10" s="50" t="s">
        <v>10</v>
      </c>
      <c r="G10" s="50" t="s">
        <v>11</v>
      </c>
      <c r="H10" s="50" t="s">
        <v>12</v>
      </c>
      <c r="I10" s="50" t="s">
        <v>13</v>
      </c>
      <c r="J10" s="50" t="s">
        <v>14</v>
      </c>
      <c r="K10" s="50" t="s">
        <v>25</v>
      </c>
      <c r="L10" s="50" t="s">
        <v>26</v>
      </c>
      <c r="M10" s="50" t="s">
        <v>27</v>
      </c>
      <c r="N10" s="50" t="s">
        <v>28</v>
      </c>
      <c r="O10" s="50" t="s">
        <v>44</v>
      </c>
    </row>
    <row r="11" spans="1:16" ht="12.75" customHeight="1" x14ac:dyDescent="0.2">
      <c r="C11" s="47">
        <v>36623</v>
      </c>
      <c r="D11" s="47">
        <v>36630</v>
      </c>
      <c r="E11" s="47">
        <v>36637</v>
      </c>
      <c r="F11" s="47">
        <v>36644</v>
      </c>
      <c r="G11" s="47">
        <v>36651</v>
      </c>
      <c r="H11" s="47">
        <v>36658</v>
      </c>
      <c r="I11" s="47">
        <v>36665</v>
      </c>
      <c r="J11" s="47">
        <v>36672</v>
      </c>
      <c r="K11" s="47">
        <v>36679</v>
      </c>
      <c r="L11" s="47">
        <v>36686</v>
      </c>
      <c r="M11" s="47">
        <v>36693</v>
      </c>
      <c r="N11" s="47">
        <v>36700</v>
      </c>
      <c r="O11" s="47">
        <v>36707</v>
      </c>
    </row>
    <row r="12" spans="1:16" x14ac:dyDescent="0.2">
      <c r="A12" s="3" t="s">
        <v>4</v>
      </c>
    </row>
    <row r="13" spans="1:16" x14ac:dyDescent="0.2">
      <c r="A13" s="2" t="s">
        <v>5</v>
      </c>
      <c r="C13" s="17">
        <v>0</v>
      </c>
      <c r="D13" s="17">
        <f t="shared" ref="D13:N13" si="0">+C17</f>
        <v>1</v>
      </c>
      <c r="E13" s="17">
        <f t="shared" si="0"/>
        <v>1</v>
      </c>
      <c r="F13" s="17">
        <f t="shared" si="0"/>
        <v>4</v>
      </c>
      <c r="G13" s="17">
        <f t="shared" si="0"/>
        <v>4</v>
      </c>
      <c r="H13" s="17">
        <f t="shared" si="0"/>
        <v>4</v>
      </c>
      <c r="I13" s="17">
        <f t="shared" si="0"/>
        <v>9</v>
      </c>
      <c r="J13" s="17">
        <f t="shared" si="0"/>
        <v>9</v>
      </c>
      <c r="K13" s="17">
        <f t="shared" si="0"/>
        <v>9</v>
      </c>
      <c r="L13" s="17">
        <f t="shared" si="0"/>
        <v>9</v>
      </c>
      <c r="M13" s="72">
        <f t="shared" si="0"/>
        <v>10</v>
      </c>
      <c r="N13" s="72">
        <f t="shared" si="0"/>
        <v>8</v>
      </c>
      <c r="O13" s="17"/>
    </row>
    <row r="14" spans="1:16" x14ac:dyDescent="0.2">
      <c r="A14" s="4" t="s">
        <v>1</v>
      </c>
      <c r="C14" s="17">
        <v>1</v>
      </c>
      <c r="D14" s="17">
        <v>0</v>
      </c>
      <c r="E14" s="17">
        <v>3</v>
      </c>
      <c r="F14" s="17">
        <v>0</v>
      </c>
      <c r="G14" s="17">
        <v>0</v>
      </c>
      <c r="H14" s="17">
        <v>5</v>
      </c>
      <c r="I14" s="17">
        <v>0</v>
      </c>
      <c r="J14" s="17">
        <v>0</v>
      </c>
      <c r="K14" s="17">
        <v>0</v>
      </c>
      <c r="L14" s="17">
        <v>1</v>
      </c>
      <c r="M14" s="72">
        <v>0</v>
      </c>
      <c r="N14" s="17">
        <v>0</v>
      </c>
      <c r="O14" s="17"/>
    </row>
    <row r="15" spans="1:16" x14ac:dyDescent="0.2">
      <c r="A15" s="4" t="s">
        <v>2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72">
        <v>1</v>
      </c>
      <c r="N15" s="17">
        <v>0</v>
      </c>
      <c r="O15" s="17"/>
    </row>
    <row r="16" spans="1:16" x14ac:dyDescent="0.2">
      <c r="A16" s="4" t="s">
        <v>3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72">
        <v>1</v>
      </c>
      <c r="N16" s="17">
        <v>0</v>
      </c>
      <c r="O16" s="17"/>
      <c r="P16" s="65"/>
    </row>
    <row r="17" spans="1:19" ht="13.5" thickBot="1" x14ac:dyDescent="0.25">
      <c r="A17" s="2" t="s">
        <v>6</v>
      </c>
      <c r="C17" s="18">
        <f t="shared" ref="C17:O17" si="1">+C13+C14-C15-C16</f>
        <v>1</v>
      </c>
      <c r="D17" s="18">
        <f t="shared" si="1"/>
        <v>1</v>
      </c>
      <c r="E17" s="18">
        <f t="shared" si="1"/>
        <v>4</v>
      </c>
      <c r="F17" s="18">
        <f t="shared" si="1"/>
        <v>4</v>
      </c>
      <c r="G17" s="18">
        <f t="shared" si="1"/>
        <v>4</v>
      </c>
      <c r="H17" s="18">
        <f t="shared" si="1"/>
        <v>9</v>
      </c>
      <c r="I17" s="18">
        <f t="shared" si="1"/>
        <v>9</v>
      </c>
      <c r="J17" s="18">
        <f t="shared" si="1"/>
        <v>9</v>
      </c>
      <c r="K17" s="18">
        <f t="shared" si="1"/>
        <v>9</v>
      </c>
      <c r="L17" s="18">
        <f t="shared" si="1"/>
        <v>10</v>
      </c>
      <c r="M17" s="73">
        <f t="shared" si="1"/>
        <v>8</v>
      </c>
      <c r="N17" s="18">
        <f t="shared" si="1"/>
        <v>8</v>
      </c>
      <c r="O17" s="18">
        <f t="shared" si="1"/>
        <v>0</v>
      </c>
      <c r="P17" s="65"/>
    </row>
    <row r="18" spans="1:19" ht="13.5" thickTop="1" x14ac:dyDescent="0.2">
      <c r="M18" s="74"/>
      <c r="P18" s="17"/>
    </row>
    <row r="19" spans="1:19" hidden="1" x14ac:dyDescent="0.2">
      <c r="B19" s="93" t="s">
        <v>17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5"/>
    </row>
    <row r="20" spans="1:19" hidden="1" x14ac:dyDescent="0.2">
      <c r="B20" s="6" t="s">
        <v>7</v>
      </c>
      <c r="C20" s="6" t="s">
        <v>8</v>
      </c>
      <c r="D20" s="6" t="s">
        <v>9</v>
      </c>
      <c r="E20" s="6" t="s">
        <v>10</v>
      </c>
      <c r="F20" s="6" t="s">
        <v>11</v>
      </c>
      <c r="G20" s="6"/>
      <c r="H20" s="6" t="s">
        <v>12</v>
      </c>
      <c r="I20" s="6" t="s">
        <v>13</v>
      </c>
      <c r="J20" s="6" t="s">
        <v>14</v>
      </c>
      <c r="K20" s="6" t="s">
        <v>25</v>
      </c>
      <c r="L20" s="6" t="s">
        <v>26</v>
      </c>
      <c r="M20" s="6" t="s">
        <v>27</v>
      </c>
      <c r="N20" s="6" t="s">
        <v>28</v>
      </c>
      <c r="O20" s="6" t="s">
        <v>15</v>
      </c>
    </row>
    <row r="21" spans="1:19" hidden="1" x14ac:dyDescent="0.2">
      <c r="A21" s="3" t="s">
        <v>4</v>
      </c>
    </row>
    <row r="22" spans="1:19" hidden="1" x14ac:dyDescent="0.2">
      <c r="A22" s="2" t="s">
        <v>5</v>
      </c>
      <c r="B22" s="13"/>
      <c r="C22" s="13">
        <v>100.5</v>
      </c>
      <c r="D22" s="13">
        <f>+C27</f>
        <v>100.5</v>
      </c>
      <c r="E22" s="13">
        <f>+D27</f>
        <v>114.8</v>
      </c>
      <c r="F22" s="13"/>
      <c r="G22" s="13"/>
      <c r="H22" s="13"/>
      <c r="I22" s="13"/>
      <c r="J22" s="13"/>
      <c r="K22" s="13"/>
      <c r="L22" s="13"/>
      <c r="M22" s="13"/>
      <c r="N22" s="13"/>
      <c r="O22" s="13">
        <f>AVERAGE(B22:J22)</f>
        <v>105.26666666666667</v>
      </c>
    </row>
    <row r="23" spans="1:19" hidden="1" x14ac:dyDescent="0.2">
      <c r="A23" s="4" t="s">
        <v>1</v>
      </c>
      <c r="B23" s="12"/>
      <c r="C23" s="12">
        <v>0</v>
      </c>
      <c r="D23" s="12">
        <v>14.3</v>
      </c>
      <c r="E23" s="12">
        <v>1</v>
      </c>
      <c r="F23" s="12"/>
      <c r="G23" s="12"/>
      <c r="H23" s="12"/>
      <c r="I23" s="12"/>
      <c r="J23" s="12"/>
      <c r="K23" s="12"/>
      <c r="L23" s="12"/>
      <c r="M23" s="12"/>
      <c r="N23" s="12"/>
      <c r="O23" s="12">
        <f>AVERAGE(B23:J23)</f>
        <v>5.1000000000000005</v>
      </c>
    </row>
    <row r="24" spans="1:19" hidden="1" x14ac:dyDescent="0.2">
      <c r="A24" s="4" t="s">
        <v>2</v>
      </c>
      <c r="B24" s="12"/>
      <c r="C24" s="12">
        <v>0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>
        <f>AVERAGE(B24:J24)</f>
        <v>0</v>
      </c>
    </row>
    <row r="25" spans="1:19" hidden="1" x14ac:dyDescent="0.2">
      <c r="A25" s="4" t="s">
        <v>22</v>
      </c>
      <c r="B25" s="12"/>
      <c r="C25" s="12">
        <v>0</v>
      </c>
      <c r="D25" s="12">
        <v>0</v>
      </c>
      <c r="E25" s="12">
        <v>-13</v>
      </c>
      <c r="F25" s="12"/>
      <c r="G25" s="12"/>
      <c r="H25" s="12"/>
      <c r="I25" s="12"/>
      <c r="J25" s="12"/>
      <c r="K25" s="12"/>
      <c r="L25" s="12"/>
      <c r="M25" s="12"/>
      <c r="N25" s="12"/>
      <c r="O25" s="12">
        <f>AVERAGE(B25:J25)</f>
        <v>-4.333333333333333</v>
      </c>
    </row>
    <row r="26" spans="1:19" hidden="1" x14ac:dyDescent="0.2">
      <c r="A26" s="4" t="s">
        <v>3</v>
      </c>
      <c r="B26" s="12"/>
      <c r="C26" s="12">
        <v>0</v>
      </c>
      <c r="D26" s="12">
        <v>0</v>
      </c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>
        <f>AVERAGE(B26:J26)</f>
        <v>0</v>
      </c>
    </row>
    <row r="27" spans="1:19" ht="13.5" hidden="1" thickBot="1" x14ac:dyDescent="0.25">
      <c r="A27" s="2" t="s">
        <v>6</v>
      </c>
      <c r="B27" s="7"/>
      <c r="C27" s="8">
        <f>+C22+C23-C24-C26</f>
        <v>100.5</v>
      </c>
      <c r="D27" s="8">
        <f>+D22+D23-D24-D26</f>
        <v>114.8</v>
      </c>
      <c r="E27" s="8">
        <f>+E22+E23-E24-E26+E25</f>
        <v>102.8</v>
      </c>
      <c r="F27" s="8">
        <f t="shared" ref="F27:O27" si="2">+F22+F23-F24-F26</f>
        <v>0</v>
      </c>
      <c r="G27" s="8"/>
      <c r="H27" s="8">
        <f t="shared" si="2"/>
        <v>0</v>
      </c>
      <c r="I27" s="8">
        <f t="shared" si="2"/>
        <v>0</v>
      </c>
      <c r="J27" s="8">
        <f t="shared" si="2"/>
        <v>0</v>
      </c>
      <c r="K27" s="8">
        <f t="shared" si="2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110.36666666666666</v>
      </c>
    </row>
    <row r="28" spans="1:19" hidden="1" x14ac:dyDescent="0.2">
      <c r="B28" s="9"/>
      <c r="C28" s="10"/>
      <c r="D28" s="10"/>
      <c r="E28" s="10"/>
      <c r="F28" s="10"/>
      <c r="G28" s="10"/>
      <c r="H28" s="10"/>
      <c r="I28" s="10"/>
      <c r="J28" s="10"/>
      <c r="O28" s="10"/>
    </row>
    <row r="29" spans="1:19" s="5" customFormat="1" hidden="1" x14ac:dyDescent="0.2">
      <c r="A29" s="5" t="s">
        <v>21</v>
      </c>
      <c r="B29" s="11"/>
      <c r="C29" s="10">
        <f>+C27/D17</f>
        <v>100.5</v>
      </c>
      <c r="D29" s="10">
        <f>+D27/E17</f>
        <v>28.7</v>
      </c>
      <c r="E29" s="10">
        <f>+E27/F17</f>
        <v>25.7</v>
      </c>
      <c r="F29" s="10"/>
      <c r="G29" s="10"/>
      <c r="H29" s="10"/>
      <c r="I29" s="10"/>
      <c r="J29" s="10"/>
      <c r="O29" s="10" t="e">
        <f>+O27/O17</f>
        <v>#DIV/0!</v>
      </c>
    </row>
    <row r="30" spans="1:19" s="5" customFormat="1" x14ac:dyDescent="0.2">
      <c r="B30" s="11"/>
      <c r="C30" s="10"/>
      <c r="D30" s="10"/>
      <c r="E30" s="10"/>
      <c r="F30" s="10"/>
      <c r="G30" s="10"/>
      <c r="H30" s="10"/>
      <c r="I30" s="10"/>
      <c r="J30" s="10"/>
      <c r="M30" s="66"/>
      <c r="N30" s="81"/>
      <c r="O30" s="10"/>
    </row>
    <row r="31" spans="1:19" s="5" customFormat="1" ht="13.5" customHeight="1" thickBot="1" x14ac:dyDescent="0.25">
      <c r="A31" s="11"/>
      <c r="B31" s="11"/>
      <c r="C31" s="10"/>
      <c r="D31" s="10"/>
      <c r="E31" s="10"/>
      <c r="F31" s="10"/>
      <c r="G31" s="10"/>
      <c r="H31" s="10"/>
      <c r="I31" s="10"/>
      <c r="J31" s="10"/>
      <c r="K31" s="10"/>
      <c r="L31" s="11"/>
      <c r="M31" s="11"/>
      <c r="N31" s="11"/>
      <c r="O31" s="11"/>
      <c r="P31" s="11"/>
      <c r="Q31" s="11"/>
      <c r="R31" s="11"/>
      <c r="S31" s="11"/>
    </row>
    <row r="32" spans="1:19" s="5" customFormat="1" ht="12" customHeight="1" thickTop="1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</row>
    <row r="33" spans="1:20" s="5" customFormat="1" ht="12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spans="1:20" s="5" customFormat="1" ht="13.5" customHeight="1" thickBot="1" x14ac:dyDescent="0.25">
      <c r="A34" s="11"/>
      <c r="B34" s="11"/>
      <c r="C34" s="10"/>
      <c r="D34" s="10"/>
      <c r="E34" s="10"/>
      <c r="F34" s="10"/>
      <c r="G34" s="10"/>
      <c r="H34" s="10"/>
      <c r="I34" s="97" t="s">
        <v>30</v>
      </c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20" s="11" customFormat="1" ht="6.75" customHeight="1" thickBot="1" x14ac:dyDescent="0.25">
      <c r="C35" s="10"/>
      <c r="D35" s="10"/>
      <c r="E35" s="10"/>
      <c r="F35" s="10"/>
      <c r="G35" s="10"/>
      <c r="H35" s="1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</row>
    <row r="36" spans="1:20" s="5" customFormat="1" ht="14.25" customHeight="1" x14ac:dyDescent="0.2">
      <c r="B36" s="88" t="s">
        <v>29</v>
      </c>
      <c r="C36" s="89"/>
      <c r="E36" s="88" t="s">
        <v>42</v>
      </c>
      <c r="F36" s="89"/>
      <c r="G36" s="53" t="s">
        <v>57</v>
      </c>
      <c r="I36" s="35"/>
      <c r="J36" s="36"/>
      <c r="K36" s="21"/>
      <c r="L36" s="35"/>
      <c r="M36" s="36"/>
      <c r="N36" s="21"/>
      <c r="O36" s="88" t="s">
        <v>20</v>
      </c>
      <c r="P36" s="89"/>
      <c r="Q36" s="21"/>
      <c r="R36" s="88"/>
      <c r="S36" s="89"/>
    </row>
    <row r="37" spans="1:20" s="5" customFormat="1" x14ac:dyDescent="0.2">
      <c r="B37" s="85" t="s">
        <v>36</v>
      </c>
      <c r="C37" s="86"/>
      <c r="D37" s="11"/>
      <c r="E37" s="85" t="s">
        <v>37</v>
      </c>
      <c r="F37" s="86"/>
      <c r="G37" s="57" t="s">
        <v>56</v>
      </c>
      <c r="H37" s="11"/>
      <c r="I37" s="85" t="s">
        <v>38</v>
      </c>
      <c r="J37" s="86"/>
      <c r="K37" s="11"/>
      <c r="L37" s="85" t="s">
        <v>39</v>
      </c>
      <c r="M37" s="86"/>
      <c r="N37" s="11"/>
      <c r="O37" s="85">
        <v>2000</v>
      </c>
      <c r="P37" s="86"/>
      <c r="Q37" s="11"/>
      <c r="R37" s="85" t="s">
        <v>32</v>
      </c>
      <c r="S37" s="86"/>
      <c r="T37" s="11"/>
    </row>
    <row r="38" spans="1:20" x14ac:dyDescent="0.2">
      <c r="B38" s="24" t="s">
        <v>23</v>
      </c>
      <c r="C38" s="25" t="s">
        <v>24</v>
      </c>
      <c r="D38" s="9"/>
      <c r="E38" s="24" t="s">
        <v>23</v>
      </c>
      <c r="F38" s="25" t="s">
        <v>24</v>
      </c>
      <c r="G38" s="58"/>
      <c r="H38" s="9"/>
      <c r="I38" s="24" t="s">
        <v>23</v>
      </c>
      <c r="J38" s="25" t="s">
        <v>24</v>
      </c>
      <c r="K38" s="9"/>
      <c r="L38" s="24" t="s">
        <v>23</v>
      </c>
      <c r="M38" s="25" t="s">
        <v>24</v>
      </c>
      <c r="N38" s="9"/>
      <c r="O38" s="24" t="s">
        <v>23</v>
      </c>
      <c r="P38" s="25" t="s">
        <v>24</v>
      </c>
      <c r="Q38" s="9"/>
      <c r="R38" s="24" t="s">
        <v>23</v>
      </c>
      <c r="S38" s="25" t="s">
        <v>24</v>
      </c>
      <c r="T38" s="9"/>
    </row>
    <row r="39" spans="1:20" x14ac:dyDescent="0.2">
      <c r="A39" s="2" t="s">
        <v>18</v>
      </c>
      <c r="B39" s="26">
        <v>0</v>
      </c>
      <c r="C39" s="27">
        <v>0</v>
      </c>
      <c r="D39" s="9"/>
      <c r="E39" s="26">
        <v>1</v>
      </c>
      <c r="F39" s="27">
        <v>0</v>
      </c>
      <c r="G39" s="59">
        <v>0</v>
      </c>
      <c r="H39" s="9"/>
      <c r="I39" s="26">
        <v>0</v>
      </c>
      <c r="J39" s="33">
        <v>0</v>
      </c>
      <c r="K39" s="9"/>
      <c r="L39" s="26">
        <v>0</v>
      </c>
      <c r="M39" s="27">
        <v>0</v>
      </c>
      <c r="N39" s="9"/>
      <c r="O39" s="26">
        <f>+L39+I39+E39+B39</f>
        <v>1</v>
      </c>
      <c r="P39" s="27">
        <f>+M39+J39+F39+C39</f>
        <v>0</v>
      </c>
      <c r="Q39" s="9"/>
      <c r="R39" s="26">
        <v>0</v>
      </c>
      <c r="S39" s="34">
        <v>0</v>
      </c>
      <c r="T39" s="9"/>
    </row>
    <row r="40" spans="1:20" x14ac:dyDescent="0.2">
      <c r="A40" s="2" t="s">
        <v>58</v>
      </c>
      <c r="B40" s="26"/>
      <c r="C40" s="64">
        <v>0</v>
      </c>
      <c r="D40" s="9"/>
      <c r="E40" s="26"/>
      <c r="F40" s="64">
        <f>0.002-F39</f>
        <v>2E-3</v>
      </c>
      <c r="G40" s="59"/>
      <c r="H40" s="9"/>
      <c r="I40" s="26"/>
      <c r="J40" s="67">
        <v>0</v>
      </c>
      <c r="K40" s="68"/>
      <c r="L40" s="69"/>
      <c r="M40" s="64">
        <v>0</v>
      </c>
      <c r="N40" s="9"/>
      <c r="O40" s="26"/>
      <c r="P40" s="64">
        <f>+C40+F40+J40+M40</f>
        <v>2E-3</v>
      </c>
      <c r="Q40" s="9"/>
      <c r="R40" s="26"/>
      <c r="S40" s="34">
        <v>0</v>
      </c>
      <c r="T40" s="9"/>
    </row>
    <row r="41" spans="1:20" x14ac:dyDescent="0.2">
      <c r="A41" s="2" t="s">
        <v>0</v>
      </c>
      <c r="B41" s="28">
        <v>0</v>
      </c>
      <c r="C41" s="29">
        <v>0</v>
      </c>
      <c r="D41" s="9"/>
      <c r="E41" s="28">
        <v>0</v>
      </c>
      <c r="F41" s="32">
        <v>0</v>
      </c>
      <c r="G41" s="54"/>
      <c r="H41" s="9"/>
      <c r="I41" s="28">
        <v>2</v>
      </c>
      <c r="J41" s="70">
        <v>0</v>
      </c>
      <c r="K41" s="68"/>
      <c r="L41" s="71">
        <v>4</v>
      </c>
      <c r="M41" s="70">
        <v>34</v>
      </c>
      <c r="N41" s="9"/>
      <c r="O41" s="28">
        <f>+L41+I41+E41+B41</f>
        <v>6</v>
      </c>
      <c r="P41" s="32">
        <f>+M41+J41+F41+C41</f>
        <v>34</v>
      </c>
      <c r="Q41" s="9"/>
      <c r="R41" s="28">
        <v>2</v>
      </c>
      <c r="S41" s="32">
        <v>4</v>
      </c>
      <c r="T41" s="9"/>
    </row>
    <row r="42" spans="1:20" s="5" customFormat="1" x14ac:dyDescent="0.2">
      <c r="A42" s="5" t="s">
        <v>59</v>
      </c>
      <c r="B42" s="23">
        <f>SUM(B39:B41)</f>
        <v>0</v>
      </c>
      <c r="C42" s="30">
        <f>SUM(C39:C41)</f>
        <v>0</v>
      </c>
      <c r="D42" s="11"/>
      <c r="E42" s="23">
        <f>SUM(E39:E41)</f>
        <v>1</v>
      </c>
      <c r="F42" s="30">
        <f>SUM(F39:F41)</f>
        <v>2E-3</v>
      </c>
      <c r="G42" s="55"/>
      <c r="H42" s="11"/>
      <c r="I42" s="23">
        <f>SUM(I39:I41)</f>
        <v>2</v>
      </c>
      <c r="J42" s="30">
        <f>SUM(J39:J41)</f>
        <v>0</v>
      </c>
      <c r="K42" s="11"/>
      <c r="L42" s="23">
        <f>SUM(L39:L41)</f>
        <v>4</v>
      </c>
      <c r="M42" s="30">
        <f>SUM(M39:M41)</f>
        <v>34</v>
      </c>
      <c r="N42" s="11"/>
      <c r="O42" s="23">
        <f>SUM(O39:O41)</f>
        <v>7</v>
      </c>
      <c r="P42" s="30">
        <f>SUM(P39:P41)</f>
        <v>34.002000000000002</v>
      </c>
      <c r="Q42" s="11"/>
      <c r="R42" s="23">
        <f>SUM(R39:R41)</f>
        <v>2</v>
      </c>
      <c r="S42" s="30">
        <f>SUM(S39:S41)</f>
        <v>4</v>
      </c>
      <c r="T42" s="11"/>
    </row>
    <row r="43" spans="1:20" s="14" customFormat="1" x14ac:dyDescent="0.2">
      <c r="A43" s="46" t="s">
        <v>19</v>
      </c>
      <c r="B43" s="31"/>
      <c r="C43" s="30">
        <v>4.7</v>
      </c>
      <c r="D43" s="10"/>
      <c r="E43" s="31"/>
      <c r="F43" s="82">
        <f>+'[2]Hotlist - Completed'!I12/1000</f>
        <v>4.6559999999999997</v>
      </c>
      <c r="G43" s="55"/>
      <c r="H43" s="10"/>
      <c r="I43" s="31"/>
      <c r="J43" s="83">
        <f>+'[2]Hotlist - Identified '!$F110/1000</f>
        <v>4.6559999999999997</v>
      </c>
      <c r="K43" s="10"/>
      <c r="L43" s="31"/>
      <c r="M43" s="83">
        <f>+'[2]Hotlist - Identified '!$I110/1000</f>
        <v>4.6559999999999997</v>
      </c>
      <c r="N43" s="10"/>
      <c r="O43" s="31"/>
      <c r="P43" s="30">
        <f>+M43+J43+F43+C43</f>
        <v>18.667999999999999</v>
      </c>
      <c r="Q43" s="10"/>
      <c r="R43" s="31"/>
      <c r="S43" s="83">
        <f>+'[2]Hotlist - Identified '!$O110/1000</f>
        <v>6.2856000000000005</v>
      </c>
      <c r="T43" s="10"/>
    </row>
    <row r="44" spans="1:20" s="5" customFormat="1" ht="18.75" thickBot="1" x14ac:dyDescent="0.3">
      <c r="A44" s="5" t="s">
        <v>31</v>
      </c>
      <c r="B44" s="102">
        <f>+C42/C43</f>
        <v>0</v>
      </c>
      <c r="C44" s="103"/>
      <c r="D44" s="38"/>
      <c r="E44" s="102">
        <f>+F42/F43</f>
        <v>4.2955326460481104E-4</v>
      </c>
      <c r="F44" s="103"/>
      <c r="G44" s="56"/>
      <c r="H44" s="38"/>
      <c r="I44" s="102">
        <f>+J42/J43</f>
        <v>0</v>
      </c>
      <c r="J44" s="103"/>
      <c r="K44" s="38"/>
      <c r="L44" s="102">
        <f>+M42/M43</f>
        <v>7.3024054982817876</v>
      </c>
      <c r="M44" s="103"/>
      <c r="N44" s="38"/>
      <c r="O44" s="102">
        <f>+P42/P43</f>
        <v>1.8214056138847228</v>
      </c>
      <c r="P44" s="103"/>
      <c r="Q44" s="38"/>
      <c r="R44" s="102">
        <f>+S42/S43</f>
        <v>0.63637520682194215</v>
      </c>
      <c r="S44" s="103"/>
      <c r="T44" s="11"/>
    </row>
    <row r="45" spans="1:20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6.5" x14ac:dyDescent="0.3">
      <c r="A46" s="98" t="s">
        <v>40</v>
      </c>
      <c r="B46" s="98"/>
    </row>
    <row r="59" spans="2:18" x14ac:dyDescent="0.2">
      <c r="B59" s="22"/>
      <c r="E59" s="22"/>
      <c r="I59" s="22"/>
      <c r="L59" s="22"/>
      <c r="O59" s="22"/>
      <c r="R59" s="22"/>
    </row>
    <row r="60" spans="2:18" x14ac:dyDescent="0.2">
      <c r="B60" s="22"/>
      <c r="E60" s="22"/>
      <c r="I60" s="22"/>
      <c r="L60" s="22"/>
      <c r="O60" s="22"/>
      <c r="R60" s="22"/>
    </row>
    <row r="61" spans="2:18" x14ac:dyDescent="0.2">
      <c r="B61" s="22"/>
      <c r="C61" s="37"/>
      <c r="E61" s="22"/>
      <c r="F61" s="37"/>
      <c r="G61" s="37"/>
      <c r="I61" s="22"/>
      <c r="J61" s="37"/>
      <c r="L61" s="22"/>
      <c r="M61" s="37"/>
      <c r="O61" s="22"/>
      <c r="P61" s="37"/>
      <c r="R61" s="22"/>
    </row>
    <row r="62" spans="2:18" x14ac:dyDescent="0.2">
      <c r="F62" s="37"/>
      <c r="G62" s="37"/>
      <c r="M62" s="37"/>
      <c r="P62" s="37"/>
    </row>
    <row r="65" spans="2:18" x14ac:dyDescent="0.2">
      <c r="B65" s="37"/>
      <c r="E65" s="37"/>
      <c r="I65" s="37"/>
      <c r="L65" s="37"/>
      <c r="O65" s="37"/>
      <c r="R65" s="37"/>
    </row>
  </sheetData>
  <mergeCells count="23">
    <mergeCell ref="R36:S36"/>
    <mergeCell ref="B19:O19"/>
    <mergeCell ref="A32:S32"/>
    <mergeCell ref="B36:C36"/>
    <mergeCell ref="E36:F36"/>
    <mergeCell ref="O36:P36"/>
    <mergeCell ref="I37:J37"/>
    <mergeCell ref="L37:M37"/>
    <mergeCell ref="L44:M44"/>
    <mergeCell ref="O44:P44"/>
    <mergeCell ref="O37:P37"/>
    <mergeCell ref="C8:O8"/>
    <mergeCell ref="C9:O9"/>
    <mergeCell ref="A3:F3"/>
    <mergeCell ref="A46:B46"/>
    <mergeCell ref="E44:F44"/>
    <mergeCell ref="I44:J44"/>
    <mergeCell ref="I34:S34"/>
    <mergeCell ref="R37:S37"/>
    <mergeCell ref="B44:C44"/>
    <mergeCell ref="R44:S44"/>
    <mergeCell ref="B37:C37"/>
    <mergeCell ref="E37:F37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Felienne</cp:lastModifiedBy>
  <cp:lastPrinted>2000-06-23T17:21:58Z</cp:lastPrinted>
  <dcterms:created xsi:type="dcterms:W3CDTF">2000-05-01T16:06:07Z</dcterms:created>
  <dcterms:modified xsi:type="dcterms:W3CDTF">2014-09-05T10:49:14Z</dcterms:modified>
</cp:coreProperties>
</file>