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45" windowWidth="12120" windowHeight="8415" tabRatio="926" firstSheet="1" activeTab="1"/>
  </bookViews>
  <sheets>
    <sheet name="YTD Mgmt Summary" sheetId="36" state="hidden" r:id="rId1"/>
    <sheet name="QTD Mgmt Summary" sheetId="37" r:id="rId2"/>
    <sheet name="Mgmt Summary" sheetId="1" r:id="rId3"/>
    <sheet name="GM-WeeklyChnge" sheetId="9" r:id="rId4"/>
    <sheet name="GrossMargin" sheetId="2" r:id="rId5"/>
    <sheet name="Expenses" sheetId="3" r:id="rId6"/>
    <sheet name="Expense Weekly Change" sheetId="19" state="hidden" r:id="rId7"/>
    <sheet name="CapChrg-AllocExp" sheetId="4" r:id="rId8"/>
    <sheet name="Headcount" sheetId="8" state="hidden" r:id="rId9"/>
  </sheets>
  <externalReferences>
    <externalReference r:id="rId10"/>
  </externalReferences>
  <definedNames>
    <definedName name="_xlnm.Criteria">'[1]Mgmt Summary'!$A$5:$A$6</definedName>
    <definedName name="CriteriaAll">'[1]Mgmt Summary'!$A$11:$A$13</definedName>
    <definedName name="CriteriaForUK">'[1]Mgmt Summary'!$A$16:$A$19</definedName>
    <definedName name="DealMakerTable">'[1]Mgmt Summary'!$B$2:$C$98</definedName>
    <definedName name="Hedge_Beta">'[1]Mgmt Summary'!$AS$381:$AT$733</definedName>
    <definedName name="Hedge_Daily_P_L">'[1]Mgmt Summary'!$I$85:$I$122</definedName>
    <definedName name="Hedge_QTD_P_L">'[1]Mgmt Summary'!$J$85:$J$122</definedName>
    <definedName name="HedgeNames">'[1]Mgmt Summary'!$E$85:$E$122</definedName>
    <definedName name="HedgeUsedMarketValue">'[1]Mgmt Summary'!$G$85:$G$122</definedName>
    <definedName name="IndexLivePercentChange">'[1]Mgmt Summary'!$S$53:$S$80</definedName>
    <definedName name="IndexSummaryTable">'[1]Mgmt Summary'!$A$1:$I$19</definedName>
    <definedName name="IndexTags">'[1]Mgmt Summary'!$F$53:$F$80</definedName>
    <definedName name="IndexValues">'[1]Mgmt Summary'!$E$51:$S$80</definedName>
    <definedName name="NAMEECM_Non_SLP_Total">'[1]Mgmt Summary'!$H$4:$H$19</definedName>
    <definedName name="NAMEECM_SLP_Total">'[1]Mgmt Summary'!$G$4:$G$19</definedName>
    <definedName name="NAMEEnron_Asia_Pacific_Total">'[1]Mgmt Summary'!$K$4:$K$19</definedName>
    <definedName name="NAMEEnron_Broadband_Svcs._Total">'[1]Mgmt Summary'!$O$4:$O$19</definedName>
    <definedName name="NAMEEnron_CALME_Total">'[1]Mgmt Summary'!$J$4:$J$19</definedName>
    <definedName name="NAMEEnron_Corp._Total">'[1]Mgmt Summary'!$I$4:$I$19</definedName>
    <definedName name="NAMEEnron_Europe_Total">'[1]Mgmt Summary'!$N$4:$N$19</definedName>
    <definedName name="NAMEEnron_NA_Accrual_Income">'[1]Mgmt Summary'!$F$4:$F$19</definedName>
    <definedName name="NAMEEnron_NA_Funding_Cost">'[1]Mgmt Summary'!$E$4:$E$19</definedName>
    <definedName name="NAMEEnron_NA_Int_l_Total">'[1]Mgmt Summary'!$M$4:$M$19</definedName>
    <definedName name="NAMEEnron_NA_Total">'[1]Mgmt Summary'!$C$4:$C$19</definedName>
    <definedName name="NAMEEnron_Networks_Total">'[1]Mgmt Summary'!$P$4:$P$19</definedName>
    <definedName name="NAMEEnron_South_America_Total">'[1]Mgmt Summary'!$L$4:$L$19</definedName>
    <definedName name="NAMEGrand_Total">'[1]Mgmt Summary'!$Q$4:$Q$19</definedName>
    <definedName name="NAMEPortfolio_Insurance">'[1]Mgmt Summary'!$D$4:$D$19</definedName>
    <definedName name="nr_Mgmt_Summary">'QTD Mgmt Summary'!$A$1:$M$33</definedName>
    <definedName name="PL_Date">'[1]Mgmt Summary'!$V$46</definedName>
    <definedName name="Position">'[1]Mgmt Summary'!$A$1:$AE$339</definedName>
    <definedName name="Pricing_Type_Options">'[1]Mgmt Summary'!$A$5:$B$9</definedName>
    <definedName name="PricingTypeOptions">'[1]Mgmt Summary'!$B$6:$B$10</definedName>
    <definedName name="_xlnm.Print_Area" localSheetId="7">'CapChrg-AllocExp'!$B$2:$P$28</definedName>
    <definedName name="_xlnm.Print_Area" localSheetId="6">'Expense Weekly Change'!$A$2:$J$40</definedName>
    <definedName name="_xlnm.Print_Area" localSheetId="5">Expenses!$B$2:$K$33</definedName>
    <definedName name="_xlnm.Print_Area" localSheetId="3">'GM-WeeklyChnge'!$A$1:$K$32</definedName>
    <definedName name="_xlnm.Print_Area" localSheetId="4">GrossMargin!$B$2:$N$34</definedName>
    <definedName name="_xlnm.Print_Area" localSheetId="8">Headcount!$B$1:$N$19</definedName>
    <definedName name="_xlnm.Print_Area" localSheetId="2">'Mgmt Summary'!$A$1:$V$36</definedName>
    <definedName name="_xlnm.Print_Area" localSheetId="1">'QTD Mgmt Summary'!$A$1:$Q$33</definedName>
    <definedName name="StockPriceTable">'[1]Mgmt Summary'!$F$20:$N$48</definedName>
    <definedName name="SummaryPivotPoint">'[1]Mgmt Summary'!$A$445</definedName>
    <definedName name="Z_83874C97_8BB7_11D2_9732_00104B678AA7_.wvu.Cols" hidden="1">'[1]Mgmt Summary'!$A$1:$A$65536,'[1]Mgmt Summary'!$I$1:$R$65536,'[1]Mgmt Summary'!$W$1:$Y$65536,'[1]Mgmt Summary'!$AM$1:$AO$65536</definedName>
    <definedName name="Z_83874C97_8BB7_11D2_9732_00104B678AA7_.wvu.PrintArea" hidden="1">'[1]Mgmt Summary'!$B$1:$BE$339</definedName>
    <definedName name="Z_83874C97_8BB7_11D2_9732_00104B678AA7_.wvu.PrintTitles" hidden="1">'[1]Mgmt Summary'!$A$44:$IV$46</definedName>
  </definedNames>
  <calcPr calcId="152511" fullCalcOnLoad="1"/>
</workbook>
</file>

<file path=xl/calcChain.xml><?xml version="1.0" encoding="utf-8"?>
<calcChain xmlns="http://schemas.openxmlformats.org/spreadsheetml/2006/main">
  <c r="B4" i="4" l="1"/>
  <c r="F10" i="4"/>
  <c r="K10" i="4"/>
  <c r="M10" i="4" s="1"/>
  <c r="D11" i="4"/>
  <c r="F11" i="4"/>
  <c r="K11" i="4"/>
  <c r="M11" i="4"/>
  <c r="U10" i="1" s="1"/>
  <c r="D12" i="4"/>
  <c r="F12" i="4" s="1"/>
  <c r="S11" i="1" s="1"/>
  <c r="S11" i="36" s="1"/>
  <c r="K12" i="4"/>
  <c r="M12" i="4" s="1"/>
  <c r="U11" i="1" s="1"/>
  <c r="D13" i="4"/>
  <c r="F13" i="4"/>
  <c r="S12" i="1" s="1"/>
  <c r="S12" i="36" s="1"/>
  <c r="K13" i="4"/>
  <c r="M13" i="4"/>
  <c r="U12" i="1" s="1"/>
  <c r="F14" i="4"/>
  <c r="K14" i="4"/>
  <c r="M14" i="4"/>
  <c r="D15" i="4"/>
  <c r="F15" i="4"/>
  <c r="K15" i="4"/>
  <c r="F16" i="4"/>
  <c r="S15" i="1" s="1"/>
  <c r="S15" i="36" s="1"/>
  <c r="K16" i="4"/>
  <c r="M16" i="4" s="1"/>
  <c r="U15" i="1" s="1"/>
  <c r="D17" i="4"/>
  <c r="F17" i="4" s="1"/>
  <c r="S16" i="1" s="1"/>
  <c r="K17" i="4"/>
  <c r="M17" i="4"/>
  <c r="U16" i="1" s="1"/>
  <c r="U21" i="36" s="1"/>
  <c r="U25" i="36" s="1"/>
  <c r="D18" i="4"/>
  <c r="F18" i="4"/>
  <c r="S17" i="1" s="1"/>
  <c r="K18" i="4"/>
  <c r="M18" i="4" s="1"/>
  <c r="U17" i="1" s="1"/>
  <c r="D19" i="4"/>
  <c r="F19" i="4" s="1"/>
  <c r="S18" i="1" s="1"/>
  <c r="S23" i="36" s="1"/>
  <c r="S25" i="36" s="1"/>
  <c r="K19" i="4"/>
  <c r="M19" i="4"/>
  <c r="U18" i="1" s="1"/>
  <c r="F20" i="4"/>
  <c r="K20" i="4"/>
  <c r="E22" i="4"/>
  <c r="E24" i="4" s="1"/>
  <c r="L22" i="4"/>
  <c r="M24" i="4"/>
  <c r="F25" i="4"/>
  <c r="L25" i="4"/>
  <c r="A4" i="19"/>
  <c r="D9" i="19"/>
  <c r="D10" i="19"/>
  <c r="D11" i="19"/>
  <c r="C12" i="19"/>
  <c r="D12" i="19"/>
  <c r="D13" i="19"/>
  <c r="C14" i="19"/>
  <c r="E14" i="19" s="1"/>
  <c r="D14" i="19"/>
  <c r="D15" i="19"/>
  <c r="C16" i="19"/>
  <c r="D16" i="19"/>
  <c r="E16" i="19"/>
  <c r="D18" i="19"/>
  <c r="D20" i="19"/>
  <c r="D21" i="19"/>
  <c r="C22" i="19"/>
  <c r="D22" i="19"/>
  <c r="D29" i="19"/>
  <c r="C30" i="19"/>
  <c r="D30" i="19"/>
  <c r="E30" i="19"/>
  <c r="C37" i="19"/>
  <c r="D37" i="19"/>
  <c r="E37" i="19"/>
  <c r="C38" i="19"/>
  <c r="D38" i="19"/>
  <c r="E38" i="19" s="1"/>
  <c r="C39" i="19"/>
  <c r="E39" i="19" s="1"/>
  <c r="D39" i="19"/>
  <c r="D9" i="3"/>
  <c r="D21" i="3" s="1"/>
  <c r="D10" i="3"/>
  <c r="D11" i="3"/>
  <c r="E11" i="3"/>
  <c r="D12" i="3"/>
  <c r="F12" i="3"/>
  <c r="D13" i="3"/>
  <c r="C13" i="19" s="1"/>
  <c r="F13" i="3"/>
  <c r="T13" i="1" s="1"/>
  <c r="T13" i="36" s="1"/>
  <c r="D14" i="3"/>
  <c r="F14" i="3"/>
  <c r="D15" i="3"/>
  <c r="C15" i="19" s="1"/>
  <c r="E15" i="19" s="1"/>
  <c r="F15" i="3"/>
  <c r="D16" i="3"/>
  <c r="C20" i="19" s="1"/>
  <c r="F16" i="3"/>
  <c r="D17" i="3"/>
  <c r="C21" i="19" s="1"/>
  <c r="F17" i="3"/>
  <c r="D18" i="3"/>
  <c r="F18" i="3"/>
  <c r="D19" i="3"/>
  <c r="F19" i="3"/>
  <c r="E21" i="3"/>
  <c r="E26" i="3" s="1"/>
  <c r="D23" i="3"/>
  <c r="F24" i="3"/>
  <c r="F31" i="3"/>
  <c r="F32" i="3"/>
  <c r="F33" i="3"/>
  <c r="A3" i="9"/>
  <c r="C9" i="9"/>
  <c r="D9" i="9"/>
  <c r="E9" i="9"/>
  <c r="F9" i="9"/>
  <c r="G9" i="9"/>
  <c r="G27" i="9" s="1"/>
  <c r="G31" i="9" s="1"/>
  <c r="I9" i="9"/>
  <c r="J9" i="9"/>
  <c r="E10" i="9"/>
  <c r="F10" i="9"/>
  <c r="G10" i="9"/>
  <c r="I10" i="9"/>
  <c r="J10" i="9"/>
  <c r="C11" i="9"/>
  <c r="D11" i="9"/>
  <c r="E11" i="9"/>
  <c r="E27" i="9" s="1"/>
  <c r="E31" i="9" s="1"/>
  <c r="F11" i="9"/>
  <c r="G11" i="9"/>
  <c r="I11" i="9"/>
  <c r="J11" i="9"/>
  <c r="C12" i="9"/>
  <c r="D12" i="9"/>
  <c r="E12" i="9"/>
  <c r="F12" i="9"/>
  <c r="F27" i="9" s="1"/>
  <c r="F31" i="9" s="1"/>
  <c r="G12" i="9"/>
  <c r="I12" i="9"/>
  <c r="J12" i="9"/>
  <c r="C13" i="9"/>
  <c r="H13" i="9" s="1"/>
  <c r="K13" i="9" s="1"/>
  <c r="D13" i="9"/>
  <c r="E13" i="9"/>
  <c r="F13" i="9"/>
  <c r="G13" i="9"/>
  <c r="I13" i="9"/>
  <c r="J13" i="9"/>
  <c r="C14" i="9"/>
  <c r="H14" i="9" s="1"/>
  <c r="K14" i="9" s="1"/>
  <c r="D14" i="9"/>
  <c r="E14" i="9"/>
  <c r="F14" i="9"/>
  <c r="G14" i="9"/>
  <c r="I14" i="9"/>
  <c r="J14" i="9"/>
  <c r="J20" i="9" s="1"/>
  <c r="J27" i="9" s="1"/>
  <c r="J31" i="9" s="1"/>
  <c r="C15" i="9"/>
  <c r="H15" i="9" s="1"/>
  <c r="D15" i="9"/>
  <c r="E15" i="9"/>
  <c r="E20" i="9" s="1"/>
  <c r="F15" i="9"/>
  <c r="G15" i="9"/>
  <c r="G20" i="9" s="1"/>
  <c r="I15" i="9"/>
  <c r="I20" i="9" s="1"/>
  <c r="J15" i="9"/>
  <c r="K15" i="9"/>
  <c r="C16" i="9"/>
  <c r="D16" i="9"/>
  <c r="H16" i="9" s="1"/>
  <c r="K16" i="9" s="1"/>
  <c r="E16" i="9"/>
  <c r="F16" i="9"/>
  <c r="G16" i="9"/>
  <c r="I16" i="9"/>
  <c r="J16" i="9"/>
  <c r="C17" i="9"/>
  <c r="H17" i="9" s="1"/>
  <c r="K17" i="9" s="1"/>
  <c r="D17" i="9"/>
  <c r="E17" i="9"/>
  <c r="F17" i="9"/>
  <c r="G17" i="9"/>
  <c r="I17" i="9"/>
  <c r="J17" i="9"/>
  <c r="C18" i="9"/>
  <c r="D18" i="9"/>
  <c r="E18" i="9"/>
  <c r="F18" i="9"/>
  <c r="G18" i="9"/>
  <c r="H18" i="9"/>
  <c r="K18" i="9" s="1"/>
  <c r="I18" i="9"/>
  <c r="J18" i="9"/>
  <c r="C19" i="9"/>
  <c r="H19" i="9" s="1"/>
  <c r="K19" i="9" s="1"/>
  <c r="D19" i="9"/>
  <c r="E19" i="9"/>
  <c r="F19" i="9"/>
  <c r="G19" i="9"/>
  <c r="I19" i="9"/>
  <c r="J19" i="9"/>
  <c r="F20" i="9"/>
  <c r="C21" i="9"/>
  <c r="H21" i="9" s="1"/>
  <c r="K21" i="9" s="1"/>
  <c r="D21" i="9"/>
  <c r="E21" i="9"/>
  <c r="F21" i="9"/>
  <c r="G21" i="9"/>
  <c r="I21" i="9"/>
  <c r="J21" i="9"/>
  <c r="C22" i="9"/>
  <c r="H22" i="9" s="1"/>
  <c r="K22" i="9" s="1"/>
  <c r="D22" i="9"/>
  <c r="E22" i="9"/>
  <c r="F22" i="9"/>
  <c r="G22" i="9"/>
  <c r="I22" i="9"/>
  <c r="J22" i="9"/>
  <c r="C23" i="9"/>
  <c r="D23" i="9"/>
  <c r="E23" i="9"/>
  <c r="F23" i="9"/>
  <c r="G23" i="9"/>
  <c r="I23" i="9"/>
  <c r="J23" i="9"/>
  <c r="C24" i="9"/>
  <c r="D24" i="9"/>
  <c r="H24" i="9" s="1"/>
  <c r="K24" i="9" s="1"/>
  <c r="E24" i="9"/>
  <c r="F24" i="9"/>
  <c r="G24" i="9"/>
  <c r="I24" i="9"/>
  <c r="J24" i="9"/>
  <c r="C25" i="9"/>
  <c r="H25" i="9" s="1"/>
  <c r="K25" i="9" s="1"/>
  <c r="D25" i="9"/>
  <c r="E25" i="9"/>
  <c r="F25" i="9"/>
  <c r="G25" i="9"/>
  <c r="I25" i="9"/>
  <c r="J25" i="9"/>
  <c r="C29" i="9"/>
  <c r="H29" i="9" s="1"/>
  <c r="K29" i="9" s="1"/>
  <c r="D29" i="9"/>
  <c r="E29" i="9"/>
  <c r="F29" i="9"/>
  <c r="G29" i="9"/>
  <c r="I29" i="9"/>
  <c r="J29" i="9"/>
  <c r="B4" i="2"/>
  <c r="B4" i="3" s="1"/>
  <c r="I10" i="2"/>
  <c r="L10" i="2"/>
  <c r="D11" i="2"/>
  <c r="E11" i="2"/>
  <c r="D10" i="9" s="1"/>
  <c r="I12" i="2"/>
  <c r="L12" i="2"/>
  <c r="M12" i="2"/>
  <c r="N12" i="2"/>
  <c r="I13" i="2"/>
  <c r="L13" i="2"/>
  <c r="N13" i="2" s="1"/>
  <c r="I14" i="2"/>
  <c r="L14" i="2" s="1"/>
  <c r="N14" i="2"/>
  <c r="I15" i="2"/>
  <c r="L15" i="2"/>
  <c r="N15" i="2" s="1"/>
  <c r="I16" i="2"/>
  <c r="L16" i="2" s="1"/>
  <c r="N16" i="2" s="1"/>
  <c r="I17" i="2"/>
  <c r="L17" i="2"/>
  <c r="N17" i="2" s="1"/>
  <c r="I18" i="2"/>
  <c r="L18" i="2" s="1"/>
  <c r="N18" i="2" s="1"/>
  <c r="I19" i="2"/>
  <c r="L19" i="2"/>
  <c r="N19" i="2" s="1"/>
  <c r="I20" i="2"/>
  <c r="L20" i="2" s="1"/>
  <c r="N20" i="2" s="1"/>
  <c r="D21" i="2"/>
  <c r="E21" i="2"/>
  <c r="E28" i="2" s="1"/>
  <c r="E32" i="2" s="1"/>
  <c r="F21" i="2"/>
  <c r="G21" i="2"/>
  <c r="G28" i="2" s="1"/>
  <c r="G32" i="2" s="1"/>
  <c r="H21" i="2"/>
  <c r="K21" i="2"/>
  <c r="I22" i="2"/>
  <c r="L22" i="2" s="1"/>
  <c r="N22" i="2" s="1"/>
  <c r="I23" i="2"/>
  <c r="L23" i="2"/>
  <c r="N23" i="2" s="1"/>
  <c r="I24" i="2"/>
  <c r="L24" i="2" s="1"/>
  <c r="N24" i="2" s="1"/>
  <c r="I25" i="2"/>
  <c r="L25" i="2"/>
  <c r="M25" i="2"/>
  <c r="M28" i="2" s="1"/>
  <c r="M32" i="2" s="1"/>
  <c r="N25" i="2"/>
  <c r="I26" i="2"/>
  <c r="L26" i="2"/>
  <c r="N26" i="2" s="1"/>
  <c r="F28" i="2"/>
  <c r="F32" i="2" s="1"/>
  <c r="H28" i="2"/>
  <c r="H32" i="2" s="1"/>
  <c r="J28" i="2"/>
  <c r="J32" i="2" s="1"/>
  <c r="K28" i="2"/>
  <c r="I30" i="2"/>
  <c r="L30" i="2"/>
  <c r="M30" i="2"/>
  <c r="N30" i="2"/>
  <c r="K32" i="2"/>
  <c r="F9" i="8"/>
  <c r="J9" i="8"/>
  <c r="L9" i="8"/>
  <c r="M9" i="8"/>
  <c r="F15" i="8"/>
  <c r="J15" i="8"/>
  <c r="L15" i="8"/>
  <c r="N15" i="8" s="1"/>
  <c r="M15" i="8"/>
  <c r="F16" i="8"/>
  <c r="J16" i="8"/>
  <c r="L16" i="8"/>
  <c r="M16" i="8"/>
  <c r="C9" i="1"/>
  <c r="E9" i="1" s="1"/>
  <c r="E21" i="1" s="1"/>
  <c r="D9" i="1"/>
  <c r="G9" i="1"/>
  <c r="H9" i="1"/>
  <c r="I9" i="1"/>
  <c r="I21" i="1" s="1"/>
  <c r="I28" i="1" s="1"/>
  <c r="I32" i="1" s="1"/>
  <c r="L9" i="1"/>
  <c r="M9" i="1"/>
  <c r="N9" i="1"/>
  <c r="S9" i="1"/>
  <c r="C10" i="1"/>
  <c r="E10" i="1" s="1"/>
  <c r="D10" i="1"/>
  <c r="H10" i="1"/>
  <c r="I10" i="1"/>
  <c r="L10" i="1"/>
  <c r="N10" i="1"/>
  <c r="C11" i="1"/>
  <c r="E11" i="1" s="1"/>
  <c r="D11" i="1"/>
  <c r="G11" i="1"/>
  <c r="J11" i="1" s="1"/>
  <c r="H11" i="1"/>
  <c r="I11" i="1"/>
  <c r="L11" i="1"/>
  <c r="L11" i="36" s="1"/>
  <c r="L19" i="36" s="1"/>
  <c r="L28" i="36" s="1"/>
  <c r="L35" i="36" s="1"/>
  <c r="L39" i="36" s="1"/>
  <c r="N11" i="1"/>
  <c r="C12" i="1"/>
  <c r="D12" i="1"/>
  <c r="E12" i="1"/>
  <c r="G12" i="1"/>
  <c r="J12" i="1" s="1"/>
  <c r="H12" i="1"/>
  <c r="I12" i="1"/>
  <c r="L12" i="1"/>
  <c r="M12" i="1"/>
  <c r="N12" i="1"/>
  <c r="T12" i="1"/>
  <c r="C13" i="1"/>
  <c r="D13" i="1"/>
  <c r="E13" i="1"/>
  <c r="G13" i="1"/>
  <c r="H13" i="1"/>
  <c r="I13" i="1"/>
  <c r="I13" i="36" s="1"/>
  <c r="L13" i="1"/>
  <c r="M13" i="1"/>
  <c r="N13" i="1"/>
  <c r="S13" i="1"/>
  <c r="U13" i="1"/>
  <c r="C14" i="1"/>
  <c r="D14" i="1"/>
  <c r="E14" i="1"/>
  <c r="H14" i="1"/>
  <c r="I14" i="1"/>
  <c r="I14" i="36" s="1"/>
  <c r="L14" i="1"/>
  <c r="M14" i="1"/>
  <c r="S14" i="1"/>
  <c r="T14" i="1"/>
  <c r="T14" i="36" s="1"/>
  <c r="C15" i="1"/>
  <c r="D15" i="1"/>
  <c r="E15" i="1"/>
  <c r="G15" i="1"/>
  <c r="H15" i="1"/>
  <c r="I15" i="1"/>
  <c r="L15" i="1"/>
  <c r="M15" i="1"/>
  <c r="N15" i="1"/>
  <c r="T15" i="1"/>
  <c r="T15" i="36" s="1"/>
  <c r="C16" i="1"/>
  <c r="D16" i="1"/>
  <c r="E16" i="1"/>
  <c r="G16" i="1"/>
  <c r="J16" i="1" s="1"/>
  <c r="Q16" i="1" s="1"/>
  <c r="H16" i="1"/>
  <c r="I16" i="1"/>
  <c r="L16" i="1"/>
  <c r="L21" i="36" s="1"/>
  <c r="L25" i="36" s="1"/>
  <c r="M16" i="1"/>
  <c r="N16" i="1"/>
  <c r="T16" i="1"/>
  <c r="C17" i="1"/>
  <c r="D17" i="1"/>
  <c r="E17" i="1"/>
  <c r="G17" i="1"/>
  <c r="H17" i="1"/>
  <c r="I17" i="1"/>
  <c r="L17" i="1"/>
  <c r="L22" i="36" s="1"/>
  <c r="M17" i="1"/>
  <c r="N17" i="1"/>
  <c r="T17" i="1"/>
  <c r="C18" i="1"/>
  <c r="D18" i="1"/>
  <c r="E18" i="1"/>
  <c r="G18" i="1"/>
  <c r="J18" i="1" s="1"/>
  <c r="C17" i="37" s="1"/>
  <c r="H18" i="1"/>
  <c r="I18" i="1"/>
  <c r="L18" i="1"/>
  <c r="L23" i="36" s="1"/>
  <c r="M18" i="1"/>
  <c r="N18" i="1"/>
  <c r="T18" i="1"/>
  <c r="C19" i="1"/>
  <c r="D19" i="1"/>
  <c r="E19" i="1"/>
  <c r="G19" i="1"/>
  <c r="H19" i="1"/>
  <c r="I19" i="1"/>
  <c r="L19" i="1"/>
  <c r="M19" i="1"/>
  <c r="S19" i="1"/>
  <c r="T19" i="1"/>
  <c r="T17" i="36" s="1"/>
  <c r="C21" i="1"/>
  <c r="D21" i="1"/>
  <c r="H21" i="1"/>
  <c r="K21" i="1"/>
  <c r="R21" i="1"/>
  <c r="R28" i="1" s="1"/>
  <c r="R32" i="1" s="1"/>
  <c r="D23" i="1"/>
  <c r="E23" i="1"/>
  <c r="J23" i="1"/>
  <c r="Q23" i="1" s="1"/>
  <c r="L23" i="1"/>
  <c r="D24" i="1"/>
  <c r="E24" i="1" s="1"/>
  <c r="J24" i="1"/>
  <c r="Q24" i="1" s="1"/>
  <c r="C25" i="1"/>
  <c r="D25" i="1"/>
  <c r="E25" i="1"/>
  <c r="G25" i="1"/>
  <c r="H25" i="1"/>
  <c r="H28" i="1" s="1"/>
  <c r="I25" i="1"/>
  <c r="M25" i="1"/>
  <c r="T25" i="1"/>
  <c r="D26" i="1"/>
  <c r="E26" i="1" s="1"/>
  <c r="J26" i="1"/>
  <c r="Q26" i="1"/>
  <c r="V27" i="1"/>
  <c r="K28" i="1"/>
  <c r="K32" i="1" s="1"/>
  <c r="E30" i="1"/>
  <c r="G30" i="1"/>
  <c r="H30" i="1"/>
  <c r="I30" i="1"/>
  <c r="T30" i="1"/>
  <c r="H32" i="1"/>
  <c r="G34" i="1"/>
  <c r="Q3" i="37"/>
  <c r="D8" i="37"/>
  <c r="G8" i="37"/>
  <c r="P8" i="37" s="1"/>
  <c r="H8" i="37"/>
  <c r="D9" i="37"/>
  <c r="H9" i="37"/>
  <c r="C10" i="37"/>
  <c r="O10" i="37" s="1"/>
  <c r="D10" i="37"/>
  <c r="E10" i="37" s="1"/>
  <c r="H10" i="37"/>
  <c r="C11" i="37"/>
  <c r="E11" i="37" s="1"/>
  <c r="D11" i="37"/>
  <c r="G11" i="37"/>
  <c r="H11" i="37"/>
  <c r="P11" i="37"/>
  <c r="D12" i="37"/>
  <c r="G12" i="37"/>
  <c r="P12" i="37" s="1"/>
  <c r="H12" i="37"/>
  <c r="D13" i="37"/>
  <c r="H13" i="37"/>
  <c r="D14" i="37"/>
  <c r="G14" i="37"/>
  <c r="P14" i="37" s="1"/>
  <c r="H14" i="37"/>
  <c r="C15" i="37"/>
  <c r="E15" i="37" s="1"/>
  <c r="D15" i="37"/>
  <c r="G15" i="37"/>
  <c r="H15" i="37"/>
  <c r="P15" i="37"/>
  <c r="D16" i="37"/>
  <c r="G16" i="37"/>
  <c r="P16" i="37" s="1"/>
  <c r="H16" i="37"/>
  <c r="D17" i="37"/>
  <c r="G17" i="37"/>
  <c r="H17" i="37"/>
  <c r="P17" i="37"/>
  <c r="D18" i="37"/>
  <c r="H18" i="37"/>
  <c r="D20" i="37"/>
  <c r="E22" i="37"/>
  <c r="H22" i="37"/>
  <c r="L22" i="37"/>
  <c r="O22" i="37"/>
  <c r="E23" i="37"/>
  <c r="H23" i="37"/>
  <c r="O23" i="37"/>
  <c r="G24" i="37"/>
  <c r="H24" i="37"/>
  <c r="I24" i="37" s="1"/>
  <c r="P24" i="37"/>
  <c r="C25" i="37"/>
  <c r="O25" i="37" s="1"/>
  <c r="D25" i="37"/>
  <c r="H25" i="37"/>
  <c r="D29" i="37"/>
  <c r="G29" i="37"/>
  <c r="P29" i="37" s="1"/>
  <c r="H29" i="37"/>
  <c r="L29" i="37" s="1"/>
  <c r="I39" i="37"/>
  <c r="E44" i="37"/>
  <c r="I44" i="37"/>
  <c r="C9" i="36"/>
  <c r="D9" i="36"/>
  <c r="E9" i="36"/>
  <c r="G9" i="36"/>
  <c r="H9" i="36"/>
  <c r="L9" i="36"/>
  <c r="M9" i="36"/>
  <c r="N9" i="36"/>
  <c r="S9" i="36"/>
  <c r="C10" i="36"/>
  <c r="E10" i="36" s="1"/>
  <c r="D10" i="36"/>
  <c r="D19" i="36" s="1"/>
  <c r="D28" i="36" s="1"/>
  <c r="D35" i="36" s="1"/>
  <c r="D39" i="36" s="1"/>
  <c r="H10" i="36"/>
  <c r="I10" i="36"/>
  <c r="L10" i="36"/>
  <c r="N10" i="36"/>
  <c r="U10" i="36"/>
  <c r="C11" i="36"/>
  <c r="E11" i="36" s="1"/>
  <c r="D11" i="36"/>
  <c r="G11" i="36"/>
  <c r="H11" i="36"/>
  <c r="I11" i="36"/>
  <c r="J11" i="36" s="1"/>
  <c r="N11" i="36"/>
  <c r="U11" i="36"/>
  <c r="C12" i="36"/>
  <c r="D12" i="36"/>
  <c r="E12" i="36"/>
  <c r="G12" i="36"/>
  <c r="H12" i="36"/>
  <c r="I12" i="36"/>
  <c r="J12" i="36"/>
  <c r="L12" i="36"/>
  <c r="M12" i="36"/>
  <c r="N12" i="36"/>
  <c r="O12" i="36"/>
  <c r="T12" i="36"/>
  <c r="U12" i="36"/>
  <c r="C13" i="36"/>
  <c r="E13" i="36" s="1"/>
  <c r="D13" i="36"/>
  <c r="G13" i="36"/>
  <c r="H13" i="36"/>
  <c r="L13" i="36"/>
  <c r="M13" i="36"/>
  <c r="N13" i="36"/>
  <c r="S13" i="36"/>
  <c r="U13" i="36"/>
  <c r="C14" i="36"/>
  <c r="E14" i="36" s="1"/>
  <c r="D14" i="36"/>
  <c r="H14" i="36"/>
  <c r="L14" i="36"/>
  <c r="M14" i="36"/>
  <c r="S14" i="36"/>
  <c r="C15" i="36"/>
  <c r="E15" i="36" s="1"/>
  <c r="D15" i="36"/>
  <c r="G15" i="36"/>
  <c r="J15" i="36" s="1"/>
  <c r="O15" i="36" s="1"/>
  <c r="H15" i="36"/>
  <c r="I15" i="36"/>
  <c r="L15" i="36"/>
  <c r="M15" i="36"/>
  <c r="N15" i="36"/>
  <c r="U15" i="36"/>
  <c r="C16" i="36"/>
  <c r="E16" i="36" s="1"/>
  <c r="D16" i="36"/>
  <c r="G16" i="36"/>
  <c r="J16" i="36" s="1"/>
  <c r="O16" i="36" s="1"/>
  <c r="H16" i="36"/>
  <c r="I16" i="36"/>
  <c r="L16" i="36"/>
  <c r="M16" i="36"/>
  <c r="N16" i="36"/>
  <c r="Q16" i="36"/>
  <c r="V16" i="36" s="1"/>
  <c r="S16" i="36"/>
  <c r="T16" i="36"/>
  <c r="U16" i="36"/>
  <c r="C17" i="36"/>
  <c r="E17" i="36" s="1"/>
  <c r="D17" i="36"/>
  <c r="G17" i="36"/>
  <c r="J17" i="36" s="1"/>
  <c r="H17" i="36"/>
  <c r="I17" i="36"/>
  <c r="L17" i="36"/>
  <c r="M17" i="36"/>
  <c r="S17" i="36"/>
  <c r="C19" i="36"/>
  <c r="C28" i="36" s="1"/>
  <c r="C35" i="36" s="1"/>
  <c r="C39" i="36" s="1"/>
  <c r="H19" i="36"/>
  <c r="K19" i="36"/>
  <c r="K28" i="36" s="1"/>
  <c r="K35" i="36" s="1"/>
  <c r="K39" i="36" s="1"/>
  <c r="R19" i="36"/>
  <c r="C21" i="36"/>
  <c r="E21" i="36" s="1"/>
  <c r="D21" i="36"/>
  <c r="G21" i="36"/>
  <c r="G25" i="36" s="1"/>
  <c r="H21" i="36"/>
  <c r="I21" i="36"/>
  <c r="J21" i="36" s="1"/>
  <c r="M21" i="36"/>
  <c r="M25" i="36" s="1"/>
  <c r="N21" i="36"/>
  <c r="N25" i="36" s="1"/>
  <c r="S21" i="36"/>
  <c r="T21" i="36"/>
  <c r="T25" i="36" s="1"/>
  <c r="C22" i="36"/>
  <c r="E22" i="36" s="1"/>
  <c r="D22" i="36"/>
  <c r="D25" i="36" s="1"/>
  <c r="G22" i="36"/>
  <c r="H22" i="36"/>
  <c r="I22" i="36"/>
  <c r="J22" i="36" s="1"/>
  <c r="O22" i="36" s="1"/>
  <c r="M22" i="36"/>
  <c r="N22" i="36"/>
  <c r="S22" i="36"/>
  <c r="T22" i="36"/>
  <c r="U22" i="36"/>
  <c r="C23" i="36"/>
  <c r="E23" i="36" s="1"/>
  <c r="D23" i="36"/>
  <c r="G23" i="36"/>
  <c r="H23" i="36"/>
  <c r="I23" i="36"/>
  <c r="J23" i="36"/>
  <c r="O23" i="36" s="1"/>
  <c r="M23" i="36"/>
  <c r="N23" i="36"/>
  <c r="T23" i="36"/>
  <c r="U23" i="36"/>
  <c r="C25" i="36"/>
  <c r="F25" i="36"/>
  <c r="H25" i="36"/>
  <c r="H28" i="36" s="1"/>
  <c r="H35" i="36" s="1"/>
  <c r="H39" i="36" s="1"/>
  <c r="K25" i="36"/>
  <c r="R25" i="36"/>
  <c r="F28" i="36"/>
  <c r="R28" i="36"/>
  <c r="R35" i="36" s="1"/>
  <c r="R39" i="36" s="1"/>
  <c r="C30" i="36"/>
  <c r="E30" i="36" s="1"/>
  <c r="D30" i="36"/>
  <c r="G30" i="36"/>
  <c r="J30" i="36" s="1"/>
  <c r="H30" i="36"/>
  <c r="I30" i="36"/>
  <c r="L30" i="36"/>
  <c r="N30" i="36"/>
  <c r="Q30" i="36"/>
  <c r="S30" i="36"/>
  <c r="U30" i="36"/>
  <c r="C31" i="36"/>
  <c r="G31" i="36"/>
  <c r="J31" i="36" s="1"/>
  <c r="H31" i="36"/>
  <c r="I31" i="36"/>
  <c r="L31" i="36"/>
  <c r="M31" i="36"/>
  <c r="Q31" i="36"/>
  <c r="S31" i="36"/>
  <c r="U31" i="36"/>
  <c r="C32" i="36"/>
  <c r="E32" i="36" s="1"/>
  <c r="D32" i="36"/>
  <c r="G32" i="36"/>
  <c r="J32" i="36" s="1"/>
  <c r="O32" i="36" s="1"/>
  <c r="H32" i="36"/>
  <c r="I32" i="36"/>
  <c r="L32" i="36"/>
  <c r="M32" i="36"/>
  <c r="N32" i="36"/>
  <c r="S32" i="36"/>
  <c r="T32" i="36"/>
  <c r="U32" i="36"/>
  <c r="C33" i="36"/>
  <c r="G33" i="36"/>
  <c r="J33" i="36" s="1"/>
  <c r="H33" i="36"/>
  <c r="I33" i="36"/>
  <c r="M33" i="36"/>
  <c r="N33" i="36"/>
  <c r="Q33" i="36"/>
  <c r="T33" i="36"/>
  <c r="U33" i="36"/>
  <c r="V34" i="36"/>
  <c r="C37" i="36"/>
  <c r="E37" i="36" s="1"/>
  <c r="D37" i="36"/>
  <c r="G37" i="36"/>
  <c r="H37" i="36"/>
  <c r="J37" i="36" s="1"/>
  <c r="O37" i="36" s="1"/>
  <c r="I37" i="36"/>
  <c r="L37" i="36"/>
  <c r="M37" i="36"/>
  <c r="N37" i="36"/>
  <c r="S37" i="36"/>
  <c r="T37" i="36"/>
  <c r="U37" i="36"/>
  <c r="G41" i="36"/>
  <c r="D10" i="8"/>
  <c r="I14" i="8"/>
  <c r="E10" i="8"/>
  <c r="D11" i="8"/>
  <c r="E11" i="8"/>
  <c r="D12" i="8"/>
  <c r="H10" i="8"/>
  <c r="E12" i="8"/>
  <c r="D13" i="8"/>
  <c r="I10" i="8"/>
  <c r="H11" i="8"/>
  <c r="E13" i="8"/>
  <c r="D14" i="8"/>
  <c r="I12" i="8"/>
  <c r="H13" i="8"/>
  <c r="I11" i="8"/>
  <c r="H12" i="8"/>
  <c r="I13" i="8"/>
  <c r="E14" i="8"/>
  <c r="H14" i="8"/>
  <c r="J14" i="8" l="1"/>
  <c r="M14" i="8"/>
  <c r="J12" i="8"/>
  <c r="J13" i="8"/>
  <c r="L14" i="8"/>
  <c r="N14" i="8" s="1"/>
  <c r="F14" i="8"/>
  <c r="M13" i="8"/>
  <c r="J11" i="8"/>
  <c r="I18" i="8"/>
  <c r="L13" i="8"/>
  <c r="F13" i="8"/>
  <c r="M12" i="8"/>
  <c r="H18" i="8"/>
  <c r="J10" i="8"/>
  <c r="J18" i="8" s="1"/>
  <c r="L12" i="8"/>
  <c r="N12" i="8" s="1"/>
  <c r="F12" i="8"/>
  <c r="M11" i="8"/>
  <c r="F11" i="8"/>
  <c r="L11" i="8"/>
  <c r="N11" i="8" s="1"/>
  <c r="E18" i="8"/>
  <c r="M10" i="8"/>
  <c r="M18" i="8" s="1"/>
  <c r="F10" i="8"/>
  <c r="F18" i="8" s="1"/>
  <c r="L10" i="8"/>
  <c r="D18" i="8"/>
  <c r="E19" i="36"/>
  <c r="L18" i="8"/>
  <c r="J13" i="36"/>
  <c r="O13" i="36" s="1"/>
  <c r="E39" i="37"/>
  <c r="J25" i="36"/>
  <c r="O21" i="36"/>
  <c r="O25" i="36" s="1"/>
  <c r="K17" i="37"/>
  <c r="M17" i="37" s="1"/>
  <c r="O17" i="37"/>
  <c r="Q17" i="37" s="1"/>
  <c r="E17" i="37"/>
  <c r="E25" i="36"/>
  <c r="V16" i="1"/>
  <c r="Q21" i="36"/>
  <c r="D24" i="19"/>
  <c r="E21" i="19"/>
  <c r="E25" i="37"/>
  <c r="I16" i="37"/>
  <c r="L16" i="37"/>
  <c r="C28" i="1"/>
  <c r="C32" i="1" s="1"/>
  <c r="D24" i="37"/>
  <c r="D28" i="1"/>
  <c r="D32" i="1" s="1"/>
  <c r="Q18" i="1"/>
  <c r="N16" i="8"/>
  <c r="L25" i="37"/>
  <c r="K20" i="9"/>
  <c r="M20" i="4"/>
  <c r="U19" i="1" s="1"/>
  <c r="U17" i="36" s="1"/>
  <c r="N19" i="1"/>
  <c r="N17" i="36" s="1"/>
  <c r="O17" i="36" s="1"/>
  <c r="G18" i="37"/>
  <c r="P18" i="37" s="1"/>
  <c r="I17" i="37"/>
  <c r="L17" i="37"/>
  <c r="I12" i="37"/>
  <c r="L12" i="37"/>
  <c r="I8" i="37"/>
  <c r="L8" i="37"/>
  <c r="J13" i="1"/>
  <c r="J9" i="1"/>
  <c r="N9" i="8"/>
  <c r="H20" i="9"/>
  <c r="H12" i="9"/>
  <c r="K12" i="9" s="1"/>
  <c r="C29" i="19"/>
  <c r="E29" i="19" s="1"/>
  <c r="F23" i="3"/>
  <c r="T23" i="1" s="1"/>
  <c r="M23" i="1"/>
  <c r="D27" i="19"/>
  <c r="D32" i="19" s="1"/>
  <c r="E13" i="19"/>
  <c r="I11" i="37"/>
  <c r="L11" i="37"/>
  <c r="I29" i="37"/>
  <c r="K15" i="37"/>
  <c r="O15" i="37"/>
  <c r="Q15" i="37" s="1"/>
  <c r="J30" i="1"/>
  <c r="J19" i="1"/>
  <c r="J17" i="1"/>
  <c r="J15" i="1"/>
  <c r="H23" i="9"/>
  <c r="K23" i="9" s="1"/>
  <c r="C24" i="19"/>
  <c r="E20" i="19"/>
  <c r="E12" i="19"/>
  <c r="F22" i="4"/>
  <c r="S10" i="1"/>
  <c r="I13" i="37"/>
  <c r="L13" i="37"/>
  <c r="I9" i="37"/>
  <c r="L9" i="37"/>
  <c r="I9" i="36"/>
  <c r="I18" i="37"/>
  <c r="L18" i="37"/>
  <c r="O12" i="1"/>
  <c r="Q12" i="1"/>
  <c r="I21" i="2"/>
  <c r="M11" i="1"/>
  <c r="M11" i="36" s="1"/>
  <c r="O11" i="36" s="1"/>
  <c r="F11" i="3"/>
  <c r="T11" i="1" s="1"/>
  <c r="T11" i="36" s="1"/>
  <c r="G10" i="37"/>
  <c r="P10" i="37" s="1"/>
  <c r="Q10" i="37" s="1"/>
  <c r="C11" i="19"/>
  <c r="E11" i="19"/>
  <c r="N14" i="1"/>
  <c r="M15" i="4"/>
  <c r="U14" i="1" s="1"/>
  <c r="U14" i="36" s="1"/>
  <c r="G13" i="37"/>
  <c r="P13" i="37" s="1"/>
  <c r="U9" i="1"/>
  <c r="E28" i="1"/>
  <c r="E32" i="1" s="1"/>
  <c r="H9" i="9"/>
  <c r="D33" i="36"/>
  <c r="E33" i="36" s="1"/>
  <c r="D31" i="36"/>
  <c r="E31" i="36" s="1"/>
  <c r="I14" i="37"/>
  <c r="L14" i="37"/>
  <c r="K10" i="37"/>
  <c r="M10" i="37" s="1"/>
  <c r="J25" i="1"/>
  <c r="G22" i="37"/>
  <c r="C10" i="9"/>
  <c r="H10" i="9" s="1"/>
  <c r="K10" i="9" s="1"/>
  <c r="I11" i="2"/>
  <c r="D28" i="2"/>
  <c r="D32" i="2" s="1"/>
  <c r="H11" i="9"/>
  <c r="K11" i="9" s="1"/>
  <c r="M10" i="1"/>
  <c r="C10" i="19"/>
  <c r="F10" i="3"/>
  <c r="T10" i="1" s="1"/>
  <c r="T10" i="36" s="1"/>
  <c r="G9" i="37"/>
  <c r="E22" i="19"/>
  <c r="I37" i="37" s="1"/>
  <c r="E10" i="19"/>
  <c r="L27" i="4"/>
  <c r="L23" i="37"/>
  <c r="K11" i="37"/>
  <c r="O11" i="37"/>
  <c r="Q11" i="37" s="1"/>
  <c r="I25" i="36"/>
  <c r="H20" i="37"/>
  <c r="H27" i="37" s="1"/>
  <c r="H31" i="37" s="1"/>
  <c r="I15" i="37"/>
  <c r="L15" i="37"/>
  <c r="I10" i="37"/>
  <c r="L10" i="37"/>
  <c r="V23" i="1"/>
  <c r="O18" i="1"/>
  <c r="O16" i="1"/>
  <c r="O11" i="1"/>
  <c r="Q11" i="1"/>
  <c r="L21" i="1"/>
  <c r="N10" i="2"/>
  <c r="D20" i="9"/>
  <c r="D27" i="9" s="1"/>
  <c r="D31" i="9" s="1"/>
  <c r="E38" i="37" s="1"/>
  <c r="I27" i="9"/>
  <c r="I31" i="9" s="1"/>
  <c r="D26" i="3"/>
  <c r="C9" i="19"/>
  <c r="C18" i="19" s="1"/>
  <c r="C27" i="19" s="1"/>
  <c r="C32" i="19" s="1"/>
  <c r="F9" i="3"/>
  <c r="K22" i="4"/>
  <c r="C20" i="9"/>
  <c r="C27" i="9" s="1"/>
  <c r="C31" i="9" s="1"/>
  <c r="D22" i="4"/>
  <c r="E27" i="4"/>
  <c r="E37" i="37" l="1"/>
  <c r="E41" i="37" s="1"/>
  <c r="H31" i="9"/>
  <c r="K31" i="9" s="1"/>
  <c r="I22" i="37"/>
  <c r="P22" i="37"/>
  <c r="Q22" i="37" s="1"/>
  <c r="K22" i="37"/>
  <c r="M22" i="37" s="1"/>
  <c r="G14" i="1"/>
  <c r="L21" i="2"/>
  <c r="N21" i="2" s="1"/>
  <c r="T24" i="1"/>
  <c r="T30" i="36"/>
  <c r="V30" i="36" s="1"/>
  <c r="I20" i="37"/>
  <c r="K25" i="4"/>
  <c r="M11" i="37"/>
  <c r="Q25" i="1"/>
  <c r="O25" i="1"/>
  <c r="C24" i="37"/>
  <c r="K9" i="9"/>
  <c r="K27" i="9" s="1"/>
  <c r="H27" i="9"/>
  <c r="N21" i="1"/>
  <c r="N14" i="36"/>
  <c r="N19" i="36" s="1"/>
  <c r="N28" i="36" s="1"/>
  <c r="N35" i="36" s="1"/>
  <c r="N39" i="36" s="1"/>
  <c r="V12" i="1"/>
  <c r="Q12" i="36"/>
  <c r="V12" i="36" s="1"/>
  <c r="O15" i="1"/>
  <c r="Q15" i="1"/>
  <c r="C14" i="37"/>
  <c r="N10" i="8"/>
  <c r="O17" i="1"/>
  <c r="C16" i="37"/>
  <c r="Q17" i="1"/>
  <c r="N18" i="8"/>
  <c r="E28" i="36"/>
  <c r="E35" i="36" s="1"/>
  <c r="E39" i="36" s="1"/>
  <c r="V21" i="36"/>
  <c r="Q11" i="36"/>
  <c r="V11" i="36" s="1"/>
  <c r="V11" i="1"/>
  <c r="L11" i="2"/>
  <c r="G10" i="1"/>
  <c r="U21" i="1"/>
  <c r="U28" i="1" s="1"/>
  <c r="U32" i="1" s="1"/>
  <c r="U9" i="36"/>
  <c r="U19" i="36" s="1"/>
  <c r="U28" i="36" s="1"/>
  <c r="U35" i="36" s="1"/>
  <c r="U39" i="36" s="1"/>
  <c r="Q30" i="1"/>
  <c r="C29" i="37"/>
  <c r="O30" i="1"/>
  <c r="O9" i="1"/>
  <c r="Q9" i="1"/>
  <c r="C8" i="37"/>
  <c r="V18" i="1"/>
  <c r="Q23" i="36"/>
  <c r="V23" i="36" s="1"/>
  <c r="F21" i="3"/>
  <c r="F26" i="3" s="1"/>
  <c r="T9" i="1"/>
  <c r="M21" i="1"/>
  <c r="M28" i="1" s="1"/>
  <c r="M32" i="1" s="1"/>
  <c r="M10" i="36"/>
  <c r="M19" i="36" s="1"/>
  <c r="M28" i="36" s="1"/>
  <c r="M35" i="36" s="1"/>
  <c r="M39" i="36" s="1"/>
  <c r="S10" i="36"/>
  <c r="S19" i="36" s="1"/>
  <c r="S28" i="36" s="1"/>
  <c r="S35" i="36" s="1"/>
  <c r="S39" i="36" s="1"/>
  <c r="S21" i="1"/>
  <c r="E9" i="19"/>
  <c r="M22" i="4"/>
  <c r="J9" i="36"/>
  <c r="I19" i="36"/>
  <c r="I28" i="36" s="1"/>
  <c r="I35" i="36" s="1"/>
  <c r="I39" i="36" s="1"/>
  <c r="E24" i="19"/>
  <c r="O13" i="1"/>
  <c r="Q13" i="1"/>
  <c r="C12" i="37"/>
  <c r="N13" i="8"/>
  <c r="O19" i="1"/>
  <c r="C18" i="37"/>
  <c r="Q19" i="1"/>
  <c r="D24" i="4"/>
  <c r="D27" i="4"/>
  <c r="G20" i="37"/>
  <c r="P9" i="37"/>
  <c r="P20" i="37" s="1"/>
  <c r="M15" i="37"/>
  <c r="M30" i="36"/>
  <c r="O30" i="36" s="1"/>
  <c r="O23" i="1"/>
  <c r="L20" i="37"/>
  <c r="L27" i="37" s="1"/>
  <c r="L31" i="37" s="1"/>
  <c r="L24" i="37"/>
  <c r="D27" i="37"/>
  <c r="D31" i="37" s="1"/>
  <c r="E24" i="37"/>
  <c r="I28" i="2"/>
  <c r="I32" i="2" s="1"/>
  <c r="E45" i="37" s="1"/>
  <c r="E47" i="37" s="1"/>
  <c r="O8" i="37" l="1"/>
  <c r="E8" i="37"/>
  <c r="K8" i="37"/>
  <c r="T31" i="36"/>
  <c r="V31" i="36" s="1"/>
  <c r="V24" i="1"/>
  <c r="L26" i="1"/>
  <c r="G25" i="37"/>
  <c r="F24" i="4"/>
  <c r="G10" i="36"/>
  <c r="J10" i="1"/>
  <c r="G21" i="1"/>
  <c r="G28" i="1" s="1"/>
  <c r="G32" i="1" s="1"/>
  <c r="V25" i="1"/>
  <c r="Q32" i="36"/>
  <c r="V32" i="36" s="1"/>
  <c r="N11" i="2"/>
  <c r="N28" i="2" s="1"/>
  <c r="N32" i="2" s="1"/>
  <c r="L28" i="2"/>
  <c r="L32" i="2" s="1"/>
  <c r="O9" i="36"/>
  <c r="T9" i="36"/>
  <c r="T19" i="36" s="1"/>
  <c r="T28" i="36" s="1"/>
  <c r="T35" i="36" s="1"/>
  <c r="T39" i="36" s="1"/>
  <c r="T21" i="1"/>
  <c r="T28" i="1" s="1"/>
  <c r="T32" i="1" s="1"/>
  <c r="N28" i="1"/>
  <c r="N32" i="1" s="1"/>
  <c r="N24" i="1"/>
  <c r="M25" i="4"/>
  <c r="M27" i="4" s="1"/>
  <c r="Q9" i="36"/>
  <c r="V9" i="1"/>
  <c r="O29" i="37"/>
  <c r="Q29" i="37" s="1"/>
  <c r="K29" i="37"/>
  <c r="M29" i="37" s="1"/>
  <c r="E29" i="37"/>
  <c r="K27" i="4"/>
  <c r="J14" i="1"/>
  <c r="G14" i="36"/>
  <c r="J14" i="36" s="1"/>
  <c r="O14" i="36" s="1"/>
  <c r="O18" i="37"/>
  <c r="Q18" i="37" s="1"/>
  <c r="K18" i="37"/>
  <c r="M18" i="37" s="1"/>
  <c r="E18" i="37"/>
  <c r="O16" i="37"/>
  <c r="Q16" i="37" s="1"/>
  <c r="K16" i="37"/>
  <c r="M16" i="37" s="1"/>
  <c r="E16" i="37"/>
  <c r="O12" i="37"/>
  <c r="Q12" i="37" s="1"/>
  <c r="K12" i="37"/>
  <c r="M12" i="37" s="1"/>
  <c r="E12" i="37"/>
  <c r="E18" i="19"/>
  <c r="E27" i="19" s="1"/>
  <c r="E32" i="19" s="1"/>
  <c r="I38" i="37"/>
  <c r="I41" i="37" s="1"/>
  <c r="V30" i="1"/>
  <c r="Q37" i="36"/>
  <c r="V37" i="36" s="1"/>
  <c r="O14" i="37"/>
  <c r="Q14" i="37" s="1"/>
  <c r="K14" i="37"/>
  <c r="M14" i="37" s="1"/>
  <c r="E14" i="37"/>
  <c r="Q17" i="36"/>
  <c r="V17" i="36" s="1"/>
  <c r="V19" i="1"/>
  <c r="V17" i="1"/>
  <c r="Q22" i="36"/>
  <c r="Q13" i="36"/>
  <c r="V13" i="36" s="1"/>
  <c r="V13" i="1"/>
  <c r="Q15" i="36"/>
  <c r="V15" i="36" s="1"/>
  <c r="V15" i="1"/>
  <c r="K24" i="37"/>
  <c r="M24" i="37" s="1"/>
  <c r="O24" i="37"/>
  <c r="Q24" i="37" s="1"/>
  <c r="V22" i="36" l="1"/>
  <c r="V25" i="36" s="1"/>
  <c r="Q25" i="36"/>
  <c r="O14" i="1"/>
  <c r="Q14" i="1"/>
  <c r="C13" i="37"/>
  <c r="P25" i="37"/>
  <c r="Q25" i="37" s="1"/>
  <c r="K25" i="37"/>
  <c r="M25" i="37" s="1"/>
  <c r="I25" i="37"/>
  <c r="G23" i="37"/>
  <c r="N31" i="36"/>
  <c r="O31" i="36" s="1"/>
  <c r="O24" i="1"/>
  <c r="O26" i="1"/>
  <c r="L33" i="36"/>
  <c r="O33" i="36" s="1"/>
  <c r="L28" i="1"/>
  <c r="L32" i="1" s="1"/>
  <c r="M8" i="37"/>
  <c r="O10" i="1"/>
  <c r="O21" i="1" s="1"/>
  <c r="Q10" i="1"/>
  <c r="C9" i="37"/>
  <c r="J21" i="1"/>
  <c r="J28" i="1" s="1"/>
  <c r="J32" i="1" s="1"/>
  <c r="O32" i="1" s="1"/>
  <c r="G19" i="36"/>
  <c r="G28" i="36" s="1"/>
  <c r="G35" i="36" s="1"/>
  <c r="G39" i="36" s="1"/>
  <c r="J10" i="36"/>
  <c r="V9" i="36"/>
  <c r="S26" i="1"/>
  <c r="F27" i="4"/>
  <c r="Q8" i="37"/>
  <c r="O10" i="36" l="1"/>
  <c r="O19" i="36" s="1"/>
  <c r="O28" i="36" s="1"/>
  <c r="J19" i="36"/>
  <c r="J28" i="36" s="1"/>
  <c r="J35" i="36" s="1"/>
  <c r="S33" i="36"/>
  <c r="V33" i="36" s="1"/>
  <c r="V26" i="1"/>
  <c r="S28" i="1"/>
  <c r="S32" i="1" s="1"/>
  <c r="K9" i="37"/>
  <c r="O9" i="37"/>
  <c r="E9" i="37"/>
  <c r="E20" i="37" s="1"/>
  <c r="E27" i="37" s="1"/>
  <c r="E31" i="37" s="1"/>
  <c r="C20" i="37"/>
  <c r="C27" i="37" s="1"/>
  <c r="C31" i="37" s="1"/>
  <c r="V14" i="1"/>
  <c r="Q14" i="36"/>
  <c r="V14" i="36" s="1"/>
  <c r="V10" i="1"/>
  <c r="V21" i="1" s="1"/>
  <c r="V28" i="1" s="1"/>
  <c r="V32" i="1" s="1"/>
  <c r="Q10" i="36"/>
  <c r="Q21" i="1"/>
  <c r="Q28" i="1" s="1"/>
  <c r="Q32" i="1" s="1"/>
  <c r="O28" i="1"/>
  <c r="K13" i="37"/>
  <c r="M13" i="37" s="1"/>
  <c r="O13" i="37"/>
  <c r="Q13" i="37" s="1"/>
  <c r="E13" i="37"/>
  <c r="P23" i="37"/>
  <c r="K23" i="37"/>
  <c r="M23" i="37" s="1"/>
  <c r="I23" i="37"/>
  <c r="I27" i="37" s="1"/>
  <c r="I31" i="37" s="1"/>
  <c r="G27" i="37"/>
  <c r="G31" i="37" s="1"/>
  <c r="I45" i="37" s="1"/>
  <c r="I47" i="37" s="1"/>
  <c r="Q9" i="37" l="1"/>
  <c r="Q20" i="37" s="1"/>
  <c r="O20" i="37"/>
  <c r="O27" i="37" s="1"/>
  <c r="O31" i="37" s="1"/>
  <c r="Q23" i="37"/>
  <c r="P27" i="37"/>
  <c r="P31" i="37" s="1"/>
  <c r="M9" i="37"/>
  <c r="M20" i="37" s="1"/>
  <c r="M27" i="37" s="1"/>
  <c r="M31" i="37" s="1"/>
  <c r="K20" i="37"/>
  <c r="K27" i="37" s="1"/>
  <c r="K31" i="37" s="1"/>
  <c r="V10" i="36"/>
  <c r="V19" i="36" s="1"/>
  <c r="V28" i="36" s="1"/>
  <c r="V35" i="36" s="1"/>
  <c r="V39" i="36" s="1"/>
  <c r="Q19" i="36"/>
  <c r="Q28" i="36" s="1"/>
  <c r="Q35" i="36" s="1"/>
  <c r="Q39" i="36" s="1"/>
  <c r="J39" i="36"/>
  <c r="O39" i="36" s="1"/>
  <c r="O35" i="36"/>
  <c r="Q27" i="37" l="1"/>
  <c r="Q31" i="37" s="1"/>
</calcChain>
</file>

<file path=xl/comments1.xml><?xml version="1.0" encoding="utf-8"?>
<comments xmlns="http://schemas.openxmlformats.org/spreadsheetml/2006/main">
  <authors>
    <author>Trey Hardy</author>
  </authors>
  <commentList>
    <comment ref="G41" authorId="0" shapeId="0">
      <text>
        <r>
          <rPr>
            <b/>
            <sz val="8"/>
            <color indexed="81"/>
            <rFont val="Tahoma"/>
          </rPr>
          <t>Trey Hardy:</t>
        </r>
        <r>
          <rPr>
            <sz val="8"/>
            <color indexed="81"/>
            <rFont val="Tahoma"/>
          </rPr>
          <t xml:space="preserve">
Add formula next week
</t>
        </r>
      </text>
    </comment>
  </commentList>
</comments>
</file>

<file path=xl/comments2.xml><?xml version="1.0" encoding="utf-8"?>
<comments xmlns="http://schemas.openxmlformats.org/spreadsheetml/2006/main">
  <authors>
    <author>Trey Hardy</author>
  </authors>
  <commentList>
    <comment ref="G34" authorId="0" shapeId="0">
      <text>
        <r>
          <rPr>
            <b/>
            <sz val="8"/>
            <color indexed="81"/>
            <rFont val="Tahoma"/>
          </rPr>
          <t>Trey Hardy:</t>
        </r>
        <r>
          <rPr>
            <sz val="8"/>
            <color indexed="81"/>
            <rFont val="Tahoma"/>
          </rPr>
          <t xml:space="preserve">
Add formula next week
</t>
        </r>
      </text>
    </comment>
  </commentList>
</comments>
</file>

<file path=xl/comments3.xml><?xml version="1.0" encoding="utf-8"?>
<comments xmlns="http://schemas.openxmlformats.org/spreadsheetml/2006/main">
  <authors>
    <author>Patricia Anderson</author>
  </authors>
  <commentList>
    <comment ref="B14" authorId="0" shapeId="0">
      <text>
        <r>
          <rPr>
            <b/>
            <sz val="8"/>
            <color indexed="81"/>
            <rFont val="Tahoma"/>
          </rPr>
          <t>Patricia Anderson:</t>
        </r>
        <r>
          <rPr>
            <sz val="8"/>
            <color indexed="81"/>
            <rFont val="Tahoma"/>
          </rPr>
          <t xml:space="preserve">
Equity Trading</t>
        </r>
      </text>
    </comment>
  </commentList>
</comments>
</file>

<file path=xl/sharedStrings.xml><?xml version="1.0" encoding="utf-8"?>
<sst xmlns="http://schemas.openxmlformats.org/spreadsheetml/2006/main" count="420" uniqueCount="129">
  <si>
    <t>SO2</t>
  </si>
  <si>
    <t>Coal</t>
  </si>
  <si>
    <t>Office of the Chairman</t>
  </si>
  <si>
    <t>Total Commercial</t>
  </si>
  <si>
    <t>Deals</t>
  </si>
  <si>
    <t>Identified</t>
  </si>
  <si>
    <t>Forecast</t>
  </si>
  <si>
    <t>Total</t>
  </si>
  <si>
    <t>Plan</t>
  </si>
  <si>
    <t>Business Team</t>
  </si>
  <si>
    <t>Other Interest Related Charges</t>
  </si>
  <si>
    <t>Overview</t>
  </si>
  <si>
    <t>Variance</t>
  </si>
  <si>
    <t>Margin</t>
  </si>
  <si>
    <t>Direct</t>
  </si>
  <si>
    <t>Capital</t>
  </si>
  <si>
    <t>Charge</t>
  </si>
  <si>
    <t>Allocated</t>
  </si>
  <si>
    <t>COAL</t>
  </si>
  <si>
    <t>EQU_TRD</t>
  </si>
  <si>
    <t>WEATHER</t>
  </si>
  <si>
    <t>GROUP</t>
  </si>
  <si>
    <t>M.QTD</t>
  </si>
  <si>
    <t>Group</t>
  </si>
  <si>
    <t>FTA</t>
  </si>
  <si>
    <t>GROSS_MARGIN</t>
  </si>
  <si>
    <t>Direct Expenses</t>
  </si>
  <si>
    <t>Commercial</t>
  </si>
  <si>
    <t>Other</t>
  </si>
  <si>
    <t>TOT_OPS_EXPENSES</t>
  </si>
  <si>
    <t>CAP_CHRG</t>
  </si>
  <si>
    <t>TOT_ALLOCATION</t>
  </si>
  <si>
    <t>Capital Charge</t>
  </si>
  <si>
    <t>Explanation</t>
  </si>
  <si>
    <t>Expenses</t>
  </si>
  <si>
    <t>Capital Charge Offset</t>
  </si>
  <si>
    <t>Variances from Plan</t>
  </si>
  <si>
    <t>ACTUAL</t>
  </si>
  <si>
    <t>Variance to Plan</t>
  </si>
  <si>
    <t>Variance Explanation</t>
  </si>
  <si>
    <t>Actual</t>
  </si>
  <si>
    <t>Components of Earnings Before Tax</t>
  </si>
  <si>
    <t>INSURANCE</t>
  </si>
  <si>
    <t>PLAN2000</t>
  </si>
  <si>
    <t>Emissions</t>
  </si>
  <si>
    <t>TOT_COM_HC</t>
  </si>
  <si>
    <t>TOT_NC_HC</t>
  </si>
  <si>
    <t>ENA</t>
  </si>
  <si>
    <t>Operating</t>
  </si>
  <si>
    <t>Operating Expenses</t>
  </si>
  <si>
    <t>Financial Trading</t>
  </si>
  <si>
    <t>ECT_INV_IRFX</t>
  </si>
  <si>
    <t>Accruals</t>
  </si>
  <si>
    <t>MPR Change:</t>
  </si>
  <si>
    <t>MPR</t>
  </si>
  <si>
    <t>Allocated Expenses</t>
  </si>
  <si>
    <t>EBT</t>
  </si>
  <si>
    <t>Interest Expense/(Income)</t>
  </si>
  <si>
    <t>GRM - New Products</t>
  </si>
  <si>
    <t>DEALS IDENTIFIED</t>
  </si>
  <si>
    <t>(1) Excludes Cap. Charge &amp; Operating Costs</t>
  </si>
  <si>
    <t xml:space="preserve">Other </t>
  </si>
  <si>
    <t>Other Expenses:</t>
  </si>
  <si>
    <t xml:space="preserve"> </t>
  </si>
  <si>
    <t>Weather</t>
  </si>
  <si>
    <t>Actuals - September Team Report</t>
  </si>
  <si>
    <t>Plan - September</t>
  </si>
  <si>
    <t>3RD QUARTER 2000 HEADCOUNT</t>
  </si>
  <si>
    <t>Global Liquids</t>
  </si>
  <si>
    <t>Cap Charge Offset</t>
  </si>
  <si>
    <t>ENRON GLOBAL MARKETS</t>
  </si>
  <si>
    <t>Global Risk Markets</t>
  </si>
  <si>
    <r>
      <t>Expenses</t>
    </r>
    <r>
      <rPr>
        <b/>
        <vertAlign val="superscript"/>
        <sz val="9"/>
        <rFont val="Arial Narrow"/>
        <family val="2"/>
      </rPr>
      <t>(1)</t>
    </r>
  </si>
  <si>
    <r>
      <t>DPR</t>
    </r>
    <r>
      <rPr>
        <b/>
        <vertAlign val="superscript"/>
        <sz val="9"/>
        <rFont val="Arial Narrow"/>
        <family val="2"/>
      </rPr>
      <t>(1)</t>
    </r>
  </si>
  <si>
    <t>Global Markets EBIT</t>
  </si>
  <si>
    <t>Global Markets Pre-tax Income</t>
  </si>
  <si>
    <t>Subtotal Gross Margin</t>
  </si>
  <si>
    <t>EGM Gross Margin</t>
  </si>
  <si>
    <t>Total Headcount</t>
  </si>
  <si>
    <t>Liquids</t>
  </si>
  <si>
    <t>(1) Includes capital charge, direct, and allocated expenses</t>
  </si>
  <si>
    <t>Equity Trading</t>
  </si>
  <si>
    <t>Soft Commodities Trading</t>
  </si>
  <si>
    <t>Grain Trading</t>
  </si>
  <si>
    <t>FX / Int Rate Trading</t>
  </si>
  <si>
    <t>Meat Trading</t>
  </si>
  <si>
    <t>Enron Global Markets</t>
  </si>
  <si>
    <t>EBIT</t>
  </si>
  <si>
    <t>(1) Includes Capital Charge &amp; Operating, Direct, and Allocated Expenses</t>
  </si>
  <si>
    <r>
      <t>Expenses</t>
    </r>
    <r>
      <rPr>
        <b/>
        <vertAlign val="superscript"/>
        <sz val="10"/>
        <color indexed="10"/>
        <rFont val="Arial Narrow"/>
        <family val="2"/>
      </rPr>
      <t xml:space="preserve"> (1)</t>
    </r>
  </si>
  <si>
    <t>Transportation</t>
  </si>
  <si>
    <t>LNG</t>
  </si>
  <si>
    <t>Middle East</t>
  </si>
  <si>
    <t>Puerto Rico</t>
  </si>
  <si>
    <t>Group Allocated to Teams</t>
  </si>
  <si>
    <t>Support Cost Allocated to Teams</t>
  </si>
  <si>
    <t>Subtotal Commercial</t>
  </si>
  <si>
    <t>Change in EGM Pre-tax Income</t>
  </si>
  <si>
    <t>Total Gross Margin Change</t>
  </si>
  <si>
    <t>Group Support Cost</t>
  </si>
  <si>
    <t>Subtotal LNG / ME / PR</t>
  </si>
  <si>
    <t>Subtotal</t>
  </si>
  <si>
    <t>DPR Change</t>
  </si>
  <si>
    <t>Operating Expense</t>
  </si>
  <si>
    <t>MPR Change</t>
  </si>
  <si>
    <t>Commercial Expense</t>
  </si>
  <si>
    <t>Other Margin Changes</t>
  </si>
  <si>
    <t>Total Change</t>
  </si>
  <si>
    <t>Prior Week:</t>
  </si>
  <si>
    <t>This Week:</t>
  </si>
  <si>
    <t>Change:</t>
  </si>
  <si>
    <t>Total Margin - QTD</t>
  </si>
  <si>
    <t>Total Expense</t>
  </si>
  <si>
    <t>Margin change from: 10/26/00</t>
  </si>
  <si>
    <t>Expense changes from: 10/26/00</t>
  </si>
  <si>
    <r>
      <t>Expenses</t>
    </r>
    <r>
      <rPr>
        <vertAlign val="superscript"/>
        <sz val="8"/>
        <rFont val="Arial Narrow"/>
        <family val="2"/>
      </rPr>
      <t xml:space="preserve"> (1)</t>
    </r>
  </si>
  <si>
    <t>Convertible Trading</t>
  </si>
  <si>
    <t>Change - Fav / (Unfav)</t>
  </si>
  <si>
    <t>1ST QTR 2001 EARNINGS ESTIMATE</t>
  </si>
  <si>
    <t>1st QUARTER 2001 EARNINGS ESTIMATE</t>
  </si>
  <si>
    <t>1st QUARTER 2001 DETAIL OF GROSS MARGIN</t>
  </si>
  <si>
    <t>1st QUARTER 2001 EXPENSES</t>
  </si>
  <si>
    <t>1st QUARTER 2001 CAPITAL CHARGE &amp; ALLOCATED EXPENSES</t>
  </si>
  <si>
    <t>2001 EARNINGS ESTIMATE</t>
  </si>
  <si>
    <t>1st QUARTER YTD</t>
  </si>
  <si>
    <t>1st QUARTER 2001 DETAIL OF GROSS MARGIN - WEEKLY CHANGE</t>
  </si>
  <si>
    <t>1st QUARTER 2001 EXPENSES - WEEKLY CHANGE</t>
  </si>
  <si>
    <t>Wharton School Donation</t>
  </si>
  <si>
    <t>Results based on activity through January 11, 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</si>
</sst>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3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mmmm\ d\,\ yyyy"/>
    <numFmt numFmtId="169" formatCode="_(&quot;$&quot;* #,##0_);_(&quot;$&quot;* \(#,##0\);_(&quot;$&quot;* &quot;-&quot;??_);_(@_)"/>
    <numFmt numFmtId="189" formatCode="#,##0.0_);\(#,##0.0\)"/>
    <numFmt numFmtId="197" formatCode="0.000"/>
    <numFmt numFmtId="217" formatCode="0_)"/>
    <numFmt numFmtId="229" formatCode="General_)"/>
    <numFmt numFmtId="272" formatCode="_-&quot;\&quot;* #,##0_-;\-&quot;\&quot;* #,##0_-;_-&quot;\&quot;* &quot;-&quot;_-;_-@_-"/>
    <numFmt numFmtId="273" formatCode="_-* #,##0_-;\-* #,##0_-;_-* &quot;-&quot;_-;_-@_-"/>
    <numFmt numFmtId="274" formatCode="_-&quot;\&quot;* #,##0.00_-;\-&quot;\&quot;* #,##0.00_-;_-&quot;\&quot;* &quot;-&quot;??_-;_-@_-"/>
    <numFmt numFmtId="275" formatCode="_-* #,##0.00_-;\-* #,##0.00_-;_-* &quot;-&quot;??_-;_-@_-"/>
    <numFmt numFmtId="281" formatCode="&quot;\&quot;#,##0;[Red]&quot;\&quot;\-#,##0"/>
    <numFmt numFmtId="282" formatCode="&quot;\&quot;#,##0.00;&quot;\&quot;\-#,##0.00"/>
    <numFmt numFmtId="283" formatCode="&quot;\&quot;#,##0.00;[Red]&quot;\&quot;\-#,##0.00"/>
    <numFmt numFmtId="284" formatCode="_ &quot;\&quot;* #,##0_ ;_ &quot;\&quot;* \-#,##0_ ;_ &quot;\&quot;* &quot;-&quot;_ ;_ @_ "/>
    <numFmt numFmtId="285" formatCode="_ * #,##0_ ;_ * \-#,##0_ ;_ * &quot;-&quot;_ ;_ @_ "/>
    <numFmt numFmtId="286" formatCode="_ &quot;\&quot;* #,##0.00_ ;_ &quot;\&quot;* \-#,##0.00_ ;_ &quot;\&quot;* &quot;-&quot;??_ ;_ @_ "/>
    <numFmt numFmtId="287" formatCode="_ * #,##0.00_ ;_ * \-#,##0.00_ ;_ * &quot;-&quot;??_ ;_ @_ "/>
    <numFmt numFmtId="294" formatCode="_ &quot;\&quot;* #,##0.00_ ;_ &quot;\&quot;* &quot;\&quot;\-#,##0.00_ ;_ &quot;\&quot;* &quot;-&quot;??_ ;_ @_ "/>
    <numFmt numFmtId="298" formatCode="&quot;\&quot;#,##0.00;&quot;\&quot;&quot;\&quot;&quot;\&quot;\-#,##0.00"/>
    <numFmt numFmtId="300" formatCode="_ &quot;\&quot;* #,##0_ ;_ &quot;\&quot;* &quot;\&quot;&quot;\&quot;\-#,##0_ ;_ &quot;\&quot;* &quot;-&quot;_ ;_ @_ "/>
    <numFmt numFmtId="301" formatCode="_ * #,##0_ ;_ * &quot;\&quot;&quot;\&quot;\-#,##0_ ;_ * &quot;-&quot;_ ;_ @_ "/>
    <numFmt numFmtId="302" formatCode="_ &quot;\&quot;* #,##0.00_ ;_ &quot;\&quot;* &quot;\&quot;&quot;\&quot;\-#,##0.00_ ;_ &quot;\&quot;* &quot;-&quot;??_ ;_ @_ "/>
    <numFmt numFmtId="305" formatCode="&quot;\&quot;#,##0;[Red]&quot;\&quot;&quot;\&quot;&quot;\&quot;&quot;\&quot;\-#,##0"/>
    <numFmt numFmtId="313" formatCode="#,##0;[Red]&quot;-&quot;#,##0"/>
    <numFmt numFmtId="315" formatCode="#,##0.00;[Red]&quot;-&quot;#,##0.00"/>
    <numFmt numFmtId="317" formatCode="#&quot;\&quot;&quot;\&quot;&quot;\&quot;&quot;\&quot;\ ??/??"/>
    <numFmt numFmtId="324" formatCode="yy&quot;\&quot;&quot;\&quot;&quot;\&quot;\-mm&quot;\&quot;&quot;\&quot;&quot;\&quot;\-dd&quot;\&quot;&quot;\&quot;&quot;\&quot;&quot;\&quot;\ h:mm"/>
    <numFmt numFmtId="329" formatCode="_ &quot;\&quot;* #,##0_ ;_ &quot;\&quot;* &quot;\&quot;&quot;\&quot;&quot;\&quot;&quot;\&quot;\-#,##0_ ;_ &quot;\&quot;* &quot;-&quot;_ ;_ @_ "/>
    <numFmt numFmtId="330" formatCode="_ * #,##0_ ;_ * &quot;\&quot;&quot;\&quot;&quot;\&quot;&quot;\&quot;\-#,##0_ ;_ * &quot;-&quot;_ ;_ @_ "/>
    <numFmt numFmtId="331" formatCode="_ &quot;\&quot;* #,##0.00_ ;_ &quot;\&quot;* &quot;\&quot;&quot;\&quot;&quot;\&quot;&quot;\&quot;\-#,##0.00_ ;_ &quot;\&quot;* &quot;-&quot;??_ ;_ @_ "/>
    <numFmt numFmtId="332" formatCode="_ * #,##0.00_ ;_ * &quot;\&quot;&quot;\&quot;&quot;\&quot;&quot;\&quot;\-#,##0.00_ ;_ * &quot;-&quot;??_ ;_ @_ "/>
    <numFmt numFmtId="333" formatCode="&quot;\&quot;#,##0;&quot;\&quot;&quot;\&quot;&quot;\&quot;&quot;\&quot;&quot;\&quot;&quot;\&quot;\-#,##0"/>
    <numFmt numFmtId="336" formatCode="&quot;\&quot;#,##0.00;[Red]&quot;\&quot;&quot;\&quot;&quot;\&quot;&quot;\&quot;&quot;\&quot;&quot;\&quot;\-#,##0.00"/>
    <numFmt numFmtId="337" formatCode="_ &quot;\&quot;* #,##0_ ;_ &quot;\&quot;* &quot;\&quot;&quot;\&quot;&quot;\&quot;&quot;\&quot;&quot;\&quot;\-#,##0_ ;_ &quot;\&quot;* &quot;-&quot;_ ;_ @_ "/>
    <numFmt numFmtId="339" formatCode="_ &quot;\&quot;* #,##0.00_ ;_ &quot;\&quot;* &quot;\&quot;&quot;\&quot;&quot;\&quot;&quot;\&quot;&quot;\&quot;\-#,##0.00_ ;_ &quot;\&quot;* &quot;-&quot;??_ ;_ @_ "/>
    <numFmt numFmtId="341" formatCode="&quot;\&quot;#,##0;&quot;\&quot;&quot;\&quot;&quot;\&quot;&quot;\&quot;&quot;\&quot;&quot;\&quot;&quot;\&quot;\-#,##0"/>
    <numFmt numFmtId="344" formatCode="&quot;\&quot;#,##0.00;[Red]&quot;\&quot;&quot;\&quot;&quot;\&quot;&quot;\&quot;&quot;\&quot;&quot;\&quot;&quot;\&quot;\-#,##0.00"/>
    <numFmt numFmtId="345" formatCode="_ &quot;\&quot;* #,##0_ ;_ &quot;\&quot;* &quot;\&quot;&quot;\&quot;&quot;\&quot;&quot;\&quot;&quot;\&quot;&quot;\&quot;\-#,##0_ ;_ &quot;\&quot;* &quot;-&quot;_ ;_ @_ "/>
    <numFmt numFmtId="351" formatCode="&quot;\&quot;#,##0.00;&quot;\&quot;&quot;\&quot;&quot;\&quot;&quot;\&quot;&quot;\&quot;&quot;\&quot;&quot;\&quot;&quot;\&quot;\-#,##0.00"/>
    <numFmt numFmtId="352" formatCode="&quot;\&quot;#,##0.00;[Red]&quot;\&quot;&quot;\&quot;&quot;\&quot;&quot;\&quot;&quot;\&quot;&quot;\&quot;&quot;\&quot;&quot;\&quot;\-#,##0.00"/>
    <numFmt numFmtId="353" formatCode="_ &quot;\&quot;* #,##0_ ;_ &quot;\&quot;* &quot;\&quot;&quot;\&quot;&quot;\&quot;&quot;\&quot;&quot;\&quot;&quot;\&quot;&quot;\&quot;\-#,##0_ ;_ &quot;\&quot;* &quot;-&quot;_ ;_ @_ "/>
    <numFmt numFmtId="356" formatCode="_ * #,##0.00_ ;_ * &quot;\&quot;&quot;\&quot;&quot;\&quot;&quot;\&quot;&quot;\&quot;&quot;\&quot;&quot;\&quot;\-#,##0.00_ ;_ * &quot;-&quot;??_ ;_ @_ "/>
    <numFmt numFmtId="357" formatCode="&quot;\&quot;#,##0;&quot;\&quot;&quot;\&quot;&quot;\&quot;&quot;\&quot;&quot;\&quot;&quot;\&quot;&quot;\&quot;&quot;\&quot;&quot;\&quot;\-#,##0"/>
    <numFmt numFmtId="358" formatCode="&quot;\&quot;#,##0;[Red]&quot;\&quot;&quot;\&quot;&quot;\&quot;&quot;\&quot;&quot;\&quot;&quot;\&quot;&quot;\&quot;&quot;\&quot;&quot;\&quot;\-#,##0"/>
    <numFmt numFmtId="359" formatCode="&quot;\&quot;#,##0.00;&quot;\&quot;&quot;\&quot;&quot;\&quot;&quot;\&quot;&quot;\&quot;&quot;\&quot;&quot;\&quot;&quot;\&quot;&quot;\&quot;\-#,##0.00"/>
  </numFmts>
  <fonts count="83">
    <font>
      <sz val="10"/>
      <name val="Arial"/>
    </font>
    <font>
      <sz val="10"/>
      <name val="Arial"/>
    </font>
    <font>
      <sz val="8"/>
      <name val="Arial"/>
      <family val="2"/>
    </font>
    <font>
      <b/>
      <sz val="8"/>
      <name val="Arial"/>
      <family val="2"/>
    </font>
    <font>
      <b/>
      <sz val="12"/>
      <color indexed="9"/>
      <name val="Arial"/>
      <family val="2"/>
    </font>
    <font>
      <b/>
      <sz val="11"/>
      <color indexed="9"/>
      <name val="Arial"/>
      <family val="2"/>
    </font>
    <font>
      <b/>
      <sz val="10"/>
      <color indexed="9"/>
      <name val="Arial"/>
      <family val="2"/>
    </font>
    <font>
      <sz val="6"/>
      <name val="Arial"/>
      <family val="2"/>
    </font>
    <font>
      <sz val="6"/>
      <name val="Arial Narrow"/>
      <family val="2"/>
    </font>
    <font>
      <sz val="8"/>
      <name val="Arial Narrow"/>
      <family val="2"/>
    </font>
    <font>
      <b/>
      <sz val="12"/>
      <color indexed="9"/>
      <name val="Arial Narrow"/>
      <family val="2"/>
    </font>
    <font>
      <b/>
      <sz val="11"/>
      <color indexed="9"/>
      <name val="Arial Narrow"/>
      <family val="2"/>
    </font>
    <font>
      <b/>
      <sz val="10"/>
      <color indexed="9"/>
      <name val="Arial Narrow"/>
      <family val="2"/>
    </font>
    <font>
      <b/>
      <sz val="8"/>
      <name val="Arial Narrow"/>
      <family val="2"/>
    </font>
    <font>
      <b/>
      <sz val="10"/>
      <name val="Arial Narrow"/>
      <family val="2"/>
    </font>
    <font>
      <sz val="10"/>
      <name val="Arial"/>
      <family val="2"/>
    </font>
    <font>
      <sz val="10"/>
      <name val="Arial Narrow"/>
      <family val="2"/>
    </font>
    <font>
      <sz val="9"/>
      <name val="Arial Narrow"/>
      <family val="2"/>
    </font>
    <font>
      <b/>
      <sz val="9"/>
      <name val="Arial Narrow"/>
      <family val="2"/>
    </font>
    <font>
      <b/>
      <sz val="9"/>
      <name val="Arial"/>
      <family val="2"/>
    </font>
    <font>
      <sz val="9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sz val="10"/>
      <name val="Tahoma"/>
    </font>
    <font>
      <sz val="11"/>
      <name val="돋움"/>
      <family val="3"/>
      <charset val="129"/>
    </font>
    <font>
      <sz val="10"/>
      <name val="Geneva"/>
      <family val="2"/>
    </font>
    <font>
      <sz val="10"/>
      <name val="Book Antiqua"/>
      <family val="1"/>
    </font>
    <font>
      <sz val="10"/>
      <name val="Times New Roman"/>
    </font>
    <font>
      <sz val="10"/>
      <name val="Times New Roman"/>
      <family val="1"/>
    </font>
    <font>
      <sz val="10"/>
      <name val="MS Sans Serif"/>
      <family val="2"/>
    </font>
    <font>
      <sz val="10"/>
      <name val="Advisor SSi"/>
      <family val="1"/>
    </font>
    <font>
      <sz val="10"/>
      <name val="MS Sans Serif"/>
    </font>
    <font>
      <sz val="10"/>
      <name val="Helv"/>
      <family val="2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sz val="12"/>
      <name val="Arial"/>
      <family val="2"/>
    </font>
    <font>
      <sz val="12"/>
      <name val="Helv"/>
      <family val="2"/>
    </font>
    <font>
      <sz val="12"/>
      <name val="Courier"/>
      <family val="3"/>
    </font>
    <font>
      <sz val="8"/>
      <name val="Courier"/>
      <family val="3"/>
    </font>
    <font>
      <sz val="8"/>
      <name val="Arial"/>
    </font>
    <font>
      <sz val="10"/>
      <name val="Courier"/>
    </font>
    <font>
      <sz val="8"/>
      <name val="Arial"/>
    </font>
    <font>
      <sz val="11"/>
      <name val="Arial"/>
    </font>
    <font>
      <sz val="8"/>
      <name val="MS Sans Serif"/>
      <family val="2"/>
    </font>
    <font>
      <sz val="10"/>
      <name val="Tms Rmn"/>
    </font>
    <font>
      <sz val="12"/>
      <name val="Times New Roman"/>
      <family val="1"/>
    </font>
    <font>
      <sz val="10"/>
      <name val="Courier"/>
      <family val="3"/>
    </font>
    <font>
      <sz val="10"/>
      <name val="Univers (W1)"/>
      <family val="2"/>
    </font>
    <font>
      <sz val="14"/>
      <name val="AngsanaUPC"/>
      <family val="1"/>
    </font>
    <font>
      <sz val="12"/>
      <name val="EucrosiaUPC"/>
      <family val="1"/>
    </font>
    <font>
      <sz val="14"/>
      <name val="CordiaUPC"/>
      <family val="1"/>
    </font>
    <font>
      <sz val="14"/>
      <name val="FreesiaUPC"/>
      <family val="1"/>
    </font>
    <font>
      <sz val="8.5"/>
      <name val="MS Sans Serif"/>
      <family val="2"/>
    </font>
    <font>
      <sz val="12"/>
      <name val="Arial"/>
    </font>
    <font>
      <sz val="11"/>
      <name val="Book Antiqua"/>
      <family val="1"/>
    </font>
    <font>
      <sz val="8"/>
      <name val="Tms Rmn"/>
    </font>
    <font>
      <sz val="10"/>
      <name val="TimesNewRomanPS"/>
      <family val="1"/>
    </font>
    <font>
      <sz val="8"/>
      <color indexed="12"/>
      <name val="Arial"/>
      <family val="2"/>
    </font>
    <font>
      <sz val="12"/>
      <name val="바탕체"/>
      <family val="1"/>
      <charset val="129"/>
    </font>
    <font>
      <sz val="10"/>
      <name val="굴림체"/>
      <family val="3"/>
      <charset val="129"/>
    </font>
    <font>
      <sz val="12"/>
      <name val="굴림체"/>
      <family val="3"/>
      <charset val="129"/>
    </font>
    <font>
      <sz val="12"/>
      <name val="돋움체"/>
      <family val="3"/>
      <charset val="129"/>
    </font>
    <font>
      <sz val="11"/>
      <name val="바탕체"/>
      <family val="1"/>
      <charset val="129"/>
    </font>
    <font>
      <sz val="11"/>
      <name val="굴림체"/>
      <family val="3"/>
      <charset val="129"/>
    </font>
    <font>
      <b/>
      <sz val="10"/>
      <name val="Arial"/>
      <family val="2"/>
    </font>
    <font>
      <b/>
      <vertAlign val="superscript"/>
      <sz val="9"/>
      <name val="Arial Narrow"/>
      <family val="2"/>
    </font>
    <font>
      <b/>
      <sz val="12"/>
      <color indexed="10"/>
      <name val="Arial Narrow"/>
      <family val="2"/>
    </font>
    <font>
      <b/>
      <sz val="6"/>
      <name val="Arial Narrow"/>
      <family val="2"/>
    </font>
    <font>
      <b/>
      <sz val="12"/>
      <color indexed="8"/>
      <name val="Arial Narrow"/>
      <family val="2"/>
    </font>
    <font>
      <sz val="8"/>
      <color indexed="8"/>
      <name val="Arial Narrow"/>
      <family val="2"/>
    </font>
    <font>
      <b/>
      <sz val="22"/>
      <color indexed="8"/>
      <name val="Arial"/>
      <family val="2"/>
    </font>
    <font>
      <b/>
      <sz val="11"/>
      <color indexed="8"/>
      <name val="Arial"/>
      <family val="2"/>
    </font>
    <font>
      <b/>
      <sz val="11"/>
      <color indexed="8"/>
      <name val="Arial Narrow"/>
      <family val="2"/>
    </font>
    <font>
      <b/>
      <sz val="10"/>
      <color indexed="8"/>
      <name val="Arial"/>
      <family val="2"/>
    </font>
    <font>
      <b/>
      <sz val="10"/>
      <color indexed="8"/>
      <name val="Arial Narrow"/>
      <family val="2"/>
    </font>
    <font>
      <sz val="8"/>
      <color indexed="10"/>
      <name val="Arial Narrow"/>
      <family val="2"/>
    </font>
    <font>
      <b/>
      <sz val="10"/>
      <color indexed="10"/>
      <name val="Arial Narrow"/>
      <family val="2"/>
    </font>
    <font>
      <b/>
      <sz val="10"/>
      <color indexed="12"/>
      <name val="Arial Narrow"/>
      <family val="2"/>
    </font>
    <font>
      <b/>
      <sz val="11"/>
      <name val="Arial Narrow"/>
      <family val="2"/>
    </font>
    <font>
      <b/>
      <vertAlign val="superscript"/>
      <sz val="10"/>
      <color indexed="10"/>
      <name val="Arial Narrow"/>
      <family val="2"/>
    </font>
    <font>
      <i/>
      <sz val="9"/>
      <color indexed="12"/>
      <name val="Arial Narrow"/>
      <family val="2"/>
    </font>
    <font>
      <vertAlign val="superscript"/>
      <sz val="8"/>
      <name val="Arial Narrow"/>
      <family val="2"/>
    </font>
    <font>
      <b/>
      <i/>
      <sz val="9"/>
      <color indexed="12"/>
      <name val="Arial Narrow"/>
      <family val="2"/>
    </font>
  </fonts>
  <fills count="8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8"/>
        <bgColor indexed="64"/>
      </patternFill>
    </fill>
  </fills>
  <borders count="40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0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6" fontId="24" fillId="0" borderId="0">
      <protection locked="0"/>
    </xf>
    <xf numFmtId="339" fontId="24" fillId="0" borderId="0">
      <protection locked="0"/>
    </xf>
    <xf numFmtId="0" fontId="33" fillId="0" borderId="0" applyNumberFormat="0" applyFill="0" applyBorder="0" applyAlignment="0" applyProtection="0"/>
    <xf numFmtId="324" fontId="24" fillId="0" borderId="0">
      <protection locked="0"/>
    </xf>
    <xf numFmtId="324" fontId="24" fillId="0" borderId="0">
      <protection locked="0"/>
    </xf>
    <xf numFmtId="0" fontId="34" fillId="0" borderId="1" applyNumberFormat="0" applyFill="0" applyAlignment="0" applyProtection="0"/>
    <xf numFmtId="317" fontId="24" fillId="0" borderId="0"/>
    <xf numFmtId="324" fontId="24" fillId="0" borderId="3">
      <protection locked="0"/>
    </xf>
    <xf numFmtId="37" fontId="39" fillId="4" borderId="0" applyNumberFormat="0" applyBorder="0" applyAlignment="0" applyProtection="0"/>
    <xf numFmtId="37" fontId="39" fillId="0" borderId="0"/>
    <xf numFmtId="37" fontId="2" fillId="5" borderId="0" applyNumberFormat="0" applyBorder="0" applyAlignment="0" applyProtection="0"/>
    <xf numFmtId="3" fontId="57" fillId="0" borderId="1" applyProtection="0"/>
    <xf numFmtId="313" fontId="58" fillId="0" borderId="0" applyFont="0" applyFill="0" applyBorder="0" applyAlignment="0" applyProtection="0"/>
    <xf numFmtId="315" fontId="58" fillId="0" borderId="0" applyFont="0" applyFill="0" applyBorder="0" applyAlignment="0" applyProtection="0"/>
    <xf numFmtId="283" fontId="58" fillId="0" borderId="0" applyFont="0" applyFill="0" applyBorder="0" applyAlignment="0" applyProtection="0"/>
    <xf numFmtId="281" fontId="58" fillId="0" borderId="0" applyFont="0" applyFill="0" applyBorder="0" applyAlignment="0" applyProtection="0"/>
    <xf numFmtId="0" fontId="29" fillId="0" borderId="0"/>
  </cellStyleXfs>
  <cellXfs count="338">
    <xf numFmtId="0" fontId="0" fillId="0" borderId="0" xfId="0"/>
    <xf numFmtId="0" fontId="2" fillId="0" borderId="0" xfId="0" applyFont="1"/>
    <xf numFmtId="0" fontId="2" fillId="0" borderId="0" xfId="0" applyFont="1" applyBorder="1"/>
    <xf numFmtId="165" fontId="2" fillId="0" borderId="0" xfId="1" applyNumberFormat="1" applyFont="1"/>
    <xf numFmtId="0" fontId="2" fillId="0" borderId="4" xfId="0" applyFont="1" applyBorder="1"/>
    <xf numFmtId="0" fontId="2" fillId="0" borderId="5" xfId="0" applyFont="1" applyBorder="1"/>
    <xf numFmtId="0" fontId="3" fillId="0" borderId="5" xfId="0" applyFont="1" applyBorder="1" applyAlignment="1">
      <alignment horizontal="center"/>
    </xf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7" fillId="0" borderId="0" xfId="0" applyFont="1"/>
    <xf numFmtId="17" fontId="7" fillId="0" borderId="0" xfId="0" applyNumberFormat="1" applyFont="1" applyAlignment="1">
      <alignment horizontal="left"/>
    </xf>
    <xf numFmtId="0" fontId="8" fillId="0" borderId="0" xfId="0" applyFont="1"/>
    <xf numFmtId="17" fontId="8" fillId="0" borderId="0" xfId="0" applyNumberFormat="1" applyFont="1" applyAlignment="1">
      <alignment horizontal="left"/>
    </xf>
    <xf numFmtId="0" fontId="9" fillId="0" borderId="0" xfId="0" applyFont="1"/>
    <xf numFmtId="0" fontId="9" fillId="0" borderId="4" xfId="0" applyFont="1" applyBorder="1"/>
    <xf numFmtId="0" fontId="9" fillId="0" borderId="5" xfId="0" applyFont="1" applyBorder="1"/>
    <xf numFmtId="0" fontId="9" fillId="0" borderId="8" xfId="0" applyFont="1" applyBorder="1"/>
    <xf numFmtId="0" fontId="9" fillId="0" borderId="9" xfId="0" applyFont="1" applyBorder="1"/>
    <xf numFmtId="0" fontId="9" fillId="0" borderId="0" xfId="0" applyFont="1" applyBorder="1"/>
    <xf numFmtId="0" fontId="9" fillId="0" borderId="6" xfId="0" applyFont="1" applyBorder="1"/>
    <xf numFmtId="0" fontId="9" fillId="0" borderId="7" xfId="0" applyFont="1" applyBorder="1"/>
    <xf numFmtId="165" fontId="9" fillId="0" borderId="0" xfId="1" applyNumberFormat="1" applyFont="1" applyBorder="1"/>
    <xf numFmtId="165" fontId="9" fillId="0" borderId="0" xfId="1" applyNumberFormat="1" applyFont="1"/>
    <xf numFmtId="0" fontId="9" fillId="0" borderId="10" xfId="0" applyFont="1" applyBorder="1"/>
    <xf numFmtId="165" fontId="9" fillId="0" borderId="11" xfId="1" applyNumberFormat="1" applyFont="1" applyBorder="1"/>
    <xf numFmtId="165" fontId="9" fillId="0" borderId="2" xfId="1" applyNumberFormat="1" applyFont="1" applyBorder="1"/>
    <xf numFmtId="165" fontId="9" fillId="0" borderId="12" xfId="1" applyNumberFormat="1" applyFont="1" applyBorder="1"/>
    <xf numFmtId="0" fontId="9" fillId="0" borderId="11" xfId="0" applyFont="1" applyBorder="1"/>
    <xf numFmtId="0" fontId="9" fillId="0" borderId="2" xfId="0" applyFont="1" applyBorder="1"/>
    <xf numFmtId="0" fontId="9" fillId="0" borderId="12" xfId="0" applyFont="1" applyBorder="1"/>
    <xf numFmtId="0" fontId="15" fillId="0" borderId="0" xfId="0" applyFont="1"/>
    <xf numFmtId="0" fontId="16" fillId="0" borderId="0" xfId="0" applyFont="1"/>
    <xf numFmtId="0" fontId="0" fillId="0" borderId="0" xfId="0" applyBorder="1"/>
    <xf numFmtId="0" fontId="17" fillId="0" borderId="0" xfId="0" applyFont="1"/>
    <xf numFmtId="0" fontId="17" fillId="0" borderId="0" xfId="0" applyFont="1" applyBorder="1"/>
    <xf numFmtId="165" fontId="17" fillId="0" borderId="0" xfId="1" applyNumberFormat="1" applyFont="1" applyBorder="1"/>
    <xf numFmtId="165" fontId="17" fillId="0" borderId="0" xfId="1" applyNumberFormat="1" applyFont="1"/>
    <xf numFmtId="0" fontId="18" fillId="4" borderId="5" xfId="0" applyFont="1" applyFill="1" applyBorder="1" applyAlignment="1">
      <alignment horizontal="left" indent="1"/>
    </xf>
    <xf numFmtId="169" fontId="18" fillId="4" borderId="9" xfId="2" applyNumberFormat="1" applyFont="1" applyFill="1" applyBorder="1"/>
    <xf numFmtId="169" fontId="18" fillId="4" borderId="0" xfId="2" applyNumberFormat="1" applyFont="1" applyFill="1" applyBorder="1"/>
    <xf numFmtId="169" fontId="18" fillId="4" borderId="13" xfId="2" applyNumberFormat="1" applyFont="1" applyFill="1" applyBorder="1"/>
    <xf numFmtId="169" fontId="18" fillId="4" borderId="5" xfId="2" applyNumberFormat="1" applyFont="1" applyFill="1" applyBorder="1"/>
    <xf numFmtId="165" fontId="18" fillId="4" borderId="9" xfId="1" applyNumberFormat="1" applyFont="1" applyFill="1" applyBorder="1"/>
    <xf numFmtId="165" fontId="18" fillId="4" borderId="0" xfId="1" applyNumberFormat="1" applyFont="1" applyFill="1" applyBorder="1"/>
    <xf numFmtId="165" fontId="18" fillId="4" borderId="13" xfId="1" applyNumberFormat="1" applyFont="1" applyFill="1" applyBorder="1"/>
    <xf numFmtId="165" fontId="18" fillId="4" borderId="5" xfId="1" applyNumberFormat="1" applyFont="1" applyFill="1" applyBorder="1"/>
    <xf numFmtId="169" fontId="19" fillId="4" borderId="9" xfId="2" applyNumberFormat="1" applyFont="1" applyFill="1" applyBorder="1"/>
    <xf numFmtId="169" fontId="19" fillId="4" borderId="0" xfId="2" applyNumberFormat="1" applyFont="1" applyFill="1" applyBorder="1"/>
    <xf numFmtId="169" fontId="19" fillId="4" borderId="13" xfId="2" applyNumberFormat="1" applyFont="1" applyFill="1" applyBorder="1"/>
    <xf numFmtId="0" fontId="20" fillId="0" borderId="0" xfId="0" applyFont="1"/>
    <xf numFmtId="0" fontId="19" fillId="4" borderId="5" xfId="0" applyFont="1" applyFill="1" applyBorder="1" applyAlignment="1">
      <alignment horizontal="left" indent="1"/>
    </xf>
    <xf numFmtId="165" fontId="20" fillId="0" borderId="0" xfId="1" applyNumberFormat="1" applyFont="1"/>
    <xf numFmtId="0" fontId="20" fillId="4" borderId="9" xfId="0" applyFont="1" applyFill="1" applyBorder="1"/>
    <xf numFmtId="0" fontId="20" fillId="4" borderId="0" xfId="0" applyFont="1" applyFill="1" applyBorder="1"/>
    <xf numFmtId="0" fontId="20" fillId="4" borderId="13" xfId="0" applyFont="1" applyFill="1" applyBorder="1"/>
    <xf numFmtId="165" fontId="19" fillId="4" borderId="9" xfId="1" applyNumberFormat="1" applyFont="1" applyFill="1" applyBorder="1"/>
    <xf numFmtId="165" fontId="19" fillId="4" borderId="0" xfId="1" applyNumberFormat="1" applyFont="1" applyFill="1" applyBorder="1"/>
    <xf numFmtId="0" fontId="3" fillId="0" borderId="14" xfId="0" applyFont="1" applyBorder="1" applyAlignment="1">
      <alignment horizontal="center"/>
    </xf>
    <xf numFmtId="0" fontId="9" fillId="0" borderId="0" xfId="0" applyFont="1" applyAlignment="1">
      <alignment horizontal="right"/>
    </xf>
    <xf numFmtId="0" fontId="10" fillId="0" borderId="0" xfId="0" applyFont="1" applyFill="1" applyAlignment="1">
      <alignment horizontal="center"/>
    </xf>
    <xf numFmtId="0" fontId="11" fillId="0" borderId="0" xfId="0" applyFont="1" applyFill="1" applyAlignment="1">
      <alignment horizontal="center"/>
    </xf>
    <xf numFmtId="166" fontId="12" fillId="0" borderId="0" xfId="0" applyNumberFormat="1" applyFont="1" applyFill="1" applyAlignment="1">
      <alignment horizontal="center"/>
    </xf>
    <xf numFmtId="0" fontId="16" fillId="0" borderId="0" xfId="0" applyFont="1" applyFill="1"/>
    <xf numFmtId="0" fontId="9" fillId="0" borderId="0" xfId="0" applyFont="1" applyFill="1"/>
    <xf numFmtId="0" fontId="7" fillId="0" borderId="0" xfId="0" applyFont="1" applyBorder="1"/>
    <xf numFmtId="0" fontId="14" fillId="0" borderId="0" xfId="0" applyFont="1" applyAlignment="1">
      <alignment horizontal="right"/>
    </xf>
    <xf numFmtId="169" fontId="13" fillId="0" borderId="0" xfId="2" applyNumberFormat="1" applyFont="1"/>
    <xf numFmtId="169" fontId="18" fillId="0" borderId="0" xfId="2" applyNumberFormat="1" applyFont="1"/>
    <xf numFmtId="165" fontId="2" fillId="0" borderId="0" xfId="0" applyNumberFormat="1" applyFont="1"/>
    <xf numFmtId="0" fontId="9" fillId="0" borderId="0" xfId="0" quotePrefix="1" applyFont="1" applyAlignment="1">
      <alignment horizontal="left"/>
    </xf>
    <xf numFmtId="0" fontId="13" fillId="0" borderId="0" xfId="0" quotePrefix="1" applyFont="1"/>
    <xf numFmtId="0" fontId="15" fillId="0" borderId="0" xfId="0" applyFont="1" applyBorder="1"/>
    <xf numFmtId="165" fontId="15" fillId="0" borderId="0" xfId="0" applyNumberFormat="1" applyFont="1"/>
    <xf numFmtId="0" fontId="19" fillId="0" borderId="15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164" fontId="19" fillId="4" borderId="11" xfId="1" applyNumberFormat="1" applyFont="1" applyFill="1" applyBorder="1"/>
    <xf numFmtId="164" fontId="19" fillId="4" borderId="2" xfId="1" applyNumberFormat="1" applyFont="1" applyFill="1" applyBorder="1"/>
    <xf numFmtId="164" fontId="19" fillId="4" borderId="12" xfId="1" applyNumberFormat="1" applyFont="1" applyFill="1" applyBorder="1"/>
    <xf numFmtId="0" fontId="15" fillId="0" borderId="13" xfId="0" applyFont="1" applyBorder="1"/>
    <xf numFmtId="0" fontId="15" fillId="4" borderId="13" xfId="0" applyFont="1" applyFill="1" applyBorder="1"/>
    <xf numFmtId="0" fontId="15" fillId="0" borderId="2" xfId="0" applyFont="1" applyBorder="1"/>
    <xf numFmtId="0" fontId="15" fillId="0" borderId="12" xfId="0" applyFont="1" applyBorder="1"/>
    <xf numFmtId="0" fontId="15" fillId="0" borderId="10" xfId="0" applyFont="1" applyBorder="1"/>
    <xf numFmtId="0" fontId="15" fillId="0" borderId="11" xfId="0" applyFont="1" applyBorder="1"/>
    <xf numFmtId="0" fontId="15" fillId="0" borderId="4" xfId="0" applyFont="1" applyBorder="1"/>
    <xf numFmtId="0" fontId="19" fillId="0" borderId="16" xfId="0" applyFont="1" applyBorder="1" applyAlignment="1">
      <alignment horizontal="center"/>
    </xf>
    <xf numFmtId="0" fontId="19" fillId="0" borderId="17" xfId="0" applyFont="1" applyBorder="1" applyAlignment="1">
      <alignment horizontal="center"/>
    </xf>
    <xf numFmtId="0" fontId="64" fillId="0" borderId="16" xfId="0" applyFont="1" applyBorder="1" applyAlignment="1">
      <alignment horizontal="center"/>
    </xf>
    <xf numFmtId="0" fontId="64" fillId="0" borderId="17" xfId="0" applyFont="1" applyBorder="1" applyAlignment="1">
      <alignment horizontal="center"/>
    </xf>
    <xf numFmtId="0" fontId="64" fillId="0" borderId="15" xfId="0" applyFont="1" applyBorder="1" applyAlignment="1">
      <alignment horizontal="center"/>
    </xf>
    <xf numFmtId="0" fontId="15" fillId="0" borderId="6" xfId="0" applyFont="1" applyBorder="1"/>
    <xf numFmtId="0" fontId="15" fillId="0" borderId="7" xfId="0" applyFont="1" applyBorder="1"/>
    <xf numFmtId="0" fontId="15" fillId="0" borderId="8" xfId="0" applyFont="1" applyBorder="1"/>
    <xf numFmtId="0" fontId="64" fillId="0" borderId="10" xfId="0" applyFont="1" applyBorder="1" applyAlignment="1">
      <alignment horizontal="center"/>
    </xf>
    <xf numFmtId="0" fontId="16" fillId="0" borderId="5" xfId="0" applyFont="1" applyBorder="1"/>
    <xf numFmtId="0" fontId="16" fillId="0" borderId="9" xfId="0" applyFont="1" applyBorder="1"/>
    <xf numFmtId="0" fontId="16" fillId="0" borderId="0" xfId="0" applyFont="1" applyBorder="1"/>
    <xf numFmtId="0" fontId="14" fillId="0" borderId="0" xfId="0" applyFont="1" applyAlignment="1">
      <alignment horizontal="center"/>
    </xf>
    <xf numFmtId="0" fontId="16" fillId="0" borderId="4" xfId="0" applyFont="1" applyBorder="1"/>
    <xf numFmtId="0" fontId="16" fillId="0" borderId="6" xfId="0" applyFont="1" applyBorder="1"/>
    <xf numFmtId="0" fontId="16" fillId="0" borderId="7" xfId="0" applyFont="1" applyBorder="1"/>
    <xf numFmtId="0" fontId="16" fillId="0" borderId="8" xfId="0" applyFont="1" applyBorder="1"/>
    <xf numFmtId="0" fontId="16" fillId="0" borderId="10" xfId="0" applyFont="1" applyBorder="1"/>
    <xf numFmtId="165" fontId="16" fillId="0" borderId="11" xfId="1" applyNumberFormat="1" applyFont="1" applyBorder="1"/>
    <xf numFmtId="165" fontId="16" fillId="0" borderId="2" xfId="1" applyNumberFormat="1" applyFont="1" applyBorder="1"/>
    <xf numFmtId="0" fontId="17" fillId="0" borderId="4" xfId="0" applyFont="1" applyBorder="1"/>
    <xf numFmtId="0" fontId="17" fillId="0" borderId="5" xfId="0" applyFont="1" applyBorder="1"/>
    <xf numFmtId="0" fontId="18" fillId="0" borderId="7" xfId="0" applyFont="1" applyBorder="1" applyAlignment="1">
      <alignment horizontal="center"/>
    </xf>
    <xf numFmtId="0" fontId="18" fillId="0" borderId="5" xfId="0" applyFont="1" applyBorder="1" applyAlignment="1">
      <alignment horizontal="center"/>
    </xf>
    <xf numFmtId="0" fontId="18" fillId="0" borderId="4" xfId="0" applyFont="1" applyBorder="1" applyAlignment="1">
      <alignment horizontal="center"/>
    </xf>
    <xf numFmtId="0" fontId="18" fillId="0" borderId="11" xfId="0" applyFont="1" applyBorder="1" applyAlignment="1">
      <alignment horizontal="center"/>
    </xf>
    <xf numFmtId="0" fontId="18" fillId="0" borderId="12" xfId="0" applyFont="1" applyBorder="1" applyAlignment="1">
      <alignment horizontal="center"/>
    </xf>
    <xf numFmtId="0" fontId="17" fillId="0" borderId="9" xfId="0" applyFont="1" applyBorder="1"/>
    <xf numFmtId="0" fontId="18" fillId="0" borderId="10" xfId="0" applyFont="1" applyBorder="1" applyAlignment="1">
      <alignment horizontal="center"/>
    </xf>
    <xf numFmtId="0" fontId="18" fillId="0" borderId="2" xfId="0" applyFont="1" applyBorder="1" applyAlignment="1">
      <alignment horizontal="center"/>
    </xf>
    <xf numFmtId="0" fontId="17" fillId="0" borderId="6" xfId="0" applyFont="1" applyBorder="1"/>
    <xf numFmtId="0" fontId="17" fillId="0" borderId="7" xfId="0" applyFont="1" applyBorder="1"/>
    <xf numFmtId="0" fontId="17" fillId="0" borderId="8" xfId="0" applyFont="1" applyBorder="1"/>
    <xf numFmtId="0" fontId="18" fillId="0" borderId="0" xfId="0" applyFont="1" applyBorder="1" applyAlignment="1">
      <alignment horizontal="center"/>
    </xf>
    <xf numFmtId="0" fontId="18" fillId="0" borderId="13" xfId="0" applyFont="1" applyBorder="1" applyAlignment="1">
      <alignment horizontal="center"/>
    </xf>
    <xf numFmtId="0" fontId="18" fillId="0" borderId="2" xfId="0" quotePrefix="1" applyFont="1" applyBorder="1" applyAlignment="1">
      <alignment horizontal="center"/>
    </xf>
    <xf numFmtId="0" fontId="18" fillId="0" borderId="9" xfId="0" applyFont="1" applyBorder="1" applyAlignment="1">
      <alignment horizontal="center"/>
    </xf>
    <xf numFmtId="0" fontId="18" fillId="0" borderId="0" xfId="0" quotePrefix="1" applyFont="1" applyBorder="1" applyAlignment="1">
      <alignment horizontal="center"/>
    </xf>
    <xf numFmtId="0" fontId="20" fillId="0" borderId="4" xfId="0" applyFont="1" applyBorder="1"/>
    <xf numFmtId="0" fontId="20" fillId="0" borderId="6" xfId="0" applyFont="1" applyBorder="1"/>
    <xf numFmtId="0" fontId="20" fillId="0" borderId="7" xfId="0" applyFont="1" applyBorder="1"/>
    <xf numFmtId="0" fontId="20" fillId="0" borderId="8" xfId="0" applyFont="1" applyBorder="1"/>
    <xf numFmtId="0" fontId="19" fillId="0" borderId="5" xfId="0" applyFont="1" applyBorder="1" applyAlignment="1">
      <alignment horizontal="center"/>
    </xf>
    <xf numFmtId="0" fontId="20" fillId="0" borderId="5" xfId="0" applyFont="1" applyBorder="1"/>
    <xf numFmtId="0" fontId="19" fillId="0" borderId="6" xfId="0" applyFont="1" applyBorder="1" applyAlignment="1">
      <alignment horizontal="center"/>
    </xf>
    <xf numFmtId="0" fontId="19" fillId="0" borderId="7" xfId="0" applyFont="1" applyBorder="1" applyAlignment="1">
      <alignment horizontal="center"/>
    </xf>
    <xf numFmtId="0" fontId="19" fillId="0" borderId="8" xfId="0" applyFont="1" applyBorder="1" applyAlignment="1">
      <alignment horizontal="center"/>
    </xf>
    <xf numFmtId="165" fontId="17" fillId="0" borderId="9" xfId="1" applyNumberFormat="1" applyFont="1" applyBorder="1"/>
    <xf numFmtId="165" fontId="18" fillId="0" borderId="9" xfId="1" applyNumberFormat="1" applyFont="1" applyBorder="1"/>
    <xf numFmtId="165" fontId="18" fillId="0" borderId="13" xfId="1" applyNumberFormat="1" applyFont="1" applyBorder="1"/>
    <xf numFmtId="165" fontId="18" fillId="0" borderId="5" xfId="1" applyNumberFormat="1" applyFont="1" applyBorder="1"/>
    <xf numFmtId="165" fontId="18" fillId="0" borderId="0" xfId="1" applyNumberFormat="1" applyFont="1" applyBorder="1"/>
    <xf numFmtId="165" fontId="17" fillId="0" borderId="13" xfId="1" applyNumberFormat="1" applyFont="1" applyBorder="1"/>
    <xf numFmtId="165" fontId="17" fillId="0" borderId="9" xfId="1" applyNumberFormat="1" applyFont="1" applyFill="1" applyBorder="1"/>
    <xf numFmtId="165" fontId="17" fillId="0" borderId="0" xfId="1" applyNumberFormat="1" applyFont="1" applyFill="1" applyBorder="1"/>
    <xf numFmtId="165" fontId="20" fillId="0" borderId="9" xfId="1" applyNumberFormat="1" applyFont="1" applyBorder="1"/>
    <xf numFmtId="165" fontId="20" fillId="0" borderId="0" xfId="1" applyNumberFormat="1" applyFont="1" applyBorder="1"/>
    <xf numFmtId="165" fontId="19" fillId="0" borderId="13" xfId="1" applyNumberFormat="1" applyFont="1" applyBorder="1"/>
    <xf numFmtId="0" fontId="20" fillId="0" borderId="9" xfId="0" applyFont="1" applyBorder="1"/>
    <xf numFmtId="0" fontId="20" fillId="0" borderId="0" xfId="0" applyFont="1" applyBorder="1"/>
    <xf numFmtId="0" fontId="20" fillId="0" borderId="13" xfId="0" applyFont="1" applyBorder="1"/>
    <xf numFmtId="0" fontId="20" fillId="0" borderId="10" xfId="0" applyFont="1" applyBorder="1"/>
    <xf numFmtId="0" fontId="20" fillId="0" borderId="11" xfId="0" applyFont="1" applyBorder="1"/>
    <xf numFmtId="0" fontId="20" fillId="0" borderId="2" xfId="0" applyFont="1" applyBorder="1"/>
    <xf numFmtId="0" fontId="20" fillId="0" borderId="12" xfId="0" applyFont="1" applyBorder="1"/>
    <xf numFmtId="165" fontId="20" fillId="0" borderId="6" xfId="1" applyNumberFormat="1" applyFont="1" applyBorder="1"/>
    <xf numFmtId="165" fontId="20" fillId="0" borderId="7" xfId="1" applyNumberFormat="1" applyFont="1" applyBorder="1"/>
    <xf numFmtId="165" fontId="19" fillId="0" borderId="8" xfId="1" applyNumberFormat="1" applyFont="1" applyBorder="1"/>
    <xf numFmtId="165" fontId="20" fillId="0" borderId="11" xfId="1" applyNumberFormat="1" applyFont="1" applyBorder="1"/>
    <xf numFmtId="165" fontId="20" fillId="0" borderId="2" xfId="1" applyNumberFormat="1" applyFont="1" applyBorder="1"/>
    <xf numFmtId="165" fontId="19" fillId="0" borderId="12" xfId="1" applyNumberFormat="1" applyFont="1" applyBorder="1"/>
    <xf numFmtId="0" fontId="19" fillId="0" borderId="10" xfId="0" applyFont="1" applyBorder="1" applyAlignment="1">
      <alignment horizontal="center"/>
    </xf>
    <xf numFmtId="165" fontId="19" fillId="0" borderId="0" xfId="1" applyNumberFormat="1" applyFont="1" applyBorder="1"/>
    <xf numFmtId="165" fontId="20" fillId="0" borderId="9" xfId="1" applyNumberFormat="1" applyFont="1" applyFill="1" applyBorder="1"/>
    <xf numFmtId="164" fontId="20" fillId="0" borderId="9" xfId="1" applyNumberFormat="1" applyFont="1" applyBorder="1"/>
    <xf numFmtId="164" fontId="20" fillId="0" borderId="0" xfId="1" applyNumberFormat="1" applyFont="1" applyBorder="1"/>
    <xf numFmtId="164" fontId="19" fillId="0" borderId="13" xfId="1" applyNumberFormat="1" applyFont="1" applyBorder="1"/>
    <xf numFmtId="0" fontId="8" fillId="0" borderId="0" xfId="0" quotePrefix="1" applyFont="1" applyAlignment="1">
      <alignment horizontal="left"/>
    </xf>
    <xf numFmtId="165" fontId="18" fillId="0" borderId="13" xfId="1" applyNumberFormat="1" applyFont="1" applyFill="1" applyBorder="1"/>
    <xf numFmtId="0" fontId="66" fillId="0" borderId="0" xfId="0" applyFont="1"/>
    <xf numFmtId="165" fontId="9" fillId="0" borderId="0" xfId="0" applyNumberFormat="1" applyFont="1"/>
    <xf numFmtId="0" fontId="17" fillId="0" borderId="5" xfId="0" applyFont="1" applyFill="1" applyBorder="1"/>
    <xf numFmtId="0" fontId="17" fillId="0" borderId="0" xfId="0" applyFont="1" applyFill="1"/>
    <xf numFmtId="165" fontId="9" fillId="0" borderId="0" xfId="0" applyNumberFormat="1" applyFont="1" applyFill="1"/>
    <xf numFmtId="165" fontId="9" fillId="0" borderId="10" xfId="1" applyNumberFormat="1" applyFont="1" applyBorder="1"/>
    <xf numFmtId="0" fontId="20" fillId="0" borderId="5" xfId="0" applyFont="1" applyFill="1" applyBorder="1"/>
    <xf numFmtId="0" fontId="20" fillId="0" borderId="0" xfId="0" applyFont="1" applyFill="1"/>
    <xf numFmtId="165" fontId="20" fillId="0" borderId="0" xfId="1" applyNumberFormat="1" applyFont="1" applyFill="1" applyBorder="1"/>
    <xf numFmtId="165" fontId="19" fillId="0" borderId="0" xfId="1" applyNumberFormat="1" applyFont="1" applyFill="1" applyBorder="1"/>
    <xf numFmtId="0" fontId="20" fillId="0" borderId="0" xfId="0" applyFont="1" applyFill="1" applyBorder="1"/>
    <xf numFmtId="0" fontId="20" fillId="0" borderId="13" xfId="0" applyFont="1" applyFill="1" applyBorder="1"/>
    <xf numFmtId="165" fontId="19" fillId="0" borderId="13" xfId="1" applyNumberFormat="1" applyFont="1" applyFill="1" applyBorder="1"/>
    <xf numFmtId="0" fontId="17" fillId="0" borderId="0" xfId="0" applyFont="1" applyFill="1" applyBorder="1"/>
    <xf numFmtId="165" fontId="18" fillId="0" borderId="5" xfId="1" applyNumberFormat="1" applyFont="1" applyFill="1" applyBorder="1"/>
    <xf numFmtId="165" fontId="18" fillId="0" borderId="0" xfId="1" applyNumberFormat="1" applyFont="1" applyFill="1" applyBorder="1"/>
    <xf numFmtId="165" fontId="17" fillId="0" borderId="0" xfId="1" applyNumberFormat="1" applyFont="1" applyFill="1"/>
    <xf numFmtId="165" fontId="16" fillId="0" borderId="12" xfId="1" applyNumberFormat="1" applyFont="1" applyBorder="1"/>
    <xf numFmtId="165" fontId="19" fillId="4" borderId="13" xfId="1" applyNumberFormat="1" applyFont="1" applyFill="1" applyBorder="1"/>
    <xf numFmtId="0" fontId="10" fillId="6" borderId="0" xfId="0" applyFont="1" applyFill="1" applyAlignment="1">
      <alignment horizontal="centerContinuous"/>
    </xf>
    <xf numFmtId="0" fontId="11" fillId="6" borderId="0" xfId="0" applyFont="1" applyFill="1" applyAlignment="1">
      <alignment horizontal="centerContinuous"/>
    </xf>
    <xf numFmtId="166" fontId="12" fillId="6" borderId="0" xfId="0" applyNumberFormat="1" applyFont="1" applyFill="1" applyAlignment="1">
      <alignment horizontal="centerContinuous"/>
    </xf>
    <xf numFmtId="169" fontId="9" fillId="0" borderId="0" xfId="0" applyNumberFormat="1" applyFont="1"/>
    <xf numFmtId="0" fontId="67" fillId="0" borderId="0" xfId="0" applyFont="1"/>
    <xf numFmtId="0" fontId="18" fillId="0" borderId="0" xfId="0" applyFont="1"/>
    <xf numFmtId="0" fontId="13" fillId="0" borderId="0" xfId="0" applyFont="1"/>
    <xf numFmtId="0" fontId="68" fillId="0" borderId="0" xfId="0" applyFont="1" applyFill="1" applyAlignment="1">
      <alignment horizontal="center"/>
    </xf>
    <xf numFmtId="0" fontId="69" fillId="0" borderId="0" xfId="0" applyFont="1" applyFill="1"/>
    <xf numFmtId="0" fontId="70" fillId="0" borderId="0" xfId="0" applyFont="1" applyFill="1" applyAlignment="1">
      <alignment horizontal="left"/>
    </xf>
    <xf numFmtId="0" fontId="0" fillId="0" borderId="0" xfId="0" applyAlignment="1"/>
    <xf numFmtId="0" fontId="71" fillId="0" borderId="0" xfId="0" applyFont="1" applyFill="1" applyAlignment="1">
      <alignment horizontal="right"/>
    </xf>
    <xf numFmtId="0" fontId="69" fillId="0" borderId="0" xfId="0" applyFont="1" applyFill="1" applyAlignment="1"/>
    <xf numFmtId="0" fontId="72" fillId="0" borderId="0" xfId="0" applyFont="1" applyFill="1" applyAlignment="1">
      <alignment horizontal="center"/>
    </xf>
    <xf numFmtId="166" fontId="73" fillId="0" borderId="0" xfId="0" quotePrefix="1" applyNumberFormat="1" applyFont="1" applyFill="1" applyAlignment="1">
      <alignment horizontal="right"/>
    </xf>
    <xf numFmtId="166" fontId="74" fillId="0" borderId="0" xfId="0" applyNumberFormat="1" applyFont="1" applyFill="1" applyAlignment="1">
      <alignment horizontal="center"/>
    </xf>
    <xf numFmtId="0" fontId="75" fillId="0" borderId="18" xfId="0" applyFont="1" applyBorder="1" applyAlignment="1">
      <alignment vertical="center"/>
    </xf>
    <xf numFmtId="0" fontId="9" fillId="7" borderId="18" xfId="0" applyFont="1" applyFill="1" applyBorder="1" applyAlignment="1">
      <alignment vertical="center"/>
    </xf>
    <xf numFmtId="0" fontId="9" fillId="7" borderId="19" xfId="0" applyFont="1" applyFill="1" applyBorder="1" applyAlignment="1">
      <alignment vertical="center"/>
    </xf>
    <xf numFmtId="0" fontId="9" fillId="7" borderId="20" xfId="0" applyFont="1" applyFill="1" applyBorder="1" applyAlignment="1">
      <alignment vertical="center"/>
    </xf>
    <xf numFmtId="0" fontId="75" fillId="0" borderId="0" xfId="0" applyFont="1" applyAlignment="1">
      <alignment vertical="center"/>
    </xf>
    <xf numFmtId="0" fontId="76" fillId="0" borderId="21" xfId="0" applyFont="1" applyBorder="1" applyAlignment="1">
      <alignment horizontal="center"/>
    </xf>
    <xf numFmtId="0" fontId="9" fillId="7" borderId="22" xfId="0" applyFont="1" applyFill="1" applyBorder="1"/>
    <xf numFmtId="0" fontId="13" fillId="0" borderId="23" xfId="0" applyFont="1" applyBorder="1" applyAlignment="1">
      <alignment horizontal="center"/>
    </xf>
    <xf numFmtId="0" fontId="13" fillId="0" borderId="24" xfId="0" applyFont="1" applyBorder="1" applyAlignment="1">
      <alignment horizontal="center"/>
    </xf>
    <xf numFmtId="0" fontId="13" fillId="0" borderId="25" xfId="0" applyFont="1" applyBorder="1" applyAlignment="1">
      <alignment horizontal="center"/>
    </xf>
    <xf numFmtId="0" fontId="9" fillId="7" borderId="26" xfId="0" applyFont="1" applyFill="1" applyBorder="1"/>
    <xf numFmtId="0" fontId="9" fillId="0" borderId="22" xfId="0" applyFont="1" applyBorder="1"/>
    <xf numFmtId="0" fontId="9" fillId="0" borderId="27" xfId="0" applyFont="1" applyBorder="1"/>
    <xf numFmtId="0" fontId="9" fillId="0" borderId="28" xfId="0" applyFont="1" applyBorder="1"/>
    <xf numFmtId="0" fontId="9" fillId="7" borderId="0" xfId="0" applyFont="1" applyFill="1" applyBorder="1"/>
    <xf numFmtId="165" fontId="9" fillId="0" borderId="27" xfId="1" applyNumberFormat="1" applyFont="1" applyBorder="1"/>
    <xf numFmtId="165" fontId="9" fillId="0" borderId="9" xfId="1" applyNumberFormat="1" applyFont="1" applyBorder="1"/>
    <xf numFmtId="165" fontId="13" fillId="0" borderId="28" xfId="1" applyNumberFormat="1" applyFont="1" applyBorder="1"/>
    <xf numFmtId="165" fontId="9" fillId="7" borderId="0" xfId="1" applyNumberFormat="1" applyFont="1" applyFill="1" applyBorder="1"/>
    <xf numFmtId="0" fontId="17" fillId="7" borderId="22" xfId="0" applyFont="1" applyFill="1" applyBorder="1" applyAlignment="1">
      <alignment vertical="center"/>
    </xf>
    <xf numFmtId="0" fontId="17" fillId="0" borderId="0" xfId="0" applyFont="1" applyAlignment="1">
      <alignment vertical="center"/>
    </xf>
    <xf numFmtId="165" fontId="13" fillId="0" borderId="27" xfId="1" applyNumberFormat="1" applyFont="1" applyBorder="1"/>
    <xf numFmtId="0" fontId="17" fillId="7" borderId="29" xfId="0" applyFont="1" applyFill="1" applyBorder="1" applyAlignment="1">
      <alignment vertical="center"/>
    </xf>
    <xf numFmtId="0" fontId="16" fillId="0" borderId="22" xfId="0" applyFont="1" applyBorder="1"/>
    <xf numFmtId="0" fontId="16" fillId="7" borderId="22" xfId="0" applyFont="1" applyFill="1" applyBorder="1"/>
    <xf numFmtId="165" fontId="16" fillId="0" borderId="27" xfId="1" applyNumberFormat="1" applyFont="1" applyBorder="1"/>
    <xf numFmtId="165" fontId="16" fillId="0" borderId="9" xfId="1" applyNumberFormat="1" applyFont="1" applyBorder="1"/>
    <xf numFmtId="165" fontId="14" fillId="0" borderId="28" xfId="1" applyNumberFormat="1" applyFont="1" applyBorder="1"/>
    <xf numFmtId="165" fontId="16" fillId="7" borderId="0" xfId="1" applyNumberFormat="1" applyFont="1" applyFill="1" applyBorder="1"/>
    <xf numFmtId="0" fontId="78" fillId="4" borderId="30" xfId="0" applyFont="1" applyFill="1" applyBorder="1" applyAlignment="1">
      <alignment horizontal="left" indent="1"/>
    </xf>
    <xf numFmtId="0" fontId="78" fillId="4" borderId="29" xfId="0" applyFont="1" applyFill="1" applyBorder="1" applyAlignment="1">
      <alignment horizontal="left" indent="1"/>
    </xf>
    <xf numFmtId="0" fontId="76" fillId="0" borderId="31" xfId="0" applyFont="1" applyBorder="1" applyAlignment="1">
      <alignment horizontal="centerContinuous" vertical="center"/>
    </xf>
    <xf numFmtId="0" fontId="76" fillId="0" borderId="32" xfId="0" applyFont="1" applyBorder="1" applyAlignment="1">
      <alignment horizontal="centerContinuous" vertical="center"/>
    </xf>
    <xf numFmtId="0" fontId="76" fillId="0" borderId="33" xfId="0" applyFont="1" applyBorder="1" applyAlignment="1">
      <alignment horizontal="centerContinuous" vertical="center"/>
    </xf>
    <xf numFmtId="165" fontId="77" fillId="4" borderId="34" xfId="1" applyNumberFormat="1" applyFont="1" applyFill="1" applyBorder="1" applyAlignment="1">
      <alignment vertical="center"/>
    </xf>
    <xf numFmtId="165" fontId="77" fillId="4" borderId="16" xfId="1" applyNumberFormat="1" applyFont="1" applyFill="1" applyBorder="1" applyAlignment="1">
      <alignment vertical="center"/>
    </xf>
    <xf numFmtId="165" fontId="77" fillId="4" borderId="35" xfId="1" applyNumberFormat="1" applyFont="1" applyFill="1" applyBorder="1" applyAlignment="1">
      <alignment vertical="center"/>
    </xf>
    <xf numFmtId="165" fontId="16" fillId="7" borderId="0" xfId="1" applyNumberFormat="1" applyFont="1" applyFill="1" applyBorder="1" applyAlignment="1">
      <alignment vertical="center"/>
    </xf>
    <xf numFmtId="165" fontId="14" fillId="0" borderId="27" xfId="1" applyNumberFormat="1" applyFont="1" applyBorder="1"/>
    <xf numFmtId="169" fontId="77" fillId="4" borderId="36" xfId="2" applyNumberFormat="1" applyFont="1" applyFill="1" applyBorder="1" applyAlignment="1">
      <alignment vertical="center"/>
    </xf>
    <xf numFmtId="169" fontId="77" fillId="4" borderId="37" xfId="2" applyNumberFormat="1" applyFont="1" applyFill="1" applyBorder="1" applyAlignment="1">
      <alignment vertical="center"/>
    </xf>
    <xf numFmtId="165" fontId="16" fillId="7" borderId="38" xfId="1" applyNumberFormat="1" applyFont="1" applyFill="1" applyBorder="1" applyAlignment="1">
      <alignment vertical="center"/>
    </xf>
    <xf numFmtId="0" fontId="80" fillId="0" borderId="5" xfId="0" applyFont="1" applyBorder="1"/>
    <xf numFmtId="0" fontId="80" fillId="0" borderId="0" xfId="0" applyFont="1"/>
    <xf numFmtId="165" fontId="80" fillId="0" borderId="9" xfId="1" applyNumberFormat="1" applyFont="1" applyFill="1" applyBorder="1"/>
    <xf numFmtId="165" fontId="80" fillId="0" borderId="0" xfId="1" applyNumberFormat="1" applyFont="1" applyFill="1" applyBorder="1"/>
    <xf numFmtId="165" fontId="80" fillId="0" borderId="0" xfId="1" applyNumberFormat="1" applyFont="1" applyBorder="1"/>
    <xf numFmtId="165" fontId="80" fillId="0" borderId="13" xfId="1" applyNumberFormat="1" applyFont="1" applyBorder="1"/>
    <xf numFmtId="165" fontId="80" fillId="0" borderId="5" xfId="1" applyNumberFormat="1" applyFont="1" applyBorder="1"/>
    <xf numFmtId="0" fontId="80" fillId="0" borderId="0" xfId="0" applyFont="1" applyFill="1"/>
    <xf numFmtId="0" fontId="9" fillId="0" borderId="0" xfId="0" quotePrefix="1" applyFont="1"/>
    <xf numFmtId="0" fontId="2" fillId="0" borderId="9" xfId="0" applyFont="1" applyBorder="1"/>
    <xf numFmtId="165" fontId="80" fillId="0" borderId="11" xfId="1" applyNumberFormat="1" applyFont="1" applyFill="1" applyBorder="1"/>
    <xf numFmtId="165" fontId="17" fillId="0" borderId="13" xfId="1" applyNumberFormat="1" applyFont="1" applyFill="1" applyBorder="1"/>
    <xf numFmtId="165" fontId="80" fillId="0" borderId="2" xfId="1" applyNumberFormat="1" applyFont="1" applyFill="1" applyBorder="1"/>
    <xf numFmtId="165" fontId="80" fillId="0" borderId="13" xfId="1" applyNumberFormat="1" applyFont="1" applyFill="1" applyBorder="1"/>
    <xf numFmtId="165" fontId="80" fillId="0" borderId="2" xfId="1" applyNumberFormat="1" applyFont="1" applyBorder="1"/>
    <xf numFmtId="165" fontId="80" fillId="0" borderId="12" xfId="1" applyNumberFormat="1" applyFont="1" applyBorder="1"/>
    <xf numFmtId="165" fontId="16" fillId="0" borderId="27" xfId="1" applyNumberFormat="1" applyFont="1" applyFill="1" applyBorder="1"/>
    <xf numFmtId="165" fontId="16" fillId="0" borderId="9" xfId="1" applyNumberFormat="1" applyFont="1" applyFill="1" applyBorder="1"/>
    <xf numFmtId="165" fontId="14" fillId="0" borderId="28" xfId="1" applyNumberFormat="1" applyFont="1" applyFill="1" applyBorder="1"/>
    <xf numFmtId="169" fontId="2" fillId="0" borderId="0" xfId="0" applyNumberFormat="1" applyFont="1"/>
    <xf numFmtId="0" fontId="19" fillId="4" borderId="5" xfId="0" applyFont="1" applyFill="1" applyBorder="1" applyAlignment="1">
      <alignment horizontal="left"/>
    </xf>
    <xf numFmtId="0" fontId="18" fillId="4" borderId="5" xfId="0" applyFont="1" applyFill="1" applyBorder="1" applyAlignment="1">
      <alignment horizontal="left"/>
    </xf>
    <xf numFmtId="169" fontId="77" fillId="4" borderId="39" xfId="2" applyNumberFormat="1" applyFont="1" applyFill="1" applyBorder="1" applyAlignment="1">
      <alignment vertical="center"/>
    </xf>
    <xf numFmtId="0" fontId="18" fillId="0" borderId="0" xfId="0" applyFont="1" applyFill="1" applyBorder="1" applyAlignment="1">
      <alignment horizontal="center"/>
    </xf>
    <xf numFmtId="165" fontId="80" fillId="0" borderId="10" xfId="1" applyNumberFormat="1" applyFont="1" applyBorder="1"/>
    <xf numFmtId="165" fontId="17" fillId="0" borderId="2" xfId="1" applyNumberFormat="1" applyFont="1" applyBorder="1"/>
    <xf numFmtId="165" fontId="80" fillId="0" borderId="12" xfId="1" applyNumberFormat="1" applyFont="1" applyFill="1" applyBorder="1"/>
    <xf numFmtId="0" fontId="13" fillId="0" borderId="9" xfId="0" applyFont="1" applyBorder="1"/>
    <xf numFmtId="0" fontId="13" fillId="0" borderId="0" xfId="0" applyFont="1" applyBorder="1"/>
    <xf numFmtId="165" fontId="13" fillId="0" borderId="13" xfId="1" applyNumberFormat="1" applyFont="1" applyBorder="1"/>
    <xf numFmtId="165" fontId="13" fillId="0" borderId="0" xfId="1" applyNumberFormat="1" applyFont="1" applyBorder="1" applyAlignment="1">
      <alignment horizontal="center"/>
    </xf>
    <xf numFmtId="165" fontId="13" fillId="0" borderId="13" xfId="1" applyNumberFormat="1" applyFont="1" applyBorder="1" applyAlignment="1">
      <alignment horizontal="center"/>
    </xf>
    <xf numFmtId="0" fontId="13" fillId="0" borderId="11" xfId="0" applyFont="1" applyBorder="1"/>
    <xf numFmtId="0" fontId="13" fillId="0" borderId="2" xfId="0" applyFont="1" applyBorder="1"/>
    <xf numFmtId="165" fontId="13" fillId="0" borderId="12" xfId="1" applyNumberFormat="1" applyFont="1" applyBorder="1"/>
    <xf numFmtId="165" fontId="13" fillId="0" borderId="2" xfId="1" applyNumberFormat="1" applyFont="1" applyBorder="1" applyAlignment="1">
      <alignment horizontal="center"/>
    </xf>
    <xf numFmtId="165" fontId="13" fillId="0" borderId="12" xfId="1" applyNumberFormat="1" applyFont="1" applyBorder="1" applyAlignment="1">
      <alignment horizontal="center"/>
    </xf>
    <xf numFmtId="0" fontId="77" fillId="4" borderId="16" xfId="0" applyFont="1" applyFill="1" applyBorder="1"/>
    <xf numFmtId="0" fontId="77" fillId="4" borderId="17" xfId="0" applyFont="1" applyFill="1" applyBorder="1"/>
    <xf numFmtId="165" fontId="14" fillId="4" borderId="15" xfId="1" applyNumberFormat="1" applyFont="1" applyFill="1" applyBorder="1"/>
    <xf numFmtId="0" fontId="77" fillId="4" borderId="16" xfId="0" applyFont="1" applyFill="1" applyBorder="1" applyAlignment="1">
      <alignment horizontal="left"/>
    </xf>
    <xf numFmtId="0" fontId="77" fillId="4" borderId="17" xfId="0" applyFont="1" applyFill="1" applyBorder="1" applyAlignment="1">
      <alignment horizontal="left"/>
    </xf>
    <xf numFmtId="0" fontId="77" fillId="4" borderId="15" xfId="0" applyFont="1" applyFill="1" applyBorder="1" applyAlignment="1">
      <alignment horizontal="left"/>
    </xf>
    <xf numFmtId="165" fontId="14" fillId="4" borderId="17" xfId="1" applyNumberFormat="1" applyFont="1" applyFill="1" applyBorder="1" applyAlignment="1">
      <alignment horizontal="center"/>
    </xf>
    <xf numFmtId="165" fontId="14" fillId="4" borderId="15" xfId="1" applyNumberFormat="1" applyFont="1" applyFill="1" applyBorder="1" applyAlignment="1">
      <alignment horizontal="center"/>
    </xf>
    <xf numFmtId="165" fontId="13" fillId="0" borderId="8" xfId="1" applyNumberFormat="1" applyFont="1" applyBorder="1" applyAlignment="1">
      <alignment horizontal="center"/>
    </xf>
    <xf numFmtId="0" fontId="75" fillId="7" borderId="0" xfId="0" applyFont="1" applyFill="1" applyAlignment="1">
      <alignment vertical="center"/>
    </xf>
    <xf numFmtId="0" fontId="9" fillId="7" borderId="0" xfId="0" applyFont="1" applyFill="1"/>
    <xf numFmtId="0" fontId="16" fillId="7" borderId="0" xfId="0" applyFont="1" applyFill="1"/>
    <xf numFmtId="0" fontId="17" fillId="7" borderId="0" xfId="0" applyFont="1" applyFill="1" applyAlignment="1">
      <alignment vertical="center"/>
    </xf>
    <xf numFmtId="0" fontId="0" fillId="0" borderId="26" xfId="0" applyBorder="1"/>
    <xf numFmtId="165" fontId="16" fillId="0" borderId="0" xfId="0" applyNumberFormat="1" applyFont="1"/>
    <xf numFmtId="43" fontId="16" fillId="0" borderId="9" xfId="1" applyNumberFormat="1" applyFont="1" applyBorder="1"/>
    <xf numFmtId="165" fontId="80" fillId="0" borderId="9" xfId="1" applyNumberFormat="1" applyFont="1" applyBorder="1"/>
    <xf numFmtId="165" fontId="82" fillId="0" borderId="13" xfId="1" applyNumberFormat="1" applyFont="1" applyBorder="1"/>
    <xf numFmtId="165" fontId="80" fillId="0" borderId="11" xfId="1" applyNumberFormat="1" applyFont="1" applyBorder="1"/>
    <xf numFmtId="165" fontId="82" fillId="0" borderId="12" xfId="1" applyNumberFormat="1" applyFont="1" applyBorder="1"/>
    <xf numFmtId="165" fontId="17" fillId="0" borderId="6" xfId="1" applyNumberFormat="1" applyFont="1" applyBorder="1"/>
    <xf numFmtId="165" fontId="18" fillId="0" borderId="9" xfId="1" applyNumberFormat="1" applyFont="1" applyFill="1" applyBorder="1"/>
    <xf numFmtId="165" fontId="82" fillId="0" borderId="9" xfId="1" applyNumberFormat="1" applyFont="1" applyFill="1" applyBorder="1"/>
    <xf numFmtId="165" fontId="82" fillId="0" borderId="11" xfId="1" applyNumberFormat="1" applyFont="1" applyFill="1" applyBorder="1"/>
    <xf numFmtId="0" fontId="18" fillId="0" borderId="16" xfId="0" applyFont="1" applyBorder="1" applyAlignment="1">
      <alignment horizontal="center"/>
    </xf>
    <xf numFmtId="0" fontId="18" fillId="0" borderId="17" xfId="0" applyFont="1" applyBorder="1" applyAlignment="1">
      <alignment horizontal="center"/>
    </xf>
    <xf numFmtId="0" fontId="18" fillId="0" borderId="15" xfId="0" applyFont="1" applyBorder="1" applyAlignment="1">
      <alignment horizontal="center"/>
    </xf>
    <xf numFmtId="0" fontId="10" fillId="6" borderId="0" xfId="0" applyFont="1" applyFill="1" applyAlignment="1">
      <alignment horizontal="center"/>
    </xf>
    <xf numFmtId="0" fontId="11" fillId="6" borderId="0" xfId="0" applyFont="1" applyFill="1" applyAlignment="1">
      <alignment horizontal="center"/>
    </xf>
    <xf numFmtId="166" fontId="11" fillId="6" borderId="0" xfId="0" applyNumberFormat="1" applyFont="1" applyFill="1" applyAlignment="1">
      <alignment horizontal="center"/>
    </xf>
    <xf numFmtId="166" fontId="11" fillId="6" borderId="0" xfId="0" quotePrefix="1" applyNumberFormat="1" applyFont="1" applyFill="1" applyAlignment="1">
      <alignment horizontal="center"/>
    </xf>
    <xf numFmtId="0" fontId="76" fillId="0" borderId="31" xfId="0" applyFont="1" applyBorder="1" applyAlignment="1">
      <alignment horizontal="center" vertical="center"/>
    </xf>
    <xf numFmtId="0" fontId="76" fillId="0" borderId="32" xfId="0" applyFont="1" applyBorder="1" applyAlignment="1">
      <alignment horizontal="center" vertical="center"/>
    </xf>
    <xf numFmtId="0" fontId="76" fillId="0" borderId="33" xfId="0" applyFont="1" applyBorder="1" applyAlignment="1">
      <alignment horizontal="center" vertical="center"/>
    </xf>
    <xf numFmtId="166" fontId="12" fillId="6" borderId="0" xfId="0" quotePrefix="1" applyNumberFormat="1" applyFont="1" applyFill="1" applyAlignment="1">
      <alignment horizontal="center"/>
    </xf>
    <xf numFmtId="0" fontId="64" fillId="0" borderId="11" xfId="0" applyFont="1" applyBorder="1" applyAlignment="1">
      <alignment horizontal="center"/>
    </xf>
    <xf numFmtId="0" fontId="64" fillId="0" borderId="2" xfId="0" applyFont="1" applyBorder="1" applyAlignment="1">
      <alignment horizontal="center"/>
    </xf>
    <xf numFmtId="0" fontId="64" fillId="0" borderId="12" xfId="0" applyFont="1" applyBorder="1" applyAlignment="1">
      <alignment horizontal="center"/>
    </xf>
    <xf numFmtId="0" fontId="19" fillId="0" borderId="16" xfId="0" applyFont="1" applyBorder="1" applyAlignment="1">
      <alignment horizontal="center"/>
    </xf>
    <xf numFmtId="0" fontId="19" fillId="0" borderId="17" xfId="0" applyFont="1" applyBorder="1" applyAlignment="1">
      <alignment horizontal="center"/>
    </xf>
    <xf numFmtId="0" fontId="19" fillId="0" borderId="15" xfId="0" applyFont="1" applyBorder="1" applyAlignment="1">
      <alignment horizontal="center"/>
    </xf>
    <xf numFmtId="0" fontId="19" fillId="0" borderId="11" xfId="0" applyFont="1" applyBorder="1" applyAlignment="1">
      <alignment horizontal="center"/>
    </xf>
    <xf numFmtId="0" fontId="19" fillId="0" borderId="2" xfId="0" applyFont="1" applyBorder="1" applyAlignment="1">
      <alignment horizontal="center"/>
    </xf>
    <xf numFmtId="0" fontId="19" fillId="0" borderId="12" xfId="0" applyFont="1" applyBorder="1" applyAlignment="1">
      <alignment horizontal="center"/>
    </xf>
    <xf numFmtId="0" fontId="4" fillId="6" borderId="0" xfId="0" applyFont="1" applyFill="1" applyAlignment="1">
      <alignment horizontal="center"/>
    </xf>
    <xf numFmtId="0" fontId="5" fillId="6" borderId="0" xfId="0" applyFont="1" applyFill="1" applyAlignment="1">
      <alignment horizontal="center"/>
    </xf>
    <xf numFmtId="0" fontId="6" fillId="6" borderId="0" xfId="0" applyNumberFormat="1" applyFont="1" applyFill="1" applyAlignment="1">
      <alignment horizontal="center"/>
    </xf>
    <xf numFmtId="0" fontId="64" fillId="0" borderId="16" xfId="0" applyFont="1" applyBorder="1" applyAlignment="1">
      <alignment horizontal="center"/>
    </xf>
    <xf numFmtId="0" fontId="64" fillId="0" borderId="17" xfId="0" applyFont="1" applyBorder="1" applyAlignment="1">
      <alignment horizontal="center"/>
    </xf>
    <xf numFmtId="0" fontId="64" fillId="0" borderId="15" xfId="0" applyFont="1" applyBorder="1" applyAlignment="1">
      <alignment horizontal="center"/>
    </xf>
    <xf numFmtId="0" fontId="19" fillId="0" borderId="6" xfId="0" applyFont="1" applyBorder="1" applyAlignment="1">
      <alignment horizontal="center"/>
    </xf>
    <xf numFmtId="0" fontId="19" fillId="0" borderId="7" xfId="0" applyFont="1" applyBorder="1" applyAlignment="1">
      <alignment horizontal="center"/>
    </xf>
    <xf numFmtId="0" fontId="19" fillId="0" borderId="8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4" fillId="7" borderId="0" xfId="0" applyFont="1" applyFill="1" applyAlignment="1">
      <alignment horizontal="center"/>
    </xf>
    <xf numFmtId="0" fontId="5" fillId="7" borderId="0" xfId="0" applyFont="1" applyFill="1" applyAlignment="1">
      <alignment horizontal="center"/>
    </xf>
    <xf numFmtId="0" fontId="6" fillId="7" borderId="0" xfId="0" applyNumberFormat="1" applyFont="1" applyFill="1" applyAlignment="1">
      <alignment horizontal="center"/>
    </xf>
  </cellXfs>
  <cellStyles count="20">
    <cellStyle name="Comma" xfId="1" builtinId="3"/>
    <cellStyle name="Currency" xfId="2" builtinId="4"/>
    <cellStyle name="Date" xfId="3"/>
    <cellStyle name="Fixed" xfId="4"/>
    <cellStyle name="HEADER" xfId="5"/>
    <cellStyle name="Heading1" xfId="6"/>
    <cellStyle name="Heading2" xfId="7"/>
    <cellStyle name="HIGHLIGHT" xfId="8"/>
    <cellStyle name="Normal" xfId="0" builtinId="0"/>
    <cellStyle name="Normal - Style1" xfId="9"/>
    <cellStyle name="Total" xfId="10" builtinId="25" customBuiltin="1"/>
    <cellStyle name="Unprot" xfId="11"/>
    <cellStyle name="Unprot$" xfId="12"/>
    <cellStyle name="Unprot_dimon" xfId="13"/>
    <cellStyle name="Unprotect" xfId="14"/>
    <cellStyle name="콤마 [0]_94하반기" xfId="15"/>
    <cellStyle name="콤마_94하반기" xfId="16"/>
    <cellStyle name="통화 [0]_94하반기" xfId="17"/>
    <cellStyle name="통화_94하반기" xfId="18"/>
    <cellStyle name="표준_970120" xfId="1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466725</xdr:colOff>
      <xdr:row>0</xdr:row>
      <xdr:rowOff>76200</xdr:rowOff>
    </xdr:from>
    <xdr:to>
      <xdr:col>21</xdr:col>
      <xdr:colOff>428625</xdr:colOff>
      <xdr:row>2</xdr:row>
      <xdr:rowOff>38100</xdr:rowOff>
    </xdr:to>
    <xdr:sp macro="" textlink="">
      <xdr:nvSpPr>
        <xdr:cNvPr id="52225" name="Text Box 1"/>
        <xdr:cNvSpPr txBox="1">
          <a:spLocks noChangeArrowheads="1"/>
        </xdr:cNvSpPr>
      </xdr:nvSpPr>
      <xdr:spPr bwMode="auto">
        <a:xfrm>
          <a:off x="7658100" y="76200"/>
          <a:ext cx="211455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16</xdr:col>
      <xdr:colOff>466725</xdr:colOff>
      <xdr:row>0</xdr:row>
      <xdr:rowOff>76200</xdr:rowOff>
    </xdr:from>
    <xdr:to>
      <xdr:col>21</xdr:col>
      <xdr:colOff>428625</xdr:colOff>
      <xdr:row>2</xdr:row>
      <xdr:rowOff>38100</xdr:rowOff>
    </xdr:to>
    <xdr:sp macro="" textlink="">
      <xdr:nvSpPr>
        <xdr:cNvPr id="52227" name="Text Box 3"/>
        <xdr:cNvSpPr txBox="1">
          <a:spLocks noChangeArrowheads="1"/>
        </xdr:cNvSpPr>
      </xdr:nvSpPr>
      <xdr:spPr bwMode="auto">
        <a:xfrm>
          <a:off x="7658100" y="76200"/>
          <a:ext cx="211455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16</xdr:col>
      <xdr:colOff>466725</xdr:colOff>
      <xdr:row>0</xdr:row>
      <xdr:rowOff>76200</xdr:rowOff>
    </xdr:from>
    <xdr:to>
      <xdr:col>21</xdr:col>
      <xdr:colOff>428625</xdr:colOff>
      <xdr:row>2</xdr:row>
      <xdr:rowOff>38100</xdr:rowOff>
    </xdr:to>
    <xdr:sp macro="" textlink="">
      <xdr:nvSpPr>
        <xdr:cNvPr id="52229" name="Text Box 5"/>
        <xdr:cNvSpPr txBox="1">
          <a:spLocks noChangeArrowheads="1"/>
        </xdr:cNvSpPr>
      </xdr:nvSpPr>
      <xdr:spPr bwMode="auto">
        <a:xfrm>
          <a:off x="7658100" y="76200"/>
          <a:ext cx="211455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16</xdr:col>
      <xdr:colOff>466725</xdr:colOff>
      <xdr:row>0</xdr:row>
      <xdr:rowOff>76200</xdr:rowOff>
    </xdr:from>
    <xdr:to>
      <xdr:col>21</xdr:col>
      <xdr:colOff>428625</xdr:colOff>
      <xdr:row>2</xdr:row>
      <xdr:rowOff>38100</xdr:rowOff>
    </xdr:to>
    <xdr:sp macro="" textlink="">
      <xdr:nvSpPr>
        <xdr:cNvPr id="52230" name="Text Box 6"/>
        <xdr:cNvSpPr txBox="1">
          <a:spLocks noChangeArrowheads="1"/>
        </xdr:cNvSpPr>
      </xdr:nvSpPr>
      <xdr:spPr bwMode="auto">
        <a:xfrm>
          <a:off x="7658100" y="76200"/>
          <a:ext cx="211455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16</xdr:col>
      <xdr:colOff>466725</xdr:colOff>
      <xdr:row>0</xdr:row>
      <xdr:rowOff>76200</xdr:rowOff>
    </xdr:from>
    <xdr:to>
      <xdr:col>21</xdr:col>
      <xdr:colOff>428625</xdr:colOff>
      <xdr:row>2</xdr:row>
      <xdr:rowOff>38100</xdr:rowOff>
    </xdr:to>
    <xdr:sp macro="" textlink="">
      <xdr:nvSpPr>
        <xdr:cNvPr id="52231" name="Text Box 7"/>
        <xdr:cNvSpPr txBox="1">
          <a:spLocks noChangeArrowheads="1"/>
        </xdr:cNvSpPr>
      </xdr:nvSpPr>
      <xdr:spPr bwMode="auto">
        <a:xfrm>
          <a:off x="7658100" y="76200"/>
          <a:ext cx="211455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16</xdr:col>
      <xdr:colOff>466725</xdr:colOff>
      <xdr:row>0</xdr:row>
      <xdr:rowOff>76200</xdr:rowOff>
    </xdr:from>
    <xdr:to>
      <xdr:col>21</xdr:col>
      <xdr:colOff>428625</xdr:colOff>
      <xdr:row>2</xdr:row>
      <xdr:rowOff>38100</xdr:rowOff>
    </xdr:to>
    <xdr:sp macro="" textlink="">
      <xdr:nvSpPr>
        <xdr:cNvPr id="52232" name="Text Box 8"/>
        <xdr:cNvSpPr txBox="1">
          <a:spLocks noChangeArrowheads="1"/>
        </xdr:cNvSpPr>
      </xdr:nvSpPr>
      <xdr:spPr bwMode="auto">
        <a:xfrm>
          <a:off x="7658100" y="76200"/>
          <a:ext cx="211455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20</xdr:col>
      <xdr:colOff>419100</xdr:colOff>
      <xdr:row>0</xdr:row>
      <xdr:rowOff>0</xdr:rowOff>
    </xdr:to>
    <xdr:sp macro="" textlink="">
      <xdr:nvSpPr>
        <xdr:cNvPr id="53249" name="Text Box 1"/>
        <xdr:cNvSpPr txBox="1">
          <a:spLocks noChangeArrowheads="1"/>
        </xdr:cNvSpPr>
      </xdr:nvSpPr>
      <xdr:spPr bwMode="auto">
        <a:xfrm>
          <a:off x="7591425" y="0"/>
          <a:ext cx="3829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  <xdr:twoCellAnchor>
    <xdr:from>
      <xdr:col>0</xdr:col>
      <xdr:colOff>9525</xdr:colOff>
      <xdr:row>0</xdr:row>
      <xdr:rowOff>47625</xdr:rowOff>
    </xdr:from>
    <xdr:to>
      <xdr:col>5</xdr:col>
      <xdr:colOff>38100</xdr:colOff>
      <xdr:row>0</xdr:row>
      <xdr:rowOff>47625</xdr:rowOff>
    </xdr:to>
    <xdr:sp macro="" textlink="">
      <xdr:nvSpPr>
        <xdr:cNvPr id="53250" name="Line 2"/>
        <xdr:cNvSpPr>
          <a:spLocks noChangeShapeType="1"/>
        </xdr:cNvSpPr>
      </xdr:nvSpPr>
      <xdr:spPr bwMode="auto">
        <a:xfrm flipH="1">
          <a:off x="9525" y="47625"/>
          <a:ext cx="392430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619125</xdr:colOff>
      <xdr:row>3</xdr:row>
      <xdr:rowOff>104775</xdr:rowOff>
    </xdr:from>
    <xdr:to>
      <xdr:col>16</xdr:col>
      <xdr:colOff>314325</xdr:colOff>
      <xdr:row>3</xdr:row>
      <xdr:rowOff>104775</xdr:rowOff>
    </xdr:to>
    <xdr:sp macro="" textlink="">
      <xdr:nvSpPr>
        <xdr:cNvPr id="53251" name="Line 3"/>
        <xdr:cNvSpPr>
          <a:spLocks noChangeShapeType="1"/>
        </xdr:cNvSpPr>
      </xdr:nvSpPr>
      <xdr:spPr bwMode="auto">
        <a:xfrm flipH="1">
          <a:off x="2667000" y="800100"/>
          <a:ext cx="641985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0</xdr:colOff>
      <xdr:row>0</xdr:row>
      <xdr:rowOff>0</xdr:rowOff>
    </xdr:from>
    <xdr:to>
      <xdr:col>20</xdr:col>
      <xdr:colOff>419100</xdr:colOff>
      <xdr:row>0</xdr:row>
      <xdr:rowOff>0</xdr:rowOff>
    </xdr:to>
    <xdr:sp macro="" textlink="">
      <xdr:nvSpPr>
        <xdr:cNvPr id="53252" name="Text Box 4"/>
        <xdr:cNvSpPr txBox="1">
          <a:spLocks noChangeArrowheads="1"/>
        </xdr:cNvSpPr>
      </xdr:nvSpPr>
      <xdr:spPr bwMode="auto">
        <a:xfrm>
          <a:off x="7591425" y="0"/>
          <a:ext cx="3829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  <xdr:twoCellAnchor>
    <xdr:from>
      <xdr:col>0</xdr:col>
      <xdr:colOff>9525</xdr:colOff>
      <xdr:row>0</xdr:row>
      <xdr:rowOff>47625</xdr:rowOff>
    </xdr:from>
    <xdr:to>
      <xdr:col>8</xdr:col>
      <xdr:colOff>9525</xdr:colOff>
      <xdr:row>0</xdr:row>
      <xdr:rowOff>47625</xdr:rowOff>
    </xdr:to>
    <xdr:sp macro="" textlink="">
      <xdr:nvSpPr>
        <xdr:cNvPr id="53253" name="Line 5"/>
        <xdr:cNvSpPr>
          <a:spLocks noChangeShapeType="1"/>
        </xdr:cNvSpPr>
      </xdr:nvSpPr>
      <xdr:spPr bwMode="auto">
        <a:xfrm flipH="1">
          <a:off x="9525" y="47625"/>
          <a:ext cx="51149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466725</xdr:colOff>
      <xdr:row>0</xdr:row>
      <xdr:rowOff>76200</xdr:rowOff>
    </xdr:from>
    <xdr:to>
      <xdr:col>21</xdr:col>
      <xdr:colOff>428625</xdr:colOff>
      <xdr:row>2</xdr:row>
      <xdr:rowOff>38100</xdr:rowOff>
    </xdr:to>
    <xdr:sp macro="" textlink="">
      <xdr:nvSpPr>
        <xdr:cNvPr id="3073" name="Text Box 1"/>
        <xdr:cNvSpPr txBox="1">
          <a:spLocks noChangeArrowheads="1"/>
        </xdr:cNvSpPr>
      </xdr:nvSpPr>
      <xdr:spPr bwMode="auto">
        <a:xfrm>
          <a:off x="7658100" y="76200"/>
          <a:ext cx="211455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76200</xdr:rowOff>
    </xdr:from>
    <xdr:to>
      <xdr:col>11</xdr:col>
      <xdr:colOff>0</xdr:colOff>
      <xdr:row>2</xdr:row>
      <xdr:rowOff>38100</xdr:rowOff>
    </xdr:to>
    <xdr:sp macro="" textlink="">
      <xdr:nvSpPr>
        <xdr:cNvPr id="5220" name="Text Box 100"/>
        <xdr:cNvSpPr txBox="1">
          <a:spLocks noChangeArrowheads="1"/>
        </xdr:cNvSpPr>
      </xdr:nvSpPr>
      <xdr:spPr bwMode="auto">
        <a:xfrm>
          <a:off x="6115050" y="76200"/>
          <a:ext cx="104775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76200</xdr:rowOff>
    </xdr:from>
    <xdr:to>
      <xdr:col>13</xdr:col>
      <xdr:colOff>514350</xdr:colOff>
      <xdr:row>3</xdr:row>
      <xdr:rowOff>38100</xdr:rowOff>
    </xdr:to>
    <xdr:sp macro="" textlink="">
      <xdr:nvSpPr>
        <xdr:cNvPr id="1029" name="Text Box 5"/>
        <xdr:cNvSpPr txBox="1">
          <a:spLocks noChangeArrowheads="1"/>
        </xdr:cNvSpPr>
      </xdr:nvSpPr>
      <xdr:spPr bwMode="auto">
        <a:xfrm>
          <a:off x="5591175" y="23812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1</xdr:row>
      <xdr:rowOff>66675</xdr:rowOff>
    </xdr:from>
    <xdr:to>
      <xdr:col>10</xdr:col>
      <xdr:colOff>981075</xdr:colOff>
      <xdr:row>3</xdr:row>
      <xdr:rowOff>47625</xdr:rowOff>
    </xdr:to>
    <xdr:sp macro="" textlink="">
      <xdr:nvSpPr>
        <xdr:cNvPr id="6145" name="Text Box 1"/>
        <xdr:cNvSpPr txBox="1">
          <a:spLocks noChangeArrowheads="1"/>
        </xdr:cNvSpPr>
      </xdr:nvSpPr>
      <xdr:spPr bwMode="auto">
        <a:xfrm>
          <a:off x="6477000" y="6667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9</xdr:col>
      <xdr:colOff>9525</xdr:colOff>
      <xdr:row>1</xdr:row>
      <xdr:rowOff>66675</xdr:rowOff>
    </xdr:from>
    <xdr:to>
      <xdr:col>10</xdr:col>
      <xdr:colOff>981075</xdr:colOff>
      <xdr:row>3</xdr:row>
      <xdr:rowOff>47625</xdr:rowOff>
    </xdr:to>
    <xdr:sp macro="" textlink="">
      <xdr:nvSpPr>
        <xdr:cNvPr id="6213" name="Text Box 69"/>
        <xdr:cNvSpPr txBox="1">
          <a:spLocks noChangeArrowheads="1"/>
        </xdr:cNvSpPr>
      </xdr:nvSpPr>
      <xdr:spPr bwMode="auto">
        <a:xfrm>
          <a:off x="6477000" y="6667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1</xdr:row>
      <xdr:rowOff>66675</xdr:rowOff>
    </xdr:from>
    <xdr:to>
      <xdr:col>9</xdr:col>
      <xdr:colOff>981075</xdr:colOff>
      <xdr:row>3</xdr:row>
      <xdr:rowOff>47625</xdr:rowOff>
    </xdr:to>
    <xdr:sp macro="" textlink="">
      <xdr:nvSpPr>
        <xdr:cNvPr id="25601" name="Text Box 1"/>
        <xdr:cNvSpPr txBox="1">
          <a:spLocks noChangeArrowheads="1"/>
        </xdr:cNvSpPr>
      </xdr:nvSpPr>
      <xdr:spPr bwMode="auto">
        <a:xfrm>
          <a:off x="6486525" y="6667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8</xdr:col>
      <xdr:colOff>9525</xdr:colOff>
      <xdr:row>1</xdr:row>
      <xdr:rowOff>66675</xdr:rowOff>
    </xdr:from>
    <xdr:to>
      <xdr:col>9</xdr:col>
      <xdr:colOff>981075</xdr:colOff>
      <xdr:row>3</xdr:row>
      <xdr:rowOff>47625</xdr:rowOff>
    </xdr:to>
    <xdr:sp macro="" textlink="">
      <xdr:nvSpPr>
        <xdr:cNvPr id="25608" name="Text Box 8"/>
        <xdr:cNvSpPr txBox="1">
          <a:spLocks noChangeArrowheads="1"/>
        </xdr:cNvSpPr>
      </xdr:nvSpPr>
      <xdr:spPr bwMode="auto">
        <a:xfrm>
          <a:off x="6486525" y="6667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8</xdr:col>
      <xdr:colOff>9525</xdr:colOff>
      <xdr:row>1</xdr:row>
      <xdr:rowOff>66675</xdr:rowOff>
    </xdr:from>
    <xdr:to>
      <xdr:col>9</xdr:col>
      <xdr:colOff>981075</xdr:colOff>
      <xdr:row>3</xdr:row>
      <xdr:rowOff>47625</xdr:rowOff>
    </xdr:to>
    <xdr:sp macro="" textlink="">
      <xdr:nvSpPr>
        <xdr:cNvPr id="25613" name="Text Box 13"/>
        <xdr:cNvSpPr txBox="1">
          <a:spLocks noChangeArrowheads="1"/>
        </xdr:cNvSpPr>
      </xdr:nvSpPr>
      <xdr:spPr bwMode="auto">
        <a:xfrm>
          <a:off x="6486525" y="6667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8</xdr:col>
      <xdr:colOff>9525</xdr:colOff>
      <xdr:row>1</xdr:row>
      <xdr:rowOff>66675</xdr:rowOff>
    </xdr:from>
    <xdr:to>
      <xdr:col>9</xdr:col>
      <xdr:colOff>981075</xdr:colOff>
      <xdr:row>3</xdr:row>
      <xdr:rowOff>47625</xdr:rowOff>
    </xdr:to>
    <xdr:sp macro="" textlink="">
      <xdr:nvSpPr>
        <xdr:cNvPr id="25614" name="Text Box 14"/>
        <xdr:cNvSpPr txBox="1">
          <a:spLocks noChangeArrowheads="1"/>
        </xdr:cNvSpPr>
      </xdr:nvSpPr>
      <xdr:spPr bwMode="auto">
        <a:xfrm>
          <a:off x="6486525" y="6667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238125</xdr:colOff>
      <xdr:row>1</xdr:row>
      <xdr:rowOff>76200</xdr:rowOff>
    </xdr:from>
    <xdr:to>
      <xdr:col>15</xdr:col>
      <xdr:colOff>514350</xdr:colOff>
      <xdr:row>3</xdr:row>
      <xdr:rowOff>57150</xdr:rowOff>
    </xdr:to>
    <xdr:sp macro="" textlink="">
      <xdr:nvSpPr>
        <xdr:cNvPr id="7169" name="Text Box 1"/>
        <xdr:cNvSpPr txBox="1">
          <a:spLocks noChangeArrowheads="1"/>
        </xdr:cNvSpPr>
      </xdr:nvSpPr>
      <xdr:spPr bwMode="auto">
        <a:xfrm>
          <a:off x="7248525" y="76200"/>
          <a:ext cx="188595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Global/Management%20Summaries/2001/1Q%202001/Management%20Summary/GlobalMgmtSum-Q101-010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TD Mgmt Summary"/>
      <sheetName val="QTD Mgmt Summary"/>
      <sheetName val="Mgmt Summary"/>
      <sheetName val="GM-WeeklyChnge"/>
      <sheetName val="GrossMargin"/>
      <sheetName val="Expenses"/>
      <sheetName val="Expense Weekly Change"/>
      <sheetName val="CapChrg-AllocExp"/>
      <sheetName val="Headcount"/>
    </sheetNames>
    <sheetDataSet>
      <sheetData sheetId="0" refreshError="1"/>
      <sheetData sheetId="1">
        <row r="8">
          <cell r="C8">
            <v>-15996</v>
          </cell>
          <cell r="G8">
            <v>17128.77</v>
          </cell>
        </row>
        <row r="9">
          <cell r="C9">
            <v>702.05124000000001</v>
          </cell>
          <cell r="G9">
            <v>7821.5169999999998</v>
          </cell>
        </row>
        <row r="10">
          <cell r="C10">
            <v>-299</v>
          </cell>
          <cell r="G10">
            <v>2056.681</v>
          </cell>
        </row>
        <row r="11">
          <cell r="C11">
            <v>1213</v>
          </cell>
          <cell r="G11">
            <v>3731.5230000000001</v>
          </cell>
        </row>
        <row r="12">
          <cell r="C12">
            <v>0</v>
          </cell>
          <cell r="G12">
            <v>2534.6480000000001</v>
          </cell>
        </row>
        <row r="13">
          <cell r="C13">
            <v>1249</v>
          </cell>
          <cell r="G13">
            <v>5782.3860000000004</v>
          </cell>
        </row>
        <row r="14">
          <cell r="C14">
            <v>0</v>
          </cell>
          <cell r="G14">
            <v>614.70699999999999</v>
          </cell>
        </row>
        <row r="15">
          <cell r="C15">
            <v>0</v>
          </cell>
          <cell r="G15">
            <v>2575.25</v>
          </cell>
        </row>
        <row r="16">
          <cell r="C16">
            <v>0</v>
          </cell>
          <cell r="G16">
            <v>1588.5</v>
          </cell>
        </row>
        <row r="17">
          <cell r="C17">
            <v>0</v>
          </cell>
          <cell r="G17">
            <v>1565.9259999999999</v>
          </cell>
        </row>
        <row r="18">
          <cell r="C18">
            <v>0</v>
          </cell>
          <cell r="G18">
            <v>2015.539</v>
          </cell>
        </row>
        <row r="22">
          <cell r="C22">
            <v>0</v>
          </cell>
          <cell r="G22">
            <v>27654</v>
          </cell>
        </row>
        <row r="23">
          <cell r="C23">
            <v>0</v>
          </cell>
          <cell r="G23">
            <v>-22348</v>
          </cell>
        </row>
        <row r="24">
          <cell r="C24">
            <v>-500</v>
          </cell>
          <cell r="G24">
            <v>0</v>
          </cell>
        </row>
        <row r="25">
          <cell r="C25">
            <v>0</v>
          </cell>
          <cell r="G25">
            <v>-1383.4870000000001</v>
          </cell>
        </row>
        <row r="29">
          <cell r="C29">
            <v>0</v>
          </cell>
          <cell r="G29">
            <v>308</v>
          </cell>
        </row>
        <row r="31">
          <cell r="G31">
            <v>51645.96</v>
          </cell>
        </row>
      </sheetData>
      <sheetData sheetId="2">
        <row r="1">
          <cell r="A1" t="str">
            <v>ENRON GLOBAL MARKETS</v>
          </cell>
        </row>
        <row r="2">
          <cell r="A2" t="str">
            <v>1st QUARTER 2001 EARNINGS ESTIMATE</v>
          </cell>
        </row>
        <row r="3">
          <cell r="A3" t="str">
            <v>Results based on activity through January 4, 2001</v>
          </cell>
        </row>
        <row r="5">
          <cell r="C5" t="str">
            <v>Plan</v>
          </cell>
          <cell r="G5" t="str">
            <v>Components of Earnings Before Tax</v>
          </cell>
          <cell r="Q5" t="str">
            <v>Variances from Plan</v>
          </cell>
        </row>
        <row r="6">
          <cell r="G6" t="str">
            <v>Actual</v>
          </cell>
          <cell r="H6" t="str">
            <v>Deals</v>
          </cell>
          <cell r="I6" t="str">
            <v>Forecast</v>
          </cell>
          <cell r="J6" t="str">
            <v>Total</v>
          </cell>
          <cell r="K6" t="str">
            <v>Operating</v>
          </cell>
          <cell r="L6" t="str">
            <v>Capital</v>
          </cell>
          <cell r="M6" t="str">
            <v>Direct</v>
          </cell>
          <cell r="N6" t="str">
            <v>Allocated</v>
          </cell>
          <cell r="Q6" t="str">
            <v>Total</v>
          </cell>
          <cell r="R6" t="str">
            <v>Operating</v>
          </cell>
          <cell r="S6" t="str">
            <v>Capital</v>
          </cell>
          <cell r="T6" t="str">
            <v>Direct</v>
          </cell>
          <cell r="U6" t="str">
            <v>Allocated</v>
          </cell>
        </row>
        <row r="7">
          <cell r="A7" t="str">
            <v>Business Team</v>
          </cell>
          <cell r="C7" t="str">
            <v>Margin</v>
          </cell>
          <cell r="D7" t="str">
            <v>Expenses(1)</v>
          </cell>
          <cell r="E7" t="str">
            <v>EBT</v>
          </cell>
          <cell r="G7" t="str">
            <v>Margin</v>
          </cell>
          <cell r="H7" t="str">
            <v>Identified</v>
          </cell>
          <cell r="I7" t="str">
            <v>Margin</v>
          </cell>
          <cell r="J7" t="str">
            <v>Margin</v>
          </cell>
          <cell r="K7" t="str">
            <v>Expenses</v>
          </cell>
          <cell r="L7" t="str">
            <v>Charge</v>
          </cell>
          <cell r="M7" t="str">
            <v>Expenses</v>
          </cell>
          <cell r="N7" t="str">
            <v>Expenses</v>
          </cell>
          <cell r="O7" t="str">
            <v>Total</v>
          </cell>
          <cell r="Q7" t="str">
            <v>Margin</v>
          </cell>
          <cell r="R7" t="str">
            <v>Expenses</v>
          </cell>
          <cell r="S7" t="str">
            <v>Charge</v>
          </cell>
          <cell r="T7" t="str">
            <v>Expenses</v>
          </cell>
          <cell r="U7" t="str">
            <v>Expenses</v>
          </cell>
          <cell r="V7" t="str">
            <v>Total</v>
          </cell>
        </row>
        <row r="9">
          <cell r="A9" t="str">
            <v>Liquids</v>
          </cell>
          <cell r="C9">
            <v>40000</v>
          </cell>
          <cell r="D9">
            <v>17128.77</v>
          </cell>
          <cell r="E9">
            <v>22871.23</v>
          </cell>
          <cell r="G9">
            <v>-15996</v>
          </cell>
          <cell r="H9">
            <v>0</v>
          </cell>
          <cell r="I9">
            <v>0</v>
          </cell>
          <cell r="J9">
            <v>-15996</v>
          </cell>
          <cell r="L9">
            <v>0</v>
          </cell>
          <cell r="M9">
            <v>6767.77</v>
          </cell>
          <cell r="N9">
            <v>10361</v>
          </cell>
          <cell r="O9">
            <v>-33124.770000000004</v>
          </cell>
          <cell r="Q9">
            <v>-55996</v>
          </cell>
          <cell r="S9">
            <v>0</v>
          </cell>
          <cell r="T9">
            <v>0</v>
          </cell>
          <cell r="U9">
            <v>0</v>
          </cell>
          <cell r="V9">
            <v>-55996</v>
          </cell>
        </row>
        <row r="10">
          <cell r="A10" t="str">
            <v>Coal</v>
          </cell>
          <cell r="C10">
            <v>13750</v>
          </cell>
          <cell r="D10">
            <v>7821.5169999999998</v>
          </cell>
          <cell r="E10">
            <v>5928.4830000000002</v>
          </cell>
          <cell r="G10">
            <v>702.05124000000001</v>
          </cell>
          <cell r="H10">
            <v>0</v>
          </cell>
          <cell r="I10">
            <v>0</v>
          </cell>
          <cell r="J10">
            <v>702.05124000000001</v>
          </cell>
          <cell r="L10">
            <v>753.42399999999998</v>
          </cell>
          <cell r="M10">
            <v>4013.0929999999998</v>
          </cell>
          <cell r="N10">
            <v>3055</v>
          </cell>
          <cell r="O10">
            <v>-7119.46576</v>
          </cell>
          <cell r="Q10">
            <v>-13047.948759999999</v>
          </cell>
          <cell r="S10">
            <v>0</v>
          </cell>
          <cell r="T10">
            <v>0</v>
          </cell>
          <cell r="U10">
            <v>0</v>
          </cell>
          <cell r="V10">
            <v>-13048</v>
          </cell>
        </row>
        <row r="11">
          <cell r="A11" t="str">
            <v>Emissions</v>
          </cell>
          <cell r="C11">
            <v>5000</v>
          </cell>
          <cell r="D11">
            <v>2056.681</v>
          </cell>
          <cell r="E11">
            <v>2943.319</v>
          </cell>
          <cell r="G11">
            <v>-299</v>
          </cell>
          <cell r="H11">
            <v>0</v>
          </cell>
          <cell r="I11">
            <v>0</v>
          </cell>
          <cell r="J11">
            <v>-299</v>
          </cell>
          <cell r="L11">
            <v>39.063000000000002</v>
          </cell>
          <cell r="M11">
            <v>1213.6179999999999</v>
          </cell>
          <cell r="N11">
            <v>804</v>
          </cell>
          <cell r="O11">
            <v>-2355.681</v>
          </cell>
          <cell r="Q11">
            <v>-5299</v>
          </cell>
          <cell r="S11">
            <v>0</v>
          </cell>
          <cell r="T11">
            <v>0</v>
          </cell>
          <cell r="U11">
            <v>0</v>
          </cell>
          <cell r="V11">
            <v>-5299</v>
          </cell>
        </row>
        <row r="12">
          <cell r="A12" t="str">
            <v>Weather</v>
          </cell>
          <cell r="C12">
            <v>8509.2510000000002</v>
          </cell>
          <cell r="D12">
            <v>3731.5230000000001</v>
          </cell>
          <cell r="E12">
            <v>4777.7280000000001</v>
          </cell>
          <cell r="G12">
            <v>1213</v>
          </cell>
          <cell r="H12">
            <v>0</v>
          </cell>
          <cell r="I12">
            <v>0</v>
          </cell>
          <cell r="J12">
            <v>1213</v>
          </cell>
          <cell r="L12">
            <v>0</v>
          </cell>
          <cell r="M12">
            <v>1808.5229999999999</v>
          </cell>
          <cell r="N12">
            <v>1923</v>
          </cell>
          <cell r="O12">
            <v>-2518.5230000000001</v>
          </cell>
          <cell r="Q12">
            <v>-7296.2510000000002</v>
          </cell>
          <cell r="S12">
            <v>0</v>
          </cell>
          <cell r="T12">
            <v>0</v>
          </cell>
          <cell r="U12">
            <v>0</v>
          </cell>
          <cell r="V12">
            <v>-7296</v>
          </cell>
        </row>
        <row r="13">
          <cell r="A13" t="str">
            <v>Global Risk Markets</v>
          </cell>
          <cell r="C13">
            <v>4875</v>
          </cell>
          <cell r="D13">
            <v>2534.6480000000001</v>
          </cell>
          <cell r="E13">
            <v>2340.3519999999999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L13">
            <v>0</v>
          </cell>
          <cell r="M13">
            <v>1802.6479999999999</v>
          </cell>
          <cell r="N13">
            <v>732</v>
          </cell>
          <cell r="O13">
            <v>-2534.6480000000001</v>
          </cell>
          <cell r="Q13">
            <v>-4875</v>
          </cell>
          <cell r="S13">
            <v>0</v>
          </cell>
          <cell r="T13">
            <v>0</v>
          </cell>
          <cell r="U13">
            <v>0</v>
          </cell>
          <cell r="V13">
            <v>-4875</v>
          </cell>
        </row>
        <row r="14">
          <cell r="A14" t="str">
            <v>Financial Trading</v>
          </cell>
          <cell r="C14">
            <v>20000</v>
          </cell>
          <cell r="D14">
            <v>5782.3860000000004</v>
          </cell>
          <cell r="E14">
            <v>14217.614</v>
          </cell>
          <cell r="G14">
            <v>1249</v>
          </cell>
          <cell r="H14">
            <v>0</v>
          </cell>
          <cell r="I14">
            <v>0</v>
          </cell>
          <cell r="J14">
            <v>1249</v>
          </cell>
          <cell r="L14">
            <v>0</v>
          </cell>
          <cell r="M14">
            <v>3467.386</v>
          </cell>
          <cell r="N14">
            <v>2315</v>
          </cell>
          <cell r="O14">
            <v>-4533.3860000000004</v>
          </cell>
          <cell r="Q14">
            <v>-18751</v>
          </cell>
          <cell r="S14">
            <v>0</v>
          </cell>
          <cell r="T14">
            <v>0</v>
          </cell>
          <cell r="U14">
            <v>0</v>
          </cell>
          <cell r="V14">
            <v>-18751</v>
          </cell>
        </row>
        <row r="15">
          <cell r="A15" t="str">
            <v>Transportation</v>
          </cell>
          <cell r="C15">
            <v>500</v>
          </cell>
          <cell r="D15">
            <v>614.70699999999999</v>
          </cell>
          <cell r="E15">
            <v>-114.70699999999999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L15">
            <v>0</v>
          </cell>
          <cell r="M15">
            <v>461.70699999999999</v>
          </cell>
          <cell r="N15">
            <v>153</v>
          </cell>
          <cell r="O15">
            <v>-614.70699999999999</v>
          </cell>
          <cell r="Q15">
            <v>-500</v>
          </cell>
          <cell r="S15">
            <v>0</v>
          </cell>
          <cell r="T15">
            <v>0</v>
          </cell>
          <cell r="U15">
            <v>0</v>
          </cell>
          <cell r="V15">
            <v>-500</v>
          </cell>
        </row>
        <row r="16">
          <cell r="A16" t="str">
            <v>LNG</v>
          </cell>
          <cell r="C16">
            <v>3000</v>
          </cell>
          <cell r="D16">
            <v>2575.25</v>
          </cell>
          <cell r="E16">
            <v>424.75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L16">
            <v>0</v>
          </cell>
          <cell r="M16">
            <v>1430.25</v>
          </cell>
          <cell r="N16">
            <v>1145</v>
          </cell>
          <cell r="O16">
            <v>-2575.25</v>
          </cell>
          <cell r="Q16">
            <v>-3000</v>
          </cell>
          <cell r="S16">
            <v>0</v>
          </cell>
          <cell r="T16">
            <v>0</v>
          </cell>
          <cell r="U16">
            <v>0</v>
          </cell>
          <cell r="V16">
            <v>-3000</v>
          </cell>
        </row>
        <row r="17">
          <cell r="A17" t="str">
            <v>Middle East</v>
          </cell>
          <cell r="C17">
            <v>1413</v>
          </cell>
          <cell r="D17">
            <v>1588.5</v>
          </cell>
          <cell r="E17">
            <v>-175.5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L17">
            <v>0</v>
          </cell>
          <cell r="M17">
            <v>809.5</v>
          </cell>
          <cell r="N17">
            <v>779</v>
          </cell>
          <cell r="O17">
            <v>-1588.5</v>
          </cell>
          <cell r="Q17">
            <v>-1413</v>
          </cell>
          <cell r="S17">
            <v>0</v>
          </cell>
          <cell r="T17">
            <v>0</v>
          </cell>
          <cell r="U17">
            <v>0</v>
          </cell>
          <cell r="V17">
            <v>-1413</v>
          </cell>
        </row>
        <row r="18">
          <cell r="A18" t="str">
            <v>Puerto Rico</v>
          </cell>
          <cell r="C18">
            <v>-858.5010000000002</v>
          </cell>
          <cell r="D18">
            <v>1565.9259999999999</v>
          </cell>
          <cell r="E18">
            <v>-2424.4270000000001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L18">
            <v>591</v>
          </cell>
          <cell r="M18">
            <v>413.92599999999999</v>
          </cell>
          <cell r="N18">
            <v>561</v>
          </cell>
          <cell r="O18">
            <v>-1565.9259999999999</v>
          </cell>
          <cell r="Q18">
            <v>858.5010000000002</v>
          </cell>
          <cell r="S18">
            <v>0</v>
          </cell>
          <cell r="T18">
            <v>0</v>
          </cell>
          <cell r="U18">
            <v>0</v>
          </cell>
          <cell r="V18">
            <v>859</v>
          </cell>
        </row>
        <row r="19">
          <cell r="A19" t="str">
            <v>Office of the Chairman</v>
          </cell>
          <cell r="C19">
            <v>0</v>
          </cell>
          <cell r="D19">
            <v>1765.539</v>
          </cell>
          <cell r="E19">
            <v>-1765.539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L19">
            <v>0</v>
          </cell>
          <cell r="M19">
            <v>1495.539</v>
          </cell>
          <cell r="N19">
            <v>520</v>
          </cell>
          <cell r="O19">
            <v>-2015.539</v>
          </cell>
          <cell r="Q19">
            <v>0</v>
          </cell>
          <cell r="S19">
            <v>0</v>
          </cell>
          <cell r="T19">
            <v>-250</v>
          </cell>
          <cell r="U19">
            <v>0</v>
          </cell>
          <cell r="V19">
            <v>-250</v>
          </cell>
        </row>
        <row r="21">
          <cell r="A21" t="str">
            <v>Subtotal Commercial</v>
          </cell>
          <cell r="C21">
            <v>96188.75</v>
          </cell>
          <cell r="D21">
            <v>47165.447</v>
          </cell>
          <cell r="E21">
            <v>49023.303</v>
          </cell>
          <cell r="G21">
            <v>-13130.948759999999</v>
          </cell>
          <cell r="H21">
            <v>0</v>
          </cell>
          <cell r="I21">
            <v>0</v>
          </cell>
          <cell r="J21">
            <v>-13130.948759999999</v>
          </cell>
          <cell r="K21">
            <v>0</v>
          </cell>
          <cell r="L21">
            <v>1383.4870000000001</v>
          </cell>
          <cell r="M21">
            <v>23683.96</v>
          </cell>
          <cell r="N21">
            <v>22348</v>
          </cell>
          <cell r="O21">
            <v>-60546.395759999999</v>
          </cell>
          <cell r="Q21">
            <v>-109319.69876</v>
          </cell>
          <cell r="R21">
            <v>0</v>
          </cell>
          <cell r="S21">
            <v>0</v>
          </cell>
          <cell r="T21">
            <v>-250</v>
          </cell>
          <cell r="U21">
            <v>0</v>
          </cell>
          <cell r="V21">
            <v>-109569</v>
          </cell>
        </row>
        <row r="23">
          <cell r="A23" t="str">
            <v>Group Support Cost</v>
          </cell>
          <cell r="C23">
            <v>0</v>
          </cell>
          <cell r="D23">
            <v>27654</v>
          </cell>
          <cell r="E23">
            <v>-27654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L23">
            <v>0</v>
          </cell>
          <cell r="M23">
            <v>27654</v>
          </cell>
          <cell r="N23">
            <v>0</v>
          </cell>
          <cell r="O23">
            <v>-27654</v>
          </cell>
          <cell r="Q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</row>
        <row r="24">
          <cell r="A24" t="str">
            <v>Support Cost Allocated to Teams</v>
          </cell>
          <cell r="C24">
            <v>0</v>
          </cell>
          <cell r="D24">
            <v>-22348</v>
          </cell>
          <cell r="E24">
            <v>22348</v>
          </cell>
          <cell r="G24">
            <v>0</v>
          </cell>
          <cell r="I24">
            <v>0</v>
          </cell>
          <cell r="J24">
            <v>0</v>
          </cell>
          <cell r="L24">
            <v>0</v>
          </cell>
          <cell r="M24">
            <v>0</v>
          </cell>
          <cell r="N24">
            <v>-22348</v>
          </cell>
          <cell r="O24">
            <v>22348</v>
          </cell>
          <cell r="Q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</row>
        <row r="25">
          <cell r="A25" t="str">
            <v>Other Interest Related Charges</v>
          </cell>
          <cell r="C25">
            <v>-500</v>
          </cell>
          <cell r="D25">
            <v>0</v>
          </cell>
          <cell r="E25">
            <v>-500</v>
          </cell>
          <cell r="G25">
            <v>-500</v>
          </cell>
          <cell r="H25">
            <v>0</v>
          </cell>
          <cell r="I25">
            <v>0</v>
          </cell>
          <cell r="J25">
            <v>-500</v>
          </cell>
          <cell r="L25">
            <v>0</v>
          </cell>
          <cell r="M25">
            <v>0</v>
          </cell>
          <cell r="N25">
            <v>0</v>
          </cell>
          <cell r="O25">
            <v>-500</v>
          </cell>
          <cell r="Q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</row>
        <row r="26">
          <cell r="A26" t="str">
            <v>Capital Charge Offset</v>
          </cell>
          <cell r="C26">
            <v>0</v>
          </cell>
          <cell r="D26">
            <v>-1383.4870000000001</v>
          </cell>
          <cell r="E26">
            <v>1383.4870000000001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L26">
            <v>-1383.4870000000001</v>
          </cell>
          <cell r="M26">
            <v>0</v>
          </cell>
          <cell r="N26">
            <v>0</v>
          </cell>
          <cell r="O26">
            <v>1383.4870000000001</v>
          </cell>
          <cell r="Q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</row>
        <row r="27">
          <cell r="V27">
            <v>0</v>
          </cell>
        </row>
        <row r="28">
          <cell r="A28" t="str">
            <v>Global Markets EBIT</v>
          </cell>
          <cell r="C28">
            <v>95688.75</v>
          </cell>
          <cell r="D28">
            <v>51087.96</v>
          </cell>
          <cell r="E28">
            <v>44600.79</v>
          </cell>
          <cell r="G28">
            <v>-13630.948759999999</v>
          </cell>
          <cell r="H28">
            <v>0</v>
          </cell>
          <cell r="I28">
            <v>0</v>
          </cell>
          <cell r="J28">
            <v>-13630.948759999999</v>
          </cell>
          <cell r="K28">
            <v>0</v>
          </cell>
          <cell r="L28">
            <v>0</v>
          </cell>
          <cell r="M28">
            <v>51337.96</v>
          </cell>
          <cell r="N28">
            <v>0</v>
          </cell>
          <cell r="O28">
            <v>-64968.908759999998</v>
          </cell>
          <cell r="Q28">
            <v>-109319.69876</v>
          </cell>
          <cell r="R28">
            <v>0</v>
          </cell>
          <cell r="S28">
            <v>0</v>
          </cell>
          <cell r="T28">
            <v>-250</v>
          </cell>
          <cell r="U28">
            <v>0</v>
          </cell>
          <cell r="V28">
            <v>-109569</v>
          </cell>
        </row>
        <row r="29">
          <cell r="G29" t="str">
            <v>Other Expenses:</v>
          </cell>
          <cell r="M29" t="str">
            <v xml:space="preserve"> </v>
          </cell>
        </row>
        <row r="30">
          <cell r="A30" t="str">
            <v>Interest Expense/(Income)</v>
          </cell>
          <cell r="C30">
            <v>0</v>
          </cell>
          <cell r="D30">
            <v>308</v>
          </cell>
          <cell r="E30">
            <v>-308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L30">
            <v>0</v>
          </cell>
          <cell r="M30">
            <v>308</v>
          </cell>
          <cell r="N30">
            <v>0</v>
          </cell>
          <cell r="O30">
            <v>-308</v>
          </cell>
          <cell r="Q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</row>
        <row r="32">
          <cell r="A32" t="str">
            <v>Global Markets Pre-tax Income</v>
          </cell>
          <cell r="C32">
            <v>95688.75</v>
          </cell>
          <cell r="D32">
            <v>51395.96</v>
          </cell>
          <cell r="E32">
            <v>44292.79</v>
          </cell>
          <cell r="G32">
            <v>-13630.948759999999</v>
          </cell>
          <cell r="H32">
            <v>0</v>
          </cell>
          <cell r="I32">
            <v>0</v>
          </cell>
          <cell r="J32">
            <v>-13630.948759999999</v>
          </cell>
          <cell r="K32">
            <v>0</v>
          </cell>
          <cell r="L32">
            <v>0</v>
          </cell>
          <cell r="M32">
            <v>51645.96</v>
          </cell>
          <cell r="N32">
            <v>0</v>
          </cell>
          <cell r="O32">
            <v>-65276.908759999998</v>
          </cell>
          <cell r="Q32">
            <v>-109319.69876</v>
          </cell>
          <cell r="R32">
            <v>0</v>
          </cell>
          <cell r="S32">
            <v>0</v>
          </cell>
          <cell r="T32">
            <v>-250</v>
          </cell>
          <cell r="U32">
            <v>0</v>
          </cell>
          <cell r="V32">
            <v>-109569</v>
          </cell>
        </row>
        <row r="34">
          <cell r="E34" t="str">
            <v>MPR Change:</v>
          </cell>
          <cell r="G34">
            <v>0</v>
          </cell>
        </row>
        <row r="36">
          <cell r="A36" t="str">
            <v>(1) Includes capital charge, direct, and allocated expenses</v>
          </cell>
        </row>
      </sheetData>
      <sheetData sheetId="3" refreshError="1"/>
      <sheetData sheetId="4">
        <row r="10">
          <cell r="D10">
            <v>-15996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K10">
            <v>0</v>
          </cell>
        </row>
        <row r="11">
          <cell r="D11">
            <v>701</v>
          </cell>
          <cell r="E11">
            <v>1.05124</v>
          </cell>
          <cell r="F11">
            <v>0</v>
          </cell>
          <cell r="G11">
            <v>0</v>
          </cell>
          <cell r="H11">
            <v>0</v>
          </cell>
          <cell r="K11">
            <v>0</v>
          </cell>
        </row>
        <row r="12">
          <cell r="D12">
            <v>-299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K12">
            <v>0</v>
          </cell>
        </row>
        <row r="13">
          <cell r="D13">
            <v>1213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K13">
            <v>0</v>
          </cell>
        </row>
        <row r="14"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K14">
            <v>0</v>
          </cell>
        </row>
        <row r="15">
          <cell r="D15">
            <v>777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K15">
            <v>0</v>
          </cell>
        </row>
        <row r="16">
          <cell r="D16">
            <v>307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K16">
            <v>0</v>
          </cell>
        </row>
        <row r="17">
          <cell r="D17">
            <v>165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K17">
            <v>0</v>
          </cell>
        </row>
        <row r="18"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K18">
            <v>0</v>
          </cell>
        </row>
        <row r="19"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K19">
            <v>0</v>
          </cell>
        </row>
        <row r="20"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K20">
            <v>0</v>
          </cell>
        </row>
        <row r="22"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K22">
            <v>0</v>
          </cell>
        </row>
        <row r="23"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K23">
            <v>0</v>
          </cell>
        </row>
        <row r="24"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K24">
            <v>0</v>
          </cell>
        </row>
        <row r="25"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K25">
            <v>0</v>
          </cell>
        </row>
        <row r="26"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K26">
            <v>0</v>
          </cell>
        </row>
        <row r="30">
          <cell r="D30">
            <v>0</v>
          </cell>
          <cell r="E30">
            <v>0</v>
          </cell>
          <cell r="F30">
            <v>0</v>
          </cell>
          <cell r="G30">
            <v>-500</v>
          </cell>
          <cell r="H30">
            <v>0</v>
          </cell>
        </row>
        <row r="32">
          <cell r="I32">
            <v>-13630.948759999999</v>
          </cell>
        </row>
      </sheetData>
      <sheetData sheetId="5">
        <row r="9">
          <cell r="D9">
            <v>6767.77</v>
          </cell>
          <cell r="E9">
            <v>6767.77</v>
          </cell>
        </row>
        <row r="10">
          <cell r="D10">
            <v>4013.0929999999998</v>
          </cell>
          <cell r="E10">
            <v>4013.0929999999998</v>
          </cell>
        </row>
        <row r="11">
          <cell r="D11">
            <v>1213.6179999999999</v>
          </cell>
          <cell r="E11">
            <v>1213.6179999999999</v>
          </cell>
        </row>
        <row r="12">
          <cell r="D12">
            <v>1808.5229999999999</v>
          </cell>
          <cell r="E12">
            <v>1808.5229999999999</v>
          </cell>
        </row>
        <row r="13">
          <cell r="D13">
            <v>1802.6479999999999</v>
          </cell>
          <cell r="E13">
            <v>1802.6479999999999</v>
          </cell>
        </row>
        <row r="14">
          <cell r="D14">
            <v>3467.386</v>
          </cell>
          <cell r="E14">
            <v>3467.386</v>
          </cell>
        </row>
        <row r="15">
          <cell r="D15">
            <v>461.70699999999999</v>
          </cell>
          <cell r="E15">
            <v>461.70699999999999</v>
          </cell>
        </row>
        <row r="16">
          <cell r="D16">
            <v>1430.25</v>
          </cell>
          <cell r="E16">
            <v>1430.25</v>
          </cell>
        </row>
        <row r="17">
          <cell r="D17">
            <v>809.5</v>
          </cell>
          <cell r="E17">
            <v>809.5</v>
          </cell>
        </row>
        <row r="18">
          <cell r="D18">
            <v>413.92599999999999</v>
          </cell>
          <cell r="E18">
            <v>413.92599999999999</v>
          </cell>
        </row>
        <row r="19">
          <cell r="D19">
            <v>1495.539</v>
          </cell>
          <cell r="E19">
            <v>1245.539</v>
          </cell>
        </row>
        <row r="23">
          <cell r="D23">
            <v>27654</v>
          </cell>
          <cell r="E23">
            <v>27654</v>
          </cell>
        </row>
        <row r="24">
          <cell r="D24">
            <v>0</v>
          </cell>
          <cell r="E24">
            <v>0</v>
          </cell>
        </row>
        <row r="29">
          <cell r="D29" t="str">
            <v>Operating Expenses</v>
          </cell>
        </row>
        <row r="30">
          <cell r="D30" t="str">
            <v>Forecast</v>
          </cell>
          <cell r="E30" t="str">
            <v>Plan</v>
          </cell>
        </row>
        <row r="31">
          <cell r="D31">
            <v>0</v>
          </cell>
          <cell r="E31">
            <v>0</v>
          </cell>
        </row>
      </sheetData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1">
    <pageSetUpPr fitToPage="1"/>
  </sheetPr>
  <dimension ref="A1:X69"/>
  <sheetViews>
    <sheetView topLeftCell="A3" zoomScaleNormal="100" workbookViewId="0">
      <selection activeCell="G32" sqref="G32"/>
    </sheetView>
  </sheetViews>
  <sheetFormatPr defaultRowHeight="12.75"/>
  <cols>
    <col min="1" max="1" width="25.42578125" style="14" customWidth="1"/>
    <col min="2" max="2" width="0.85546875" style="14" customWidth="1"/>
    <col min="3" max="3" width="7.7109375" style="14" customWidth="1"/>
    <col min="4" max="4" width="8.85546875" style="14" customWidth="1"/>
    <col min="5" max="5" width="7.7109375" style="14" customWidth="1"/>
    <col min="6" max="6" width="0.85546875" style="14" customWidth="1"/>
    <col min="7" max="7" width="8.140625" style="14" customWidth="1"/>
    <col min="8" max="8" width="7.7109375" style="14" hidden="1" customWidth="1"/>
    <col min="9" max="9" width="7.7109375" style="14" customWidth="1"/>
    <col min="10" max="10" width="8.28515625" style="14" customWidth="1"/>
    <col min="11" max="11" width="7.7109375" style="14" hidden="1" customWidth="1"/>
    <col min="12" max="14" width="7.7109375" style="14" customWidth="1"/>
    <col min="15" max="15" width="8.28515625" style="14" customWidth="1"/>
    <col min="16" max="16" width="0.85546875" style="14" customWidth="1"/>
    <col min="17" max="17" width="9.140625" style="14"/>
    <col min="18" max="18" width="7.7109375" style="14" hidden="1" customWidth="1"/>
    <col min="19" max="21" width="7.7109375" style="14" customWidth="1"/>
    <col min="22" max="22" width="9.140625" style="14"/>
    <col min="23" max="23" width="0.85546875" style="14" customWidth="1"/>
    <col min="24" max="16384" width="9.140625" style="14"/>
  </cols>
  <sheetData>
    <row r="1" spans="1:24" ht="15.75">
      <c r="A1" s="306" t="s">
        <v>70</v>
      </c>
      <c r="B1" s="306"/>
      <c r="C1" s="306"/>
      <c r="D1" s="306"/>
      <c r="E1" s="306"/>
      <c r="F1" s="306"/>
      <c r="G1" s="306"/>
      <c r="H1" s="306"/>
      <c r="I1" s="306"/>
      <c r="J1" s="306"/>
      <c r="K1" s="306"/>
      <c r="L1" s="306"/>
      <c r="M1" s="306"/>
      <c r="N1" s="306"/>
      <c r="O1" s="306"/>
      <c r="P1" s="306"/>
      <c r="Q1" s="306"/>
      <c r="R1" s="306"/>
      <c r="S1" s="306"/>
      <c r="T1" s="306"/>
      <c r="U1" s="306"/>
      <c r="V1" s="306"/>
      <c r="W1" s="60"/>
    </row>
    <row r="2" spans="1:24" ht="16.5">
      <c r="A2" s="307" t="s">
        <v>123</v>
      </c>
      <c r="B2" s="307"/>
      <c r="C2" s="307"/>
      <c r="D2" s="307"/>
      <c r="E2" s="307"/>
      <c r="F2" s="307"/>
      <c r="G2" s="307"/>
      <c r="H2" s="307"/>
      <c r="I2" s="307"/>
      <c r="J2" s="307"/>
      <c r="K2" s="307"/>
      <c r="L2" s="307"/>
      <c r="M2" s="307"/>
      <c r="N2" s="307"/>
      <c r="O2" s="307"/>
      <c r="P2" s="307"/>
      <c r="Q2" s="307"/>
      <c r="R2" s="307"/>
      <c r="S2" s="307"/>
      <c r="T2" s="307"/>
      <c r="U2" s="307"/>
      <c r="V2" s="307"/>
      <c r="W2" s="61"/>
    </row>
    <row r="3" spans="1:24" ht="16.5">
      <c r="A3" s="308" t="s">
        <v>124</v>
      </c>
      <c r="B3" s="309"/>
      <c r="C3" s="309"/>
      <c r="D3" s="309"/>
      <c r="E3" s="309"/>
      <c r="F3" s="309"/>
      <c r="G3" s="309"/>
      <c r="H3" s="309"/>
      <c r="I3" s="309"/>
      <c r="J3" s="309"/>
      <c r="K3" s="309"/>
      <c r="L3" s="309"/>
      <c r="M3" s="309"/>
      <c r="N3" s="309"/>
      <c r="O3" s="309"/>
      <c r="P3" s="309"/>
      <c r="Q3" s="309"/>
      <c r="R3" s="309"/>
      <c r="S3" s="309"/>
      <c r="T3" s="309"/>
      <c r="U3" s="309"/>
      <c r="V3" s="309"/>
      <c r="W3" s="62"/>
    </row>
    <row r="4" spans="1:24" ht="3" customHeight="1"/>
    <row r="5" spans="1:24" s="34" customFormat="1" ht="15" customHeight="1">
      <c r="A5" s="106"/>
      <c r="C5" s="303" t="s">
        <v>8</v>
      </c>
      <c r="D5" s="304"/>
      <c r="E5" s="305"/>
      <c r="G5" s="303" t="s">
        <v>41</v>
      </c>
      <c r="H5" s="304"/>
      <c r="I5" s="304"/>
      <c r="J5" s="304"/>
      <c r="K5" s="304"/>
      <c r="L5" s="304"/>
      <c r="M5" s="304"/>
      <c r="N5" s="304"/>
      <c r="O5" s="305"/>
      <c r="Q5" s="303" t="s">
        <v>36</v>
      </c>
      <c r="R5" s="304"/>
      <c r="S5" s="304"/>
      <c r="T5" s="304"/>
      <c r="U5" s="304"/>
      <c r="V5" s="305"/>
    </row>
    <row r="6" spans="1:24" s="34" customFormat="1" ht="15" customHeight="1">
      <c r="A6" s="107"/>
      <c r="C6" s="110"/>
      <c r="D6" s="108"/>
      <c r="E6" s="110"/>
      <c r="G6" s="109" t="s">
        <v>40</v>
      </c>
      <c r="H6" s="109" t="s">
        <v>4</v>
      </c>
      <c r="I6" s="109" t="s">
        <v>6</v>
      </c>
      <c r="J6" s="109" t="s">
        <v>7</v>
      </c>
      <c r="K6" s="109" t="s">
        <v>48</v>
      </c>
      <c r="L6" s="109" t="s">
        <v>15</v>
      </c>
      <c r="M6" s="109" t="s">
        <v>14</v>
      </c>
      <c r="N6" s="109" t="s">
        <v>17</v>
      </c>
      <c r="O6" s="109"/>
      <c r="Q6" s="110" t="s">
        <v>7</v>
      </c>
      <c r="R6" s="110" t="s">
        <v>48</v>
      </c>
      <c r="S6" s="109" t="s">
        <v>15</v>
      </c>
      <c r="T6" s="110" t="s">
        <v>14</v>
      </c>
      <c r="U6" s="110" t="s">
        <v>17</v>
      </c>
      <c r="V6" s="106"/>
    </row>
    <row r="7" spans="1:24" s="34" customFormat="1" ht="15" customHeight="1">
      <c r="A7" s="109" t="s">
        <v>9</v>
      </c>
      <c r="B7" s="107"/>
      <c r="C7" s="114" t="s">
        <v>13</v>
      </c>
      <c r="D7" s="115" t="s">
        <v>72</v>
      </c>
      <c r="E7" s="114" t="s">
        <v>56</v>
      </c>
      <c r="F7" s="113"/>
      <c r="G7" s="109" t="s">
        <v>13</v>
      </c>
      <c r="H7" s="109" t="s">
        <v>5</v>
      </c>
      <c r="I7" s="109" t="s">
        <v>13</v>
      </c>
      <c r="J7" s="109" t="s">
        <v>13</v>
      </c>
      <c r="K7" s="114" t="s">
        <v>34</v>
      </c>
      <c r="L7" s="109" t="s">
        <v>16</v>
      </c>
      <c r="M7" s="109" t="s">
        <v>34</v>
      </c>
      <c r="N7" s="109" t="s">
        <v>34</v>
      </c>
      <c r="O7" s="109" t="s">
        <v>7</v>
      </c>
      <c r="Q7" s="109" t="s">
        <v>13</v>
      </c>
      <c r="R7" s="109" t="s">
        <v>34</v>
      </c>
      <c r="S7" s="109" t="s">
        <v>16</v>
      </c>
      <c r="T7" s="109" t="s">
        <v>34</v>
      </c>
      <c r="U7" s="109" t="s">
        <v>34</v>
      </c>
      <c r="V7" s="109" t="s">
        <v>7</v>
      </c>
    </row>
    <row r="8" spans="1:24" ht="3" customHeight="1">
      <c r="A8" s="99"/>
      <c r="B8" s="97"/>
      <c r="C8" s="100"/>
      <c r="D8" s="101"/>
      <c r="E8" s="102"/>
      <c r="F8" s="97"/>
      <c r="G8" s="100"/>
      <c r="H8" s="101"/>
      <c r="I8" s="101"/>
      <c r="J8" s="99"/>
      <c r="K8" s="101"/>
      <c r="L8" s="100"/>
      <c r="M8" s="101"/>
      <c r="N8" s="101"/>
      <c r="O8" s="99"/>
      <c r="P8" s="32"/>
      <c r="Q8" s="100"/>
      <c r="R8" s="101"/>
      <c r="S8" s="101"/>
      <c r="T8" s="101"/>
      <c r="U8" s="101"/>
      <c r="V8" s="102"/>
      <c r="W8" s="32"/>
    </row>
    <row r="9" spans="1:24" ht="13.5" customHeight="1">
      <c r="A9" s="107" t="s">
        <v>79</v>
      </c>
      <c r="B9" s="35"/>
      <c r="C9" s="133">
        <f>+'Mgmt Summary'!C9</f>
        <v>40000</v>
      </c>
      <c r="D9" s="36">
        <f>+'Mgmt Summary'!D9</f>
        <v>17128.77</v>
      </c>
      <c r="E9" s="135">
        <f>C9-D9</f>
        <v>22871.23</v>
      </c>
      <c r="F9" s="36"/>
      <c r="G9" s="133">
        <f>+'Mgmt Summary'!G9</f>
        <v>-4389</v>
      </c>
      <c r="H9" s="36">
        <f>GrossMargin!J10</f>
        <v>0</v>
      </c>
      <c r="I9" s="36">
        <f>+'Mgmt Summary'!I9</f>
        <v>0</v>
      </c>
      <c r="J9" s="136">
        <f>SUM(G9:I9)</f>
        <v>-4389</v>
      </c>
      <c r="K9" s="137"/>
      <c r="L9" s="139">
        <f>+'Mgmt Summary'!L9</f>
        <v>0</v>
      </c>
      <c r="M9" s="140">
        <f>+'Mgmt Summary'!M9</f>
        <v>6767.77</v>
      </c>
      <c r="N9" s="140">
        <f>+'Mgmt Summary'!N9</f>
        <v>10361</v>
      </c>
      <c r="O9" s="136">
        <f>J9-K9-M9-N9-L9</f>
        <v>-21517.77</v>
      </c>
      <c r="P9" s="37"/>
      <c r="Q9" s="133">
        <f>+'Mgmt Summary'!Q9</f>
        <v>-44389</v>
      </c>
      <c r="R9" s="36"/>
      <c r="S9" s="36">
        <f>+'Mgmt Summary'!S9</f>
        <v>0</v>
      </c>
      <c r="T9" s="36">
        <f>+'Mgmt Summary'!T9</f>
        <v>0</v>
      </c>
      <c r="U9" s="36">
        <f>+'Mgmt Summary'!U9</f>
        <v>0</v>
      </c>
      <c r="V9" s="135">
        <f>ROUND(SUM(Q9:U9),0)</f>
        <v>-44389</v>
      </c>
      <c r="W9" s="32"/>
      <c r="X9" s="166"/>
    </row>
    <row r="10" spans="1:24" ht="13.5" customHeight="1">
      <c r="A10" s="107" t="s">
        <v>1</v>
      </c>
      <c r="B10" s="35"/>
      <c r="C10" s="133">
        <f>+'Mgmt Summary'!C10</f>
        <v>13750</v>
      </c>
      <c r="D10" s="36">
        <f>+'Mgmt Summary'!D10</f>
        <v>7821.5169999999998</v>
      </c>
      <c r="E10" s="135">
        <f t="shared" ref="E10:E17" si="0">C10-D10</f>
        <v>5928.4830000000002</v>
      </c>
      <c r="F10" s="36"/>
      <c r="G10" s="133">
        <f>+'Mgmt Summary'!G10</f>
        <v>4054.6792399999999</v>
      </c>
      <c r="H10" s="36">
        <f>GrossMargin!J11</f>
        <v>0</v>
      </c>
      <c r="I10" s="36">
        <f>+'Mgmt Summary'!I10</f>
        <v>0</v>
      </c>
      <c r="J10" s="136">
        <f t="shared" ref="J10:J17" si="1">SUM(G10:I10)</f>
        <v>4054.6792399999999</v>
      </c>
      <c r="K10" s="137"/>
      <c r="L10" s="139">
        <f>+'Mgmt Summary'!L10</f>
        <v>753.42399999999998</v>
      </c>
      <c r="M10" s="140">
        <f>+'Mgmt Summary'!M10</f>
        <v>4013.0929999999998</v>
      </c>
      <c r="N10" s="140">
        <f>+'Mgmt Summary'!N10</f>
        <v>3055</v>
      </c>
      <c r="O10" s="136">
        <f t="shared" ref="O10:O17" si="2">J10-K10-M10-N10-L10</f>
        <v>-3766.8377599999999</v>
      </c>
      <c r="P10" s="37"/>
      <c r="Q10" s="133">
        <f>+'Mgmt Summary'!Q10</f>
        <v>-9695.3207600000005</v>
      </c>
      <c r="R10" s="36"/>
      <c r="S10" s="36">
        <f>+'Mgmt Summary'!S10</f>
        <v>0</v>
      </c>
      <c r="T10" s="36">
        <f>+'Mgmt Summary'!T10</f>
        <v>0</v>
      </c>
      <c r="U10" s="36">
        <f>+'Mgmt Summary'!U10</f>
        <v>0</v>
      </c>
      <c r="V10" s="135">
        <f t="shared" ref="V10:V17" si="3">ROUND(SUM(Q10:U10),0)</f>
        <v>-9695</v>
      </c>
      <c r="W10" s="32"/>
    </row>
    <row r="11" spans="1:24" ht="13.5" customHeight="1">
      <c r="A11" s="107" t="s">
        <v>44</v>
      </c>
      <c r="B11" s="35"/>
      <c r="C11" s="133">
        <f>+'Mgmt Summary'!C11</f>
        <v>5000</v>
      </c>
      <c r="D11" s="36">
        <f>+'Mgmt Summary'!D11</f>
        <v>2056.681</v>
      </c>
      <c r="E11" s="135">
        <f t="shared" si="0"/>
        <v>2943.319</v>
      </c>
      <c r="F11" s="36"/>
      <c r="G11" s="133">
        <f>+'Mgmt Summary'!G11</f>
        <v>-957</v>
      </c>
      <c r="H11" s="36">
        <f>GrossMargin!J12</f>
        <v>0</v>
      </c>
      <c r="I11" s="36">
        <f>+'Mgmt Summary'!I11</f>
        <v>0</v>
      </c>
      <c r="J11" s="136">
        <f t="shared" si="1"/>
        <v>-957</v>
      </c>
      <c r="K11" s="137"/>
      <c r="L11" s="139">
        <f>+'Mgmt Summary'!L11</f>
        <v>39.063000000000002</v>
      </c>
      <c r="M11" s="140">
        <f>+'Mgmt Summary'!M11</f>
        <v>1213.6179999999999</v>
      </c>
      <c r="N11" s="140">
        <f>+'Mgmt Summary'!N11</f>
        <v>804</v>
      </c>
      <c r="O11" s="136">
        <f t="shared" si="2"/>
        <v>-3013.681</v>
      </c>
      <c r="P11" s="37"/>
      <c r="Q11" s="133">
        <f>+'Mgmt Summary'!Q11</f>
        <v>-5957</v>
      </c>
      <c r="R11" s="36"/>
      <c r="S11" s="36">
        <f>+'Mgmt Summary'!S11</f>
        <v>0</v>
      </c>
      <c r="T11" s="36">
        <f>+'Mgmt Summary'!T11</f>
        <v>0</v>
      </c>
      <c r="U11" s="36">
        <f>+'Mgmt Summary'!U11</f>
        <v>0</v>
      </c>
      <c r="V11" s="135">
        <f t="shared" si="3"/>
        <v>-5957</v>
      </c>
      <c r="W11" s="32"/>
    </row>
    <row r="12" spans="1:24" ht="13.5" customHeight="1">
      <c r="A12" s="107" t="s">
        <v>64</v>
      </c>
      <c r="B12" s="35"/>
      <c r="C12" s="133">
        <f>+'Mgmt Summary'!C12</f>
        <v>8509.2510000000002</v>
      </c>
      <c r="D12" s="36">
        <f>+'Mgmt Summary'!D12</f>
        <v>3731.5230000000001</v>
      </c>
      <c r="E12" s="135">
        <f t="shared" si="0"/>
        <v>4777.7280000000001</v>
      </c>
      <c r="F12" s="36"/>
      <c r="G12" s="133">
        <f>+'Mgmt Summary'!G12</f>
        <v>-4</v>
      </c>
      <c r="H12" s="36">
        <f>GrossMargin!J13</f>
        <v>0</v>
      </c>
      <c r="I12" s="36">
        <f>+'Mgmt Summary'!I12</f>
        <v>0</v>
      </c>
      <c r="J12" s="136">
        <f t="shared" si="1"/>
        <v>-4</v>
      </c>
      <c r="K12" s="137"/>
      <c r="L12" s="139">
        <f>+'Mgmt Summary'!L12</f>
        <v>0</v>
      </c>
      <c r="M12" s="140">
        <f>+'Mgmt Summary'!M12</f>
        <v>1808.5229999999999</v>
      </c>
      <c r="N12" s="140">
        <f>+'Mgmt Summary'!N12</f>
        <v>1923</v>
      </c>
      <c r="O12" s="136">
        <f t="shared" si="2"/>
        <v>-3735.5230000000001</v>
      </c>
      <c r="P12" s="37"/>
      <c r="Q12" s="133">
        <f>+'Mgmt Summary'!Q12</f>
        <v>-8513.2510000000002</v>
      </c>
      <c r="R12" s="36"/>
      <c r="S12" s="36">
        <f>+'Mgmt Summary'!S12</f>
        <v>0</v>
      </c>
      <c r="T12" s="36">
        <f>+'Mgmt Summary'!T12</f>
        <v>0</v>
      </c>
      <c r="U12" s="36">
        <f>+'Mgmt Summary'!U12</f>
        <v>0</v>
      </c>
      <c r="V12" s="135">
        <f t="shared" si="3"/>
        <v>-8513</v>
      </c>
      <c r="W12" s="32"/>
    </row>
    <row r="13" spans="1:24" ht="13.5" customHeight="1">
      <c r="A13" s="107" t="s">
        <v>71</v>
      </c>
      <c r="B13" s="35"/>
      <c r="C13" s="133">
        <f>+'Mgmt Summary'!C13</f>
        <v>4875</v>
      </c>
      <c r="D13" s="36">
        <f>+'Mgmt Summary'!D13</f>
        <v>2534.6480000000001</v>
      </c>
      <c r="E13" s="135">
        <f t="shared" si="0"/>
        <v>2340.3519999999999</v>
      </c>
      <c r="F13" s="36"/>
      <c r="G13" s="133">
        <f>+'Mgmt Summary'!G13</f>
        <v>0</v>
      </c>
      <c r="H13" s="36">
        <f>GrossMargin!J14</f>
        <v>0</v>
      </c>
      <c r="I13" s="36">
        <f>+'Mgmt Summary'!I13</f>
        <v>0</v>
      </c>
      <c r="J13" s="136">
        <f t="shared" si="1"/>
        <v>0</v>
      </c>
      <c r="K13" s="137"/>
      <c r="L13" s="139">
        <f>+'Mgmt Summary'!L13</f>
        <v>0</v>
      </c>
      <c r="M13" s="140">
        <f>+'Mgmt Summary'!M13</f>
        <v>1802.6479999999999</v>
      </c>
      <c r="N13" s="140">
        <f>+'Mgmt Summary'!N13</f>
        <v>732</v>
      </c>
      <c r="O13" s="136">
        <f t="shared" si="2"/>
        <v>-2534.6480000000001</v>
      </c>
      <c r="P13" s="37"/>
      <c r="Q13" s="133">
        <f>+'Mgmt Summary'!Q13</f>
        <v>-4875</v>
      </c>
      <c r="R13" s="36"/>
      <c r="S13" s="36">
        <f>+'Mgmt Summary'!S13</f>
        <v>0</v>
      </c>
      <c r="T13" s="36">
        <f>+'Mgmt Summary'!T13</f>
        <v>0</v>
      </c>
      <c r="U13" s="36">
        <f>+'Mgmt Summary'!U13</f>
        <v>0</v>
      </c>
      <c r="V13" s="135">
        <f t="shared" si="3"/>
        <v>-4875</v>
      </c>
      <c r="W13" s="32"/>
    </row>
    <row r="14" spans="1:24" s="64" customFormat="1" ht="13.5" customHeight="1">
      <c r="A14" s="167" t="s">
        <v>50</v>
      </c>
      <c r="B14" s="178"/>
      <c r="C14" s="133">
        <f>+'Mgmt Summary'!C14</f>
        <v>20000</v>
      </c>
      <c r="D14" s="36">
        <f>+'Mgmt Summary'!D14</f>
        <v>5782.3860000000004</v>
      </c>
      <c r="E14" s="135">
        <f t="shared" si="0"/>
        <v>14217.614</v>
      </c>
      <c r="F14" s="36"/>
      <c r="G14" s="133">
        <f>+'Mgmt Summary'!G14</f>
        <v>2077</v>
      </c>
      <c r="H14" s="36">
        <f>GrossMargin!J15</f>
        <v>0</v>
      </c>
      <c r="I14" s="36">
        <f>+'Mgmt Summary'!I14</f>
        <v>0</v>
      </c>
      <c r="J14" s="136">
        <f t="shared" si="1"/>
        <v>2077</v>
      </c>
      <c r="K14" s="137"/>
      <c r="L14" s="139">
        <f>+'Mgmt Summary'!L14</f>
        <v>0</v>
      </c>
      <c r="M14" s="140">
        <f>+'Mgmt Summary'!M14</f>
        <v>3467.386</v>
      </c>
      <c r="N14" s="140">
        <f>+'Mgmt Summary'!N14</f>
        <v>2315</v>
      </c>
      <c r="O14" s="136">
        <f t="shared" si="2"/>
        <v>-3705.386</v>
      </c>
      <c r="P14" s="37"/>
      <c r="Q14" s="133">
        <f>+'Mgmt Summary'!Q14</f>
        <v>-17923</v>
      </c>
      <c r="R14" s="36"/>
      <c r="S14" s="36">
        <f>+'Mgmt Summary'!S14</f>
        <v>0</v>
      </c>
      <c r="T14" s="36">
        <f>+'Mgmt Summary'!T14</f>
        <v>0</v>
      </c>
      <c r="U14" s="36">
        <f>+'Mgmt Summary'!U14</f>
        <v>0</v>
      </c>
      <c r="V14" s="135">
        <f t="shared" si="3"/>
        <v>-17923</v>
      </c>
      <c r="W14" s="63"/>
      <c r="X14" s="169"/>
    </row>
    <row r="15" spans="1:24" s="64" customFormat="1" ht="13.5" customHeight="1">
      <c r="A15" s="167" t="s">
        <v>90</v>
      </c>
      <c r="B15" s="178"/>
      <c r="C15" s="133">
        <f>+'Mgmt Summary'!C15</f>
        <v>500</v>
      </c>
      <c r="D15" s="36">
        <f>+'Mgmt Summary'!D15</f>
        <v>614.70699999999999</v>
      </c>
      <c r="E15" s="135">
        <f t="shared" si="0"/>
        <v>-114.70699999999999</v>
      </c>
      <c r="F15" s="36"/>
      <c r="G15" s="133">
        <f>+'Mgmt Summary'!G15</f>
        <v>0</v>
      </c>
      <c r="H15" s="36">
        <f>GrossMargin!J16</f>
        <v>0</v>
      </c>
      <c r="I15" s="36">
        <f>+'Mgmt Summary'!I15</f>
        <v>0</v>
      </c>
      <c r="J15" s="136">
        <f t="shared" si="1"/>
        <v>0</v>
      </c>
      <c r="K15" s="137"/>
      <c r="L15" s="139">
        <f>+'Mgmt Summary'!L15</f>
        <v>0</v>
      </c>
      <c r="M15" s="140">
        <f>+'Mgmt Summary'!M15</f>
        <v>461.70699999999999</v>
      </c>
      <c r="N15" s="140">
        <f>+'Mgmt Summary'!N15</f>
        <v>153</v>
      </c>
      <c r="O15" s="136">
        <f t="shared" si="2"/>
        <v>-614.70699999999999</v>
      </c>
      <c r="P15" s="37"/>
      <c r="Q15" s="133">
        <f>+'Mgmt Summary'!Q15</f>
        <v>-500</v>
      </c>
      <c r="R15" s="36"/>
      <c r="S15" s="36">
        <f>+'Mgmt Summary'!S15</f>
        <v>0</v>
      </c>
      <c r="T15" s="36">
        <f>+'Mgmt Summary'!T15</f>
        <v>0</v>
      </c>
      <c r="U15" s="36">
        <f>+'Mgmt Summary'!U15</f>
        <v>0</v>
      </c>
      <c r="V15" s="135">
        <f t="shared" si="3"/>
        <v>-500</v>
      </c>
      <c r="W15" s="63"/>
      <c r="X15" s="169"/>
    </row>
    <row r="16" spans="1:24" ht="13.5" customHeight="1">
      <c r="A16" s="107" t="s">
        <v>11</v>
      </c>
      <c r="B16" s="35"/>
      <c r="C16" s="133" t="e">
        <f>+'Mgmt Summary'!#REF!</f>
        <v>#REF!</v>
      </c>
      <c r="D16" s="36" t="e">
        <f>+'Mgmt Summary'!#REF!</f>
        <v>#REF!</v>
      </c>
      <c r="E16" s="135" t="e">
        <f t="shared" si="0"/>
        <v>#REF!</v>
      </c>
      <c r="F16" s="36"/>
      <c r="G16" s="133" t="e">
        <f>+'Mgmt Summary'!#REF!</f>
        <v>#REF!</v>
      </c>
      <c r="H16" s="36">
        <f>GrossMargin!J17</f>
        <v>0</v>
      </c>
      <c r="I16" s="36" t="e">
        <f>+'Mgmt Summary'!#REF!</f>
        <v>#REF!</v>
      </c>
      <c r="J16" s="136" t="e">
        <f t="shared" si="1"/>
        <v>#REF!</v>
      </c>
      <c r="K16" s="137"/>
      <c r="L16" s="139" t="e">
        <f>+'Mgmt Summary'!#REF!</f>
        <v>#REF!</v>
      </c>
      <c r="M16" s="140" t="e">
        <f>+'Mgmt Summary'!#REF!</f>
        <v>#REF!</v>
      </c>
      <c r="N16" s="140" t="e">
        <f>+'Mgmt Summary'!#REF!</f>
        <v>#REF!</v>
      </c>
      <c r="O16" s="136" t="e">
        <f t="shared" si="2"/>
        <v>#REF!</v>
      </c>
      <c r="P16" s="37"/>
      <c r="Q16" s="133" t="e">
        <f>+'Mgmt Summary'!#REF!</f>
        <v>#REF!</v>
      </c>
      <c r="R16" s="36"/>
      <c r="S16" s="36" t="e">
        <f>+'Mgmt Summary'!#REF!</f>
        <v>#REF!</v>
      </c>
      <c r="T16" s="36" t="e">
        <f>+'Mgmt Summary'!#REF!</f>
        <v>#REF!</v>
      </c>
      <c r="U16" s="36" t="e">
        <f>+'Mgmt Summary'!#REF!</f>
        <v>#REF!</v>
      </c>
      <c r="V16" s="135" t="e">
        <f t="shared" si="3"/>
        <v>#REF!</v>
      </c>
      <c r="W16" s="32"/>
    </row>
    <row r="17" spans="1:24" ht="13.5" customHeight="1">
      <c r="A17" s="107" t="s">
        <v>2</v>
      </c>
      <c r="B17" s="35"/>
      <c r="C17" s="133">
        <f>+'Mgmt Summary'!C19</f>
        <v>0</v>
      </c>
      <c r="D17" s="36">
        <f>+'Mgmt Summary'!D19</f>
        <v>1765.539</v>
      </c>
      <c r="E17" s="135">
        <f t="shared" si="0"/>
        <v>-1765.539</v>
      </c>
      <c r="F17" s="36"/>
      <c r="G17" s="133">
        <f>+'Mgmt Summary'!G19</f>
        <v>0</v>
      </c>
      <c r="H17" s="36">
        <f>GrossMargin!J18</f>
        <v>0</v>
      </c>
      <c r="I17" s="36">
        <f>+'Mgmt Summary'!I19</f>
        <v>0</v>
      </c>
      <c r="J17" s="136">
        <f t="shared" si="1"/>
        <v>0</v>
      </c>
      <c r="K17" s="137"/>
      <c r="L17" s="139">
        <f>+'Mgmt Summary'!L19</f>
        <v>0</v>
      </c>
      <c r="M17" s="140">
        <f>+'Mgmt Summary'!M19</f>
        <v>1495.539</v>
      </c>
      <c r="N17" s="140">
        <f>+'Mgmt Summary'!N19</f>
        <v>520</v>
      </c>
      <c r="O17" s="136">
        <f t="shared" si="2"/>
        <v>-2015.539</v>
      </c>
      <c r="P17" s="37"/>
      <c r="Q17" s="133">
        <f>+'Mgmt Summary'!Q19</f>
        <v>0</v>
      </c>
      <c r="R17" s="36"/>
      <c r="S17" s="36">
        <f>+'Mgmt Summary'!S19</f>
        <v>0</v>
      </c>
      <c r="T17" s="36">
        <f>+'Mgmt Summary'!T19</f>
        <v>-250</v>
      </c>
      <c r="U17" s="36">
        <f>+'Mgmt Summary'!U19</f>
        <v>0</v>
      </c>
      <c r="V17" s="135">
        <f t="shared" si="3"/>
        <v>-250</v>
      </c>
      <c r="W17" s="32"/>
    </row>
    <row r="18" spans="1:24" ht="3" customHeight="1">
      <c r="A18" s="107"/>
      <c r="B18" s="35"/>
      <c r="C18" s="133"/>
      <c r="D18" s="36"/>
      <c r="E18" s="135"/>
      <c r="F18" s="36"/>
      <c r="G18" s="133"/>
      <c r="H18" s="36"/>
      <c r="I18" s="36"/>
      <c r="J18" s="136"/>
      <c r="K18" s="137"/>
      <c r="L18" s="134"/>
      <c r="M18" s="36"/>
      <c r="N18" s="36"/>
      <c r="O18" s="136"/>
      <c r="P18" s="37"/>
      <c r="Q18" s="133"/>
      <c r="R18" s="36"/>
      <c r="S18" s="36"/>
      <c r="T18" s="36"/>
      <c r="U18" s="36"/>
      <c r="V18" s="135"/>
      <c r="W18" s="32"/>
    </row>
    <row r="19" spans="1:24" s="34" customFormat="1" ht="12" customHeight="1">
      <c r="A19" s="38" t="s">
        <v>96</v>
      </c>
      <c r="B19" s="35"/>
      <c r="C19" s="43" t="e">
        <f>SUM(C9:C18)</f>
        <v>#REF!</v>
      </c>
      <c r="D19" s="44" t="e">
        <f>SUM(D9:D18)</f>
        <v>#REF!</v>
      </c>
      <c r="E19" s="45" t="e">
        <f>SUM(E9:E18)</f>
        <v>#REF!</v>
      </c>
      <c r="F19" s="36"/>
      <c r="G19" s="43" t="e">
        <f t="shared" ref="G19:O19" si="4">SUM(G9:G18)</f>
        <v>#REF!</v>
      </c>
      <c r="H19" s="44">
        <f t="shared" si="4"/>
        <v>0</v>
      </c>
      <c r="I19" s="45" t="e">
        <f t="shared" si="4"/>
        <v>#REF!</v>
      </c>
      <c r="J19" s="46" t="e">
        <f t="shared" si="4"/>
        <v>#REF!</v>
      </c>
      <c r="K19" s="44">
        <f t="shared" si="4"/>
        <v>0</v>
      </c>
      <c r="L19" s="43" t="e">
        <f t="shared" si="4"/>
        <v>#REF!</v>
      </c>
      <c r="M19" s="44" t="e">
        <f t="shared" si="4"/>
        <v>#REF!</v>
      </c>
      <c r="N19" s="44" t="e">
        <f t="shared" si="4"/>
        <v>#REF!</v>
      </c>
      <c r="O19" s="46" t="e">
        <f t="shared" si="4"/>
        <v>#REF!</v>
      </c>
      <c r="P19" s="180"/>
      <c r="Q19" s="43" t="e">
        <f t="shared" ref="Q19:V19" si="5">SUM(Q9:Q18)</f>
        <v>#REF!</v>
      </c>
      <c r="R19" s="44">
        <f t="shared" si="5"/>
        <v>0</v>
      </c>
      <c r="S19" s="44" t="e">
        <f t="shared" si="5"/>
        <v>#REF!</v>
      </c>
      <c r="T19" s="44" t="e">
        <f t="shared" si="5"/>
        <v>#REF!</v>
      </c>
      <c r="U19" s="44" t="e">
        <f t="shared" si="5"/>
        <v>#REF!</v>
      </c>
      <c r="V19" s="45" t="e">
        <f t="shared" si="5"/>
        <v>#REF!</v>
      </c>
      <c r="W19" s="32"/>
    </row>
    <row r="20" spans="1:24" ht="3" customHeight="1">
      <c r="A20" s="107"/>
      <c r="B20" s="35"/>
      <c r="C20" s="133"/>
      <c r="D20" s="36"/>
      <c r="E20" s="135"/>
      <c r="F20" s="36"/>
      <c r="G20" s="133"/>
      <c r="H20" s="36"/>
      <c r="I20" s="36"/>
      <c r="J20" s="136"/>
      <c r="K20" s="137"/>
      <c r="L20" s="134"/>
      <c r="M20" s="36"/>
      <c r="N20" s="36"/>
      <c r="O20" s="136"/>
      <c r="P20" s="37"/>
      <c r="Q20" s="133"/>
      <c r="R20" s="36"/>
      <c r="S20" s="36"/>
      <c r="T20" s="36"/>
      <c r="U20" s="36"/>
      <c r="V20" s="135"/>
      <c r="W20" s="32"/>
    </row>
    <row r="21" spans="1:24" s="64" customFormat="1" ht="13.5" customHeight="1">
      <c r="A21" s="167" t="s">
        <v>91</v>
      </c>
      <c r="B21" s="178"/>
      <c r="C21" s="133">
        <f>+'Mgmt Summary'!C16</f>
        <v>3000</v>
      </c>
      <c r="D21" s="36">
        <f>+'Mgmt Summary'!D16</f>
        <v>2575.25</v>
      </c>
      <c r="E21" s="135">
        <f>C21-D21</f>
        <v>424.75</v>
      </c>
      <c r="F21" s="36"/>
      <c r="G21" s="133">
        <f>+'Mgmt Summary'!G16</f>
        <v>-34</v>
      </c>
      <c r="H21" s="36">
        <f>GrossMargin!J22</f>
        <v>0</v>
      </c>
      <c r="I21" s="36">
        <f>+'Mgmt Summary'!I16</f>
        <v>0</v>
      </c>
      <c r="J21" s="136">
        <f>SUM(G21:I21)</f>
        <v>-34</v>
      </c>
      <c r="K21" s="137"/>
      <c r="L21" s="139">
        <f>+'Mgmt Summary'!L16</f>
        <v>0</v>
      </c>
      <c r="M21" s="140">
        <f>+'Mgmt Summary'!M16</f>
        <v>1430.25</v>
      </c>
      <c r="N21" s="140">
        <f>+'Mgmt Summary'!N16</f>
        <v>1145</v>
      </c>
      <c r="O21" s="136">
        <f>J21-K21-M21-N21-L21</f>
        <v>-2609.25</v>
      </c>
      <c r="P21" s="37"/>
      <c r="Q21" s="133">
        <f>+'Mgmt Summary'!Q16</f>
        <v>-3034</v>
      </c>
      <c r="R21" s="36"/>
      <c r="S21" s="36">
        <f>+'Mgmt Summary'!S16</f>
        <v>0</v>
      </c>
      <c r="T21" s="36">
        <f>+'Mgmt Summary'!T16</f>
        <v>0</v>
      </c>
      <c r="U21" s="36">
        <f>+'Mgmt Summary'!U16</f>
        <v>0</v>
      </c>
      <c r="V21" s="135">
        <f>ROUND(SUM(Q21:U21),0)</f>
        <v>-3034</v>
      </c>
      <c r="W21" s="63"/>
      <c r="X21" s="169"/>
    </row>
    <row r="22" spans="1:24" s="64" customFormat="1" ht="13.5" customHeight="1">
      <c r="A22" s="167" t="s">
        <v>92</v>
      </c>
      <c r="B22" s="178"/>
      <c r="C22" s="133">
        <f>+'Mgmt Summary'!C17</f>
        <v>1413</v>
      </c>
      <c r="D22" s="36">
        <f>+'Mgmt Summary'!D17</f>
        <v>1588.5</v>
      </c>
      <c r="E22" s="135">
        <f>C22-D22</f>
        <v>-175.5</v>
      </c>
      <c r="F22" s="36"/>
      <c r="G22" s="133">
        <f>+'Mgmt Summary'!G17</f>
        <v>0</v>
      </c>
      <c r="H22" s="36">
        <f>GrossMargin!J26</f>
        <v>0</v>
      </c>
      <c r="I22" s="36">
        <f>+'Mgmt Summary'!I17</f>
        <v>0</v>
      </c>
      <c r="J22" s="136">
        <f>SUM(G22:I22)</f>
        <v>0</v>
      </c>
      <c r="K22" s="137"/>
      <c r="L22" s="139">
        <f>+'Mgmt Summary'!L17</f>
        <v>0</v>
      </c>
      <c r="M22" s="140">
        <f>+'Mgmt Summary'!M17</f>
        <v>809.5</v>
      </c>
      <c r="N22" s="140">
        <f>+'Mgmt Summary'!N17</f>
        <v>779</v>
      </c>
      <c r="O22" s="136">
        <f>J22-K22-M22-N22-L22</f>
        <v>-1588.5</v>
      </c>
      <c r="P22" s="37"/>
      <c r="Q22" s="133">
        <f>+'Mgmt Summary'!Q17</f>
        <v>-1413</v>
      </c>
      <c r="R22" s="36"/>
      <c r="S22" s="36">
        <f>+'Mgmt Summary'!S17</f>
        <v>0</v>
      </c>
      <c r="T22" s="36">
        <f>+'Mgmt Summary'!T17</f>
        <v>0</v>
      </c>
      <c r="U22" s="36">
        <f>+'Mgmt Summary'!U17</f>
        <v>0</v>
      </c>
      <c r="V22" s="135">
        <f>ROUND(SUM(Q22:U22),0)</f>
        <v>-1413</v>
      </c>
      <c r="W22" s="63"/>
      <c r="X22" s="169"/>
    </row>
    <row r="23" spans="1:24" s="64" customFormat="1" ht="13.5" customHeight="1">
      <c r="A23" s="167" t="s">
        <v>93</v>
      </c>
      <c r="B23" s="178"/>
      <c r="C23" s="133">
        <f>+'Mgmt Summary'!C18</f>
        <v>-858.5010000000002</v>
      </c>
      <c r="D23" s="36">
        <f>+'Mgmt Summary'!D18</f>
        <v>1565.9259999999999</v>
      </c>
      <c r="E23" s="135">
        <f>C23-D23</f>
        <v>-2424.4270000000001</v>
      </c>
      <c r="F23" s="36"/>
      <c r="G23" s="133">
        <f>+'Mgmt Summary'!G18</f>
        <v>0</v>
      </c>
      <c r="H23" s="36" t="e">
        <f>GrossMargin!#REF!</f>
        <v>#REF!</v>
      </c>
      <c r="I23" s="36">
        <f>+'Mgmt Summary'!I18</f>
        <v>0</v>
      </c>
      <c r="J23" s="136" t="e">
        <f>SUM(G23:I23)</f>
        <v>#REF!</v>
      </c>
      <c r="K23" s="137"/>
      <c r="L23" s="139">
        <f>+'Mgmt Summary'!L18</f>
        <v>591</v>
      </c>
      <c r="M23" s="140">
        <f>+'Mgmt Summary'!M18</f>
        <v>413.92599999999999</v>
      </c>
      <c r="N23" s="140">
        <f>+'Mgmt Summary'!N18</f>
        <v>561</v>
      </c>
      <c r="O23" s="136" t="e">
        <f>J23-K23-M23-N23-L23</f>
        <v>#REF!</v>
      </c>
      <c r="P23" s="37"/>
      <c r="Q23" s="133">
        <f>+'Mgmt Summary'!Q18</f>
        <v>858.5010000000002</v>
      </c>
      <c r="R23" s="36"/>
      <c r="S23" s="36">
        <f>+'Mgmt Summary'!S18</f>
        <v>0</v>
      </c>
      <c r="T23" s="36">
        <f>+'Mgmt Summary'!T18</f>
        <v>0</v>
      </c>
      <c r="U23" s="36">
        <f>+'Mgmt Summary'!U18</f>
        <v>0</v>
      </c>
      <c r="V23" s="135">
        <f>ROUND(SUM(Q23:U23),0)</f>
        <v>859</v>
      </c>
      <c r="W23" s="63"/>
      <c r="X23" s="169"/>
    </row>
    <row r="24" spans="1:24" ht="3" customHeight="1">
      <c r="A24" s="107"/>
      <c r="B24" s="35"/>
      <c r="C24" s="133"/>
      <c r="D24" s="36"/>
      <c r="E24" s="135"/>
      <c r="F24" s="36"/>
      <c r="G24" s="133"/>
      <c r="H24" s="36"/>
      <c r="I24" s="36"/>
      <c r="J24" s="136"/>
      <c r="K24" s="137"/>
      <c r="L24" s="134"/>
      <c r="M24" s="36"/>
      <c r="N24" s="36"/>
      <c r="O24" s="136"/>
      <c r="P24" s="37"/>
      <c r="Q24" s="133"/>
      <c r="R24" s="36"/>
      <c r="S24" s="36"/>
      <c r="T24" s="36"/>
      <c r="U24" s="36"/>
      <c r="V24" s="135"/>
      <c r="W24" s="32"/>
    </row>
    <row r="25" spans="1:24" s="34" customFormat="1" ht="12" customHeight="1">
      <c r="A25" s="38" t="s">
        <v>100</v>
      </c>
      <c r="B25" s="35"/>
      <c r="C25" s="43">
        <f>SUM(C21:C24)</f>
        <v>3554.4989999999998</v>
      </c>
      <c r="D25" s="44">
        <f>SUM(D21:D24)</f>
        <v>5729.6759999999995</v>
      </c>
      <c r="E25" s="45">
        <f>SUM(E21:E24)</f>
        <v>-2175.1770000000001</v>
      </c>
      <c r="F25" s="36">
        <f>SUM(F19:F23)</f>
        <v>0</v>
      </c>
      <c r="G25" s="43">
        <f t="shared" ref="G25:O25" si="6">SUM(G21:G24)</f>
        <v>-34</v>
      </c>
      <c r="H25" s="44" t="e">
        <f t="shared" si="6"/>
        <v>#REF!</v>
      </c>
      <c r="I25" s="45">
        <f t="shared" si="6"/>
        <v>0</v>
      </c>
      <c r="J25" s="46" t="e">
        <f t="shared" si="6"/>
        <v>#REF!</v>
      </c>
      <c r="K25" s="44">
        <f t="shared" si="6"/>
        <v>0</v>
      </c>
      <c r="L25" s="43">
        <f t="shared" si="6"/>
        <v>591</v>
      </c>
      <c r="M25" s="44">
        <f t="shared" si="6"/>
        <v>2653.6759999999999</v>
      </c>
      <c r="N25" s="44">
        <f t="shared" si="6"/>
        <v>2485</v>
      </c>
      <c r="O25" s="46" t="e">
        <f t="shared" si="6"/>
        <v>#REF!</v>
      </c>
      <c r="P25" s="180"/>
      <c r="Q25" s="43">
        <f t="shared" ref="Q25:V25" si="7">SUM(Q21:Q24)</f>
        <v>-3588.4989999999998</v>
      </c>
      <c r="R25" s="44">
        <f t="shared" si="7"/>
        <v>0</v>
      </c>
      <c r="S25" s="44">
        <f t="shared" si="7"/>
        <v>0</v>
      </c>
      <c r="T25" s="44">
        <f t="shared" si="7"/>
        <v>0</v>
      </c>
      <c r="U25" s="44">
        <f t="shared" si="7"/>
        <v>0</v>
      </c>
      <c r="V25" s="45">
        <f t="shared" si="7"/>
        <v>-3588</v>
      </c>
      <c r="W25" s="32"/>
    </row>
    <row r="26" spans="1:24" ht="3" customHeight="1">
      <c r="A26" s="107"/>
      <c r="B26" s="35"/>
      <c r="C26" s="133"/>
      <c r="D26" s="36"/>
      <c r="E26" s="135"/>
      <c r="F26" s="36"/>
      <c r="G26" s="133"/>
      <c r="H26" s="36"/>
      <c r="I26" s="36"/>
      <c r="J26" s="136"/>
      <c r="K26" s="137"/>
      <c r="L26" s="134"/>
      <c r="M26" s="36"/>
      <c r="N26" s="36"/>
      <c r="O26" s="136"/>
      <c r="P26" s="37"/>
      <c r="Q26" s="133"/>
      <c r="R26" s="36"/>
      <c r="S26" s="36"/>
      <c r="T26" s="36"/>
      <c r="U26" s="36"/>
      <c r="V26" s="135"/>
      <c r="W26" s="32"/>
    </row>
    <row r="27" spans="1:24" ht="3" customHeight="1">
      <c r="A27" s="107"/>
      <c r="B27" s="35"/>
      <c r="C27" s="133"/>
      <c r="D27" s="36"/>
      <c r="E27" s="135"/>
      <c r="F27" s="36"/>
      <c r="G27" s="133"/>
      <c r="H27" s="36"/>
      <c r="I27" s="36"/>
      <c r="J27" s="136"/>
      <c r="K27" s="137"/>
      <c r="L27" s="134"/>
      <c r="M27" s="36"/>
      <c r="N27" s="36"/>
      <c r="O27" s="136"/>
      <c r="P27" s="37"/>
      <c r="Q27" s="133"/>
      <c r="R27" s="36"/>
      <c r="S27" s="36"/>
      <c r="T27" s="36"/>
      <c r="U27" s="36"/>
      <c r="V27" s="135"/>
      <c r="W27" s="32"/>
    </row>
    <row r="28" spans="1:24" s="34" customFormat="1" ht="12" customHeight="1">
      <c r="A28" s="38" t="s">
        <v>3</v>
      </c>
      <c r="B28" s="35"/>
      <c r="C28" s="43" t="e">
        <f>+C19+C25</f>
        <v>#REF!</v>
      </c>
      <c r="D28" s="44" t="e">
        <f>+D19+D25</f>
        <v>#REF!</v>
      </c>
      <c r="E28" s="45" t="e">
        <f>+E19+E25</f>
        <v>#REF!</v>
      </c>
      <c r="F28" s="36">
        <f>SUM(F25:F26)</f>
        <v>0</v>
      </c>
      <c r="G28" s="43" t="e">
        <f t="shared" ref="G28:O28" si="8">+G19+G25</f>
        <v>#REF!</v>
      </c>
      <c r="H28" s="44" t="e">
        <f t="shared" si="8"/>
        <v>#REF!</v>
      </c>
      <c r="I28" s="45" t="e">
        <f t="shared" si="8"/>
        <v>#REF!</v>
      </c>
      <c r="J28" s="46" t="e">
        <f t="shared" si="8"/>
        <v>#REF!</v>
      </c>
      <c r="K28" s="44">
        <f t="shared" si="8"/>
        <v>0</v>
      </c>
      <c r="L28" s="43" t="e">
        <f t="shared" si="8"/>
        <v>#REF!</v>
      </c>
      <c r="M28" s="44" t="e">
        <f t="shared" si="8"/>
        <v>#REF!</v>
      </c>
      <c r="N28" s="44" t="e">
        <f t="shared" si="8"/>
        <v>#REF!</v>
      </c>
      <c r="O28" s="46" t="e">
        <f t="shared" si="8"/>
        <v>#REF!</v>
      </c>
      <c r="P28" s="180"/>
      <c r="Q28" s="43" t="e">
        <f t="shared" ref="Q28:V28" si="9">+Q19+Q25</f>
        <v>#REF!</v>
      </c>
      <c r="R28" s="44">
        <f t="shared" si="9"/>
        <v>0</v>
      </c>
      <c r="S28" s="44" t="e">
        <f t="shared" si="9"/>
        <v>#REF!</v>
      </c>
      <c r="T28" s="44" t="e">
        <f t="shared" si="9"/>
        <v>#REF!</v>
      </c>
      <c r="U28" s="44" t="e">
        <f t="shared" si="9"/>
        <v>#REF!</v>
      </c>
      <c r="V28" s="45" t="e">
        <f t="shared" si="9"/>
        <v>#REF!</v>
      </c>
      <c r="W28" s="32"/>
    </row>
    <row r="29" spans="1:24" ht="3" customHeight="1">
      <c r="A29" s="107"/>
      <c r="B29" s="35"/>
      <c r="C29" s="133"/>
      <c r="D29" s="36"/>
      <c r="E29" s="135"/>
      <c r="F29" s="36"/>
      <c r="G29" s="133"/>
      <c r="H29" s="36"/>
      <c r="I29" s="36"/>
      <c r="J29" s="136"/>
      <c r="K29" s="137"/>
      <c r="L29" s="134"/>
      <c r="M29" s="36"/>
      <c r="N29" s="36"/>
      <c r="O29" s="136"/>
      <c r="P29" s="37"/>
      <c r="Q29" s="133"/>
      <c r="R29" s="36"/>
      <c r="S29" s="36"/>
      <c r="T29" s="36"/>
      <c r="U29" s="36"/>
      <c r="V29" s="135"/>
      <c r="W29" s="32"/>
    </row>
    <row r="30" spans="1:24" ht="13.5" customHeight="1">
      <c r="A30" s="107" t="s">
        <v>99</v>
      </c>
      <c r="B30" s="35"/>
      <c r="C30" s="133">
        <f>+'Mgmt Summary'!C23</f>
        <v>0</v>
      </c>
      <c r="D30" s="36">
        <f>+'Mgmt Summary'!D23</f>
        <v>27654</v>
      </c>
      <c r="E30" s="135">
        <f>C30-D30</f>
        <v>-27654</v>
      </c>
      <c r="F30" s="36"/>
      <c r="G30" s="133">
        <f>+'Mgmt Summary'!G23</f>
        <v>0</v>
      </c>
      <c r="H30" s="36" t="e">
        <f>GrossMargin!#REF!</f>
        <v>#REF!</v>
      </c>
      <c r="I30" s="36">
        <f>+'Mgmt Summary'!I23</f>
        <v>0</v>
      </c>
      <c r="J30" s="136" t="e">
        <f>SUM(G30:I30)</f>
        <v>#REF!</v>
      </c>
      <c r="K30" s="137"/>
      <c r="L30" s="139">
        <f>+'Mgmt Summary'!L23</f>
        <v>0</v>
      </c>
      <c r="M30" s="140">
        <f>+'Mgmt Summary'!M23</f>
        <v>27654</v>
      </c>
      <c r="N30" s="140">
        <f>+'Mgmt Summary'!N23</f>
        <v>0</v>
      </c>
      <c r="O30" s="136" t="e">
        <f>J30-K30-M30-N30-L30</f>
        <v>#REF!</v>
      </c>
      <c r="P30" s="37"/>
      <c r="Q30" s="133">
        <f>+'Mgmt Summary'!Q23</f>
        <v>0</v>
      </c>
      <c r="R30" s="36"/>
      <c r="S30" s="36">
        <f>+'Mgmt Summary'!S23</f>
        <v>0</v>
      </c>
      <c r="T30" s="36">
        <f>+'Mgmt Summary'!T23</f>
        <v>0</v>
      </c>
      <c r="U30" s="36">
        <f>+'Mgmt Summary'!U23</f>
        <v>0</v>
      </c>
      <c r="V30" s="135">
        <f>ROUND(SUM(Q30:U30),0)</f>
        <v>0</v>
      </c>
      <c r="W30" s="32"/>
    </row>
    <row r="31" spans="1:24" ht="13.5" customHeight="1">
      <c r="A31" s="107" t="s">
        <v>95</v>
      </c>
      <c r="B31" s="35"/>
      <c r="C31" s="133">
        <f>+'Mgmt Summary'!C24</f>
        <v>0</v>
      </c>
      <c r="D31" s="36">
        <f>+'Mgmt Summary'!D24</f>
        <v>-22348</v>
      </c>
      <c r="E31" s="135">
        <f>C31-D31</f>
        <v>22348</v>
      </c>
      <c r="F31" s="36"/>
      <c r="G31" s="133">
        <f>+'Mgmt Summary'!G24</f>
        <v>0</v>
      </c>
      <c r="H31" s="36" t="e">
        <f>GrossMargin!#REF!</f>
        <v>#REF!</v>
      </c>
      <c r="I31" s="36">
        <f>+'Mgmt Summary'!I24</f>
        <v>0</v>
      </c>
      <c r="J31" s="136" t="e">
        <f>SUM(G31:I31)</f>
        <v>#REF!</v>
      </c>
      <c r="K31" s="137"/>
      <c r="L31" s="139">
        <f>+'Mgmt Summary'!L24</f>
        <v>0</v>
      </c>
      <c r="M31" s="140">
        <f>+'Mgmt Summary'!M24</f>
        <v>0</v>
      </c>
      <c r="N31" s="140">
        <f>+'Mgmt Summary'!N24</f>
        <v>-22348</v>
      </c>
      <c r="O31" s="136" t="e">
        <f>J31-K31-M31-N31-L31</f>
        <v>#REF!</v>
      </c>
      <c r="P31" s="37"/>
      <c r="Q31" s="133">
        <f>+'Mgmt Summary'!Q24</f>
        <v>0</v>
      </c>
      <c r="R31" s="36"/>
      <c r="S31" s="36">
        <f>+'Mgmt Summary'!S24</f>
        <v>0</v>
      </c>
      <c r="T31" s="36">
        <f>+'Mgmt Summary'!T24</f>
        <v>0</v>
      </c>
      <c r="U31" s="36">
        <f>+'Mgmt Summary'!U24</f>
        <v>0</v>
      </c>
      <c r="V31" s="135">
        <f>ROUND(SUM(Q31:U31),0)</f>
        <v>0</v>
      </c>
      <c r="W31" s="32"/>
    </row>
    <row r="32" spans="1:24" ht="13.5" customHeight="1">
      <c r="A32" s="107" t="s">
        <v>10</v>
      </c>
      <c r="B32" s="35"/>
      <c r="C32" s="133">
        <f>+'Mgmt Summary'!C25</f>
        <v>-500</v>
      </c>
      <c r="D32" s="36">
        <f>+'Mgmt Summary'!D25</f>
        <v>0</v>
      </c>
      <c r="E32" s="135">
        <f>C32-D32</f>
        <v>-500</v>
      </c>
      <c r="F32" s="36"/>
      <c r="G32" s="133">
        <f>+'Mgmt Summary'!G25</f>
        <v>-500</v>
      </c>
      <c r="H32" s="36" t="e">
        <f>GrossMargin!#REF!</f>
        <v>#REF!</v>
      </c>
      <c r="I32" s="36">
        <f>+'Mgmt Summary'!I25</f>
        <v>0</v>
      </c>
      <c r="J32" s="136" t="e">
        <f>SUM(G32:I32)</f>
        <v>#REF!</v>
      </c>
      <c r="K32" s="137"/>
      <c r="L32" s="139">
        <f>+'Mgmt Summary'!L25</f>
        <v>0</v>
      </c>
      <c r="M32" s="140">
        <f>+'Mgmt Summary'!M25</f>
        <v>0</v>
      </c>
      <c r="N32" s="140">
        <f>+'Mgmt Summary'!N25</f>
        <v>0</v>
      </c>
      <c r="O32" s="136" t="e">
        <f>J32-K32-M32-N32-L32</f>
        <v>#REF!</v>
      </c>
      <c r="P32" s="37"/>
      <c r="Q32" s="133">
        <f>+'Mgmt Summary'!Q25</f>
        <v>0</v>
      </c>
      <c r="R32" s="36"/>
      <c r="S32" s="36">
        <f>+'Mgmt Summary'!S25</f>
        <v>0</v>
      </c>
      <c r="T32" s="36">
        <f>+'Mgmt Summary'!T25</f>
        <v>0</v>
      </c>
      <c r="U32" s="36">
        <f>+'Mgmt Summary'!U25</f>
        <v>0</v>
      </c>
      <c r="V32" s="135">
        <f>ROUND(SUM(Q32:U32),0)</f>
        <v>0</v>
      </c>
      <c r="W32" s="32"/>
    </row>
    <row r="33" spans="1:23" ht="13.5" customHeight="1">
      <c r="A33" s="107" t="s">
        <v>35</v>
      </c>
      <c r="B33" s="35"/>
      <c r="C33" s="133">
        <f>+'Mgmt Summary'!C26</f>
        <v>0</v>
      </c>
      <c r="D33" s="36">
        <f>+'Mgmt Summary'!D26</f>
        <v>-1383.4870000000001</v>
      </c>
      <c r="E33" s="135">
        <f>C33-D33</f>
        <v>1383.4870000000001</v>
      </c>
      <c r="F33" s="36"/>
      <c r="G33" s="133">
        <f>+'Mgmt Summary'!G26</f>
        <v>0</v>
      </c>
      <c r="H33" s="36">
        <f>GrossMargin!J27</f>
        <v>0</v>
      </c>
      <c r="I33" s="36">
        <f>+'Mgmt Summary'!I26</f>
        <v>0</v>
      </c>
      <c r="J33" s="136">
        <f>SUM(G33:I33)</f>
        <v>0</v>
      </c>
      <c r="K33" s="137"/>
      <c r="L33" s="139">
        <f>+'Mgmt Summary'!L26</f>
        <v>-1383.4870000000001</v>
      </c>
      <c r="M33" s="140">
        <f>+'Mgmt Summary'!M26</f>
        <v>0</v>
      </c>
      <c r="N33" s="140">
        <f>+'Mgmt Summary'!N26</f>
        <v>0</v>
      </c>
      <c r="O33" s="136">
        <f>J33-K33-M33-N33-L33</f>
        <v>1383.4870000000001</v>
      </c>
      <c r="P33" s="37"/>
      <c r="Q33" s="133">
        <f>+'Mgmt Summary'!Q26</f>
        <v>0</v>
      </c>
      <c r="R33" s="36"/>
      <c r="S33" s="36">
        <f>+'Mgmt Summary'!S26</f>
        <v>0</v>
      </c>
      <c r="T33" s="36">
        <f>+'Mgmt Summary'!T26</f>
        <v>0</v>
      </c>
      <c r="U33" s="36">
        <f>+'Mgmt Summary'!U26</f>
        <v>0</v>
      </c>
      <c r="V33" s="135">
        <f>ROUND(SUM(Q33:U33),0)</f>
        <v>0</v>
      </c>
      <c r="W33" s="32"/>
    </row>
    <row r="34" spans="1:23" ht="3" customHeight="1">
      <c r="A34" s="107"/>
      <c r="B34" s="35"/>
      <c r="C34" s="133"/>
      <c r="D34" s="36"/>
      <c r="E34" s="135"/>
      <c r="F34" s="36"/>
      <c r="G34" s="133"/>
      <c r="H34" s="36"/>
      <c r="I34" s="36"/>
      <c r="J34" s="136"/>
      <c r="K34" s="137"/>
      <c r="L34" s="134"/>
      <c r="M34" s="36"/>
      <c r="N34" s="36"/>
      <c r="O34" s="136"/>
      <c r="P34" s="37"/>
      <c r="Q34" s="133"/>
      <c r="R34" s="36"/>
      <c r="S34" s="36"/>
      <c r="T34" s="36"/>
      <c r="U34" s="36"/>
      <c r="V34" s="135">
        <f>ROUND(SUM(Q34:U34),0)</f>
        <v>0</v>
      </c>
      <c r="W34" s="32"/>
    </row>
    <row r="35" spans="1:23" s="34" customFormat="1" ht="12" customHeight="1">
      <c r="A35" s="38" t="s">
        <v>74</v>
      </c>
      <c r="B35" s="35"/>
      <c r="C35" s="43" t="e">
        <f>SUM(C28:C34)</f>
        <v>#REF!</v>
      </c>
      <c r="D35" s="44" t="e">
        <f>SUM(D28:D34)</f>
        <v>#REF!</v>
      </c>
      <c r="E35" s="45" t="e">
        <f>SUM(E28:E34)</f>
        <v>#REF!</v>
      </c>
      <c r="F35" s="36"/>
      <c r="G35" s="43" t="e">
        <f t="shared" ref="G35:N35" si="10">SUM(G28:G34)</f>
        <v>#REF!</v>
      </c>
      <c r="H35" s="44" t="e">
        <f t="shared" si="10"/>
        <v>#REF!</v>
      </c>
      <c r="I35" s="44" t="e">
        <f t="shared" si="10"/>
        <v>#REF!</v>
      </c>
      <c r="J35" s="46" t="e">
        <f t="shared" si="10"/>
        <v>#REF!</v>
      </c>
      <c r="K35" s="44">
        <f t="shared" si="10"/>
        <v>0</v>
      </c>
      <c r="L35" s="43" t="e">
        <f t="shared" si="10"/>
        <v>#REF!</v>
      </c>
      <c r="M35" s="44" t="e">
        <f t="shared" si="10"/>
        <v>#REF!</v>
      </c>
      <c r="N35" s="44" t="e">
        <f t="shared" si="10"/>
        <v>#REF!</v>
      </c>
      <c r="O35" s="46" t="e">
        <f>J35-K35-M35-N35-L35</f>
        <v>#REF!</v>
      </c>
      <c r="P35" s="37"/>
      <c r="Q35" s="43" t="e">
        <f t="shared" ref="Q35:V35" si="11">SUM(Q28:Q34)</f>
        <v>#REF!</v>
      </c>
      <c r="R35" s="44">
        <f t="shared" si="11"/>
        <v>0</v>
      </c>
      <c r="S35" s="44" t="e">
        <f t="shared" si="11"/>
        <v>#REF!</v>
      </c>
      <c r="T35" s="44" t="e">
        <f t="shared" si="11"/>
        <v>#REF!</v>
      </c>
      <c r="U35" s="44" t="e">
        <f t="shared" si="11"/>
        <v>#REF!</v>
      </c>
      <c r="V35" s="45" t="e">
        <f t="shared" si="11"/>
        <v>#REF!</v>
      </c>
      <c r="W35" s="32"/>
    </row>
    <row r="36" spans="1:23" ht="3" customHeight="1">
      <c r="A36" s="107"/>
      <c r="B36" s="35"/>
      <c r="C36" s="133"/>
      <c r="D36" s="36"/>
      <c r="E36" s="135"/>
      <c r="F36" s="36"/>
      <c r="G36" s="133" t="s">
        <v>62</v>
      </c>
      <c r="H36" s="36"/>
      <c r="I36" s="36"/>
      <c r="J36" s="136"/>
      <c r="K36" s="137"/>
      <c r="L36" s="134"/>
      <c r="M36" s="36" t="s">
        <v>63</v>
      </c>
      <c r="N36" s="36"/>
      <c r="O36" s="136"/>
      <c r="P36" s="37"/>
      <c r="Q36" s="133"/>
      <c r="R36" s="36"/>
      <c r="S36" s="36"/>
      <c r="T36" s="36"/>
      <c r="U36" s="36"/>
      <c r="V36" s="135"/>
      <c r="W36" s="32"/>
    </row>
    <row r="37" spans="1:23" ht="12" customHeight="1">
      <c r="A37" s="107" t="s">
        <v>57</v>
      </c>
      <c r="B37" s="35"/>
      <c r="C37" s="133">
        <f>+'Mgmt Summary'!C30</f>
        <v>0</v>
      </c>
      <c r="D37" s="36">
        <f>+'Mgmt Summary'!D30</f>
        <v>308</v>
      </c>
      <c r="E37" s="135">
        <f>C37-D37</f>
        <v>-308</v>
      </c>
      <c r="F37" s="36"/>
      <c r="G37" s="133">
        <f>+'Mgmt Summary'!G30</f>
        <v>0</v>
      </c>
      <c r="H37" s="36">
        <f>GrossMargin!J31</f>
        <v>0</v>
      </c>
      <c r="I37" s="36">
        <f>+'Mgmt Summary'!I30</f>
        <v>0</v>
      </c>
      <c r="J37" s="136">
        <f>SUM(G37:I37)</f>
        <v>0</v>
      </c>
      <c r="K37" s="137"/>
      <c r="L37" s="139">
        <f>+'Mgmt Summary'!L30</f>
        <v>0</v>
      </c>
      <c r="M37" s="140">
        <f>+'Mgmt Summary'!M30</f>
        <v>308</v>
      </c>
      <c r="N37" s="140">
        <f>+'Mgmt Summary'!N30</f>
        <v>0</v>
      </c>
      <c r="O37" s="136">
        <f>J37-K37-M37-N37-L37</f>
        <v>-308</v>
      </c>
      <c r="P37" s="37"/>
      <c r="Q37" s="133">
        <f>+'Mgmt Summary'!Q30</f>
        <v>0</v>
      </c>
      <c r="R37" s="36"/>
      <c r="S37" s="36">
        <f>+'Mgmt Summary'!S30</f>
        <v>0</v>
      </c>
      <c r="T37" s="36">
        <f>+'Mgmt Summary'!T30</f>
        <v>0</v>
      </c>
      <c r="U37" s="36">
        <f>+'Mgmt Summary'!U30</f>
        <v>0</v>
      </c>
      <c r="V37" s="135">
        <f>ROUND(SUM(Q37:U37),0)</f>
        <v>0</v>
      </c>
      <c r="W37" s="32"/>
    </row>
    <row r="38" spans="1:23" ht="3" customHeight="1">
      <c r="A38" s="107"/>
      <c r="B38" s="35"/>
      <c r="C38" s="133"/>
      <c r="D38" s="36"/>
      <c r="E38" s="135"/>
      <c r="F38" s="36"/>
      <c r="G38" s="133"/>
      <c r="H38" s="36"/>
      <c r="I38" s="36"/>
      <c r="J38" s="136"/>
      <c r="K38" s="137"/>
      <c r="L38" s="134"/>
      <c r="M38" s="36"/>
      <c r="N38" s="36"/>
      <c r="O38" s="136"/>
      <c r="P38" s="37"/>
      <c r="Q38" s="133"/>
      <c r="R38" s="36"/>
      <c r="S38" s="36"/>
      <c r="T38" s="36"/>
      <c r="U38" s="36"/>
      <c r="V38" s="135"/>
      <c r="W38" s="32"/>
    </row>
    <row r="39" spans="1:23" s="34" customFormat="1" ht="12" customHeight="1">
      <c r="A39" s="38" t="s">
        <v>75</v>
      </c>
      <c r="B39" s="35"/>
      <c r="C39" s="39" t="e">
        <f>SUM(C35:C37)</f>
        <v>#REF!</v>
      </c>
      <c r="D39" s="40" t="e">
        <f>SUM(D35:D37)</f>
        <v>#REF!</v>
      </c>
      <c r="E39" s="41" t="e">
        <f>SUM(E35:E37)</f>
        <v>#REF!</v>
      </c>
      <c r="F39" s="36"/>
      <c r="G39" s="39" t="e">
        <f t="shared" ref="G39:V39" si="12">SUM(G35:G37)</f>
        <v>#REF!</v>
      </c>
      <c r="H39" s="40" t="e">
        <f t="shared" si="12"/>
        <v>#REF!</v>
      </c>
      <c r="I39" s="40" t="e">
        <f t="shared" si="12"/>
        <v>#REF!</v>
      </c>
      <c r="J39" s="42" t="e">
        <f t="shared" si="12"/>
        <v>#REF!</v>
      </c>
      <c r="K39" s="40">
        <f t="shared" si="12"/>
        <v>0</v>
      </c>
      <c r="L39" s="39" t="e">
        <f t="shared" si="12"/>
        <v>#REF!</v>
      </c>
      <c r="M39" s="40" t="e">
        <f t="shared" si="12"/>
        <v>#REF!</v>
      </c>
      <c r="N39" s="40" t="e">
        <f t="shared" si="12"/>
        <v>#REF!</v>
      </c>
      <c r="O39" s="42" t="e">
        <f>J39-K39-M39-N39-L39</f>
        <v>#REF!</v>
      </c>
      <c r="P39" s="37"/>
      <c r="Q39" s="39" t="e">
        <f t="shared" si="12"/>
        <v>#REF!</v>
      </c>
      <c r="R39" s="40">
        <f t="shared" si="12"/>
        <v>0</v>
      </c>
      <c r="S39" s="40" t="e">
        <f t="shared" si="12"/>
        <v>#REF!</v>
      </c>
      <c r="T39" s="40" t="e">
        <f t="shared" si="12"/>
        <v>#REF!</v>
      </c>
      <c r="U39" s="40" t="e">
        <f t="shared" si="12"/>
        <v>#REF!</v>
      </c>
      <c r="V39" s="41" t="e">
        <f t="shared" si="12"/>
        <v>#REF!</v>
      </c>
      <c r="W39" s="32"/>
    </row>
    <row r="40" spans="1:23" s="19" customFormat="1" ht="3" customHeight="1">
      <c r="A40" s="24"/>
      <c r="B40" s="18"/>
      <c r="C40" s="25"/>
      <c r="D40" s="26"/>
      <c r="E40" s="27"/>
      <c r="F40" s="22"/>
      <c r="G40" s="28"/>
      <c r="H40" s="29"/>
      <c r="I40" s="29"/>
      <c r="J40" s="24"/>
      <c r="K40" s="29"/>
      <c r="L40" s="28"/>
      <c r="M40" s="29"/>
      <c r="N40" s="29"/>
      <c r="O40" s="24"/>
      <c r="Q40" s="28"/>
      <c r="R40" s="29"/>
      <c r="S40" s="29"/>
      <c r="T40" s="29"/>
      <c r="U40" s="29"/>
      <c r="V40" s="30"/>
    </row>
    <row r="41" spans="1:23" ht="13.5" hidden="1">
      <c r="A41" s="66"/>
      <c r="C41" s="67"/>
      <c r="D41" s="23"/>
      <c r="E41" s="66" t="s">
        <v>53</v>
      </c>
      <c r="F41" s="23"/>
      <c r="G41" s="68">
        <f>+'GM-WeeklyChnge'!C37</f>
        <v>0</v>
      </c>
    </row>
    <row r="42" spans="1:23" ht="6" customHeight="1">
      <c r="C42" s="23"/>
      <c r="D42" s="23"/>
      <c r="E42" s="23"/>
      <c r="F42" s="23"/>
    </row>
    <row r="43" spans="1:23">
      <c r="A43" s="71" t="s">
        <v>80</v>
      </c>
      <c r="C43" s="23"/>
      <c r="D43" s="23"/>
      <c r="E43" s="23"/>
      <c r="F43" s="23"/>
      <c r="M43" s="166"/>
      <c r="T43" s="166"/>
    </row>
    <row r="44" spans="1:23">
      <c r="C44" s="23"/>
      <c r="D44" s="23"/>
      <c r="E44" s="23"/>
      <c r="F44" s="23"/>
      <c r="G44" s="166"/>
    </row>
    <row r="45" spans="1:23">
      <c r="C45" s="23"/>
      <c r="D45" s="23"/>
      <c r="E45" s="23"/>
      <c r="F45" s="23"/>
      <c r="V45" s="166"/>
    </row>
    <row r="46" spans="1:23">
      <c r="C46" s="23"/>
      <c r="D46" s="23"/>
      <c r="E46" s="23"/>
      <c r="F46" s="23"/>
    </row>
    <row r="47" spans="1:23">
      <c r="C47" s="23"/>
      <c r="D47" s="23"/>
      <c r="E47" s="23"/>
      <c r="F47" s="23"/>
    </row>
    <row r="48" spans="1:23">
      <c r="C48" s="23"/>
      <c r="D48" s="23"/>
      <c r="E48" s="23"/>
      <c r="F48" s="23"/>
    </row>
    <row r="49" spans="1:6">
      <c r="C49" s="23"/>
      <c r="D49" s="23"/>
      <c r="E49" s="23"/>
      <c r="F49" s="23"/>
    </row>
    <row r="50" spans="1:6">
      <c r="C50" s="23"/>
      <c r="D50" s="23"/>
      <c r="E50" s="23"/>
      <c r="F50" s="23"/>
    </row>
    <row r="51" spans="1:6">
      <c r="C51" s="23"/>
      <c r="D51" s="23"/>
      <c r="E51" s="23"/>
    </row>
    <row r="52" spans="1:6">
      <c r="C52" s="23"/>
      <c r="D52" s="23"/>
      <c r="E52" s="23"/>
    </row>
    <row r="53" spans="1:6">
      <c r="C53" s="23"/>
      <c r="D53" s="23"/>
      <c r="E53" s="23"/>
    </row>
    <row r="54" spans="1:6">
      <c r="C54" s="23"/>
      <c r="D54" s="23"/>
      <c r="E54" s="23"/>
    </row>
    <row r="55" spans="1:6">
      <c r="C55" s="23"/>
      <c r="D55" s="23"/>
      <c r="E55" s="23"/>
    </row>
    <row r="56" spans="1:6">
      <c r="C56" s="23"/>
      <c r="D56" s="23"/>
      <c r="E56" s="23"/>
    </row>
    <row r="57" spans="1:6" hidden="1">
      <c r="C57" s="23"/>
      <c r="D57" s="23"/>
      <c r="E57" s="23"/>
      <c r="F57" s="23"/>
    </row>
    <row r="58" spans="1:6" hidden="1">
      <c r="A58" s="23"/>
    </row>
    <row r="59" spans="1:6" hidden="1">
      <c r="A59" s="23"/>
    </row>
    <row r="60" spans="1:6" hidden="1">
      <c r="A60" s="23"/>
    </row>
    <row r="61" spans="1:6" hidden="1">
      <c r="A61" s="23"/>
    </row>
    <row r="62" spans="1:6" hidden="1">
      <c r="A62" s="23"/>
    </row>
    <row r="63" spans="1:6" hidden="1">
      <c r="A63" s="23"/>
    </row>
    <row r="64" spans="1:6" hidden="1">
      <c r="C64" s="23"/>
      <c r="D64" s="23"/>
      <c r="E64" s="23"/>
      <c r="F64" s="23"/>
    </row>
    <row r="65" spans="3:6" hidden="1">
      <c r="C65" s="23"/>
      <c r="D65" s="23"/>
      <c r="E65" s="23"/>
      <c r="F65" s="23"/>
    </row>
    <row r="66" spans="3:6" hidden="1"/>
    <row r="67" spans="3:6" hidden="1"/>
    <row r="68" spans="3:6" hidden="1"/>
    <row r="69" spans="3:6" hidden="1"/>
  </sheetData>
  <mergeCells count="6">
    <mergeCell ref="C5:E5"/>
    <mergeCell ref="Q5:V5"/>
    <mergeCell ref="G5:O5"/>
    <mergeCell ref="A1:V1"/>
    <mergeCell ref="A2:V2"/>
    <mergeCell ref="A3:V3"/>
  </mergeCells>
  <printOptions horizontalCentered="1"/>
  <pageMargins left="0.1" right="0.1" top="0.25" bottom="0.5" header="0.25" footer="0.25"/>
  <pageSetup scale="92" orientation="landscape" verticalDpi="300" r:id="rId1"/>
  <headerFooter alignWithMargins="0">
    <oddFooter>&amp;L&amp;8&amp;A
&amp;D &amp;T&amp;R&amp;8&amp;F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V48"/>
  <sheetViews>
    <sheetView tabSelected="1" zoomScale="95" workbookViewId="0">
      <selection activeCell="I34" sqref="I34"/>
    </sheetView>
  </sheetViews>
  <sheetFormatPr defaultRowHeight="12.75"/>
  <cols>
    <col min="1" max="1" width="29.85546875" style="14" customWidth="1"/>
    <col min="2" max="2" width="0.85546875" style="14" customWidth="1"/>
    <col min="3" max="3" width="9.5703125" style="14" customWidth="1"/>
    <col min="4" max="4" width="8.7109375" style="14" customWidth="1"/>
    <col min="5" max="5" width="9.42578125" style="14" customWidth="1"/>
    <col min="6" max="6" width="0.85546875" style="14" customWidth="1"/>
    <col min="7" max="9" width="8.7109375" style="14" customWidth="1"/>
    <col min="10" max="10" width="0.85546875" style="14" customWidth="1"/>
    <col min="11" max="12" width="8.7109375" style="14" customWidth="1"/>
    <col min="13" max="13" width="9.28515625" style="14" customWidth="1"/>
    <col min="14" max="14" width="0.85546875" style="14" customWidth="1"/>
    <col min="15" max="15" width="8.7109375" style="14" customWidth="1"/>
    <col min="16" max="16" width="9" style="14" customWidth="1"/>
    <col min="17" max="17" width="9.28515625" style="14" customWidth="1"/>
    <col min="18" max="19" width="7.7109375" style="14" customWidth="1"/>
    <col min="20" max="21" width="8.7109375" style="14" customWidth="1"/>
    <col min="22" max="22" width="0.85546875" style="14" customWidth="1"/>
    <col min="23" max="16384" width="9.140625" style="14"/>
  </cols>
  <sheetData>
    <row r="1" spans="1:22" s="192" customFormat="1" ht="9.9499999999999993" customHeight="1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 s="191"/>
    </row>
    <row r="2" spans="1:22" s="196" customFormat="1" ht="29.25" customHeight="1">
      <c r="A2" s="193" t="s">
        <v>86</v>
      </c>
      <c r="B2" s="194"/>
      <c r="C2" s="194"/>
      <c r="D2" s="194"/>
      <c r="E2" s="194"/>
      <c r="F2" s="194"/>
      <c r="G2" s="194"/>
      <c r="H2" s="194"/>
      <c r="I2" s="194"/>
      <c r="J2" s="194"/>
      <c r="K2" s="194"/>
      <c r="L2" s="194"/>
      <c r="M2" s="195"/>
      <c r="N2" s="194"/>
      <c r="O2" s="194"/>
      <c r="P2" s="194"/>
      <c r="Q2" s="195" t="s">
        <v>118</v>
      </c>
      <c r="R2" s="194"/>
      <c r="S2" s="194"/>
      <c r="T2" s="194"/>
      <c r="V2" s="197"/>
    </row>
    <row r="3" spans="1:22" s="192" customFormat="1" ht="15.75" customHeight="1">
      <c r="A3"/>
      <c r="B3"/>
      <c r="C3"/>
      <c r="D3"/>
      <c r="E3"/>
      <c r="F3"/>
      <c r="G3"/>
      <c r="H3"/>
      <c r="I3"/>
      <c r="J3"/>
      <c r="K3"/>
      <c r="L3"/>
      <c r="M3" s="198"/>
      <c r="N3"/>
      <c r="O3"/>
      <c r="P3"/>
      <c r="Q3" s="198" t="str">
        <f>+'Mgmt Summary'!A3</f>
        <v>Results based on activity through January 11, 2001</v>
      </c>
      <c r="R3"/>
      <c r="S3"/>
      <c r="T3"/>
      <c r="V3" s="197"/>
    </row>
    <row r="4" spans="1:22" s="192" customFormat="1" ht="15" customHeight="1" thickBot="1">
      <c r="A4"/>
      <c r="B4"/>
      <c r="C4"/>
      <c r="D4"/>
      <c r="E4"/>
      <c r="F4"/>
      <c r="G4"/>
      <c r="H4"/>
      <c r="I4"/>
      <c r="J4"/>
      <c r="K4"/>
      <c r="L4"/>
      <c r="M4"/>
      <c r="N4" s="292"/>
      <c r="O4"/>
      <c r="P4"/>
      <c r="Q4"/>
      <c r="R4"/>
      <c r="S4"/>
      <c r="T4"/>
      <c r="U4"/>
      <c r="V4" s="199"/>
    </row>
    <row r="5" spans="1:22" s="204" customFormat="1" ht="18" customHeight="1">
      <c r="A5" s="200"/>
      <c r="B5" s="201"/>
      <c r="C5" s="231" t="s">
        <v>13</v>
      </c>
      <c r="D5" s="232"/>
      <c r="E5" s="233"/>
      <c r="F5" s="202"/>
      <c r="G5" s="231" t="s">
        <v>89</v>
      </c>
      <c r="H5" s="232"/>
      <c r="I5" s="233"/>
      <c r="J5" s="203"/>
      <c r="K5" s="310" t="s">
        <v>87</v>
      </c>
      <c r="L5" s="311"/>
      <c r="M5" s="312"/>
      <c r="N5" s="288"/>
      <c r="O5" s="310" t="s">
        <v>117</v>
      </c>
      <c r="P5" s="311"/>
      <c r="Q5" s="312"/>
    </row>
    <row r="6" spans="1:22" ht="18.75" customHeight="1" thickBot="1">
      <c r="A6" s="205" t="s">
        <v>9</v>
      </c>
      <c r="B6" s="206"/>
      <c r="C6" s="207" t="s">
        <v>40</v>
      </c>
      <c r="D6" s="208" t="s">
        <v>8</v>
      </c>
      <c r="E6" s="209" t="s">
        <v>12</v>
      </c>
      <c r="F6" s="210"/>
      <c r="G6" s="207" t="s">
        <v>6</v>
      </c>
      <c r="H6" s="208" t="s">
        <v>8</v>
      </c>
      <c r="I6" s="209" t="s">
        <v>12</v>
      </c>
      <c r="J6" s="210"/>
      <c r="K6" s="207" t="s">
        <v>6</v>
      </c>
      <c r="L6" s="208" t="s">
        <v>8</v>
      </c>
      <c r="M6" s="209" t="s">
        <v>12</v>
      </c>
      <c r="N6" s="289"/>
      <c r="O6" s="207" t="s">
        <v>13</v>
      </c>
      <c r="P6" s="208" t="s">
        <v>115</v>
      </c>
      <c r="Q6" s="209" t="s">
        <v>7</v>
      </c>
    </row>
    <row r="7" spans="1:22" ht="4.5" customHeight="1">
      <c r="A7" s="211"/>
      <c r="B7" s="206"/>
      <c r="C7" s="212"/>
      <c r="D7" s="18"/>
      <c r="E7" s="213"/>
      <c r="F7" s="214"/>
      <c r="G7" s="212"/>
      <c r="H7" s="18"/>
      <c r="I7" s="213"/>
      <c r="J7" s="214"/>
      <c r="K7" s="212"/>
      <c r="L7" s="18"/>
      <c r="M7" s="213"/>
      <c r="N7" s="289"/>
      <c r="O7" s="212"/>
      <c r="P7" s="18"/>
      <c r="Q7" s="213"/>
    </row>
    <row r="8" spans="1:22" s="32" customFormat="1" ht="13.5" customHeight="1">
      <c r="A8" s="223" t="s">
        <v>79</v>
      </c>
      <c r="B8" s="224"/>
      <c r="C8" s="225">
        <f>+'Mgmt Summary'!J9</f>
        <v>-4389</v>
      </c>
      <c r="D8" s="226">
        <f>+'Mgmt Summary'!C9</f>
        <v>40000</v>
      </c>
      <c r="E8" s="227">
        <f t="shared" ref="E8:E13" si="0">-D8+C8</f>
        <v>-44389</v>
      </c>
      <c r="F8" s="228"/>
      <c r="G8" s="225">
        <f>+Expenses!D9+'CapChrg-AllocExp'!K10+'CapChrg-AllocExp'!D10</f>
        <v>17128.77</v>
      </c>
      <c r="H8" s="226">
        <f>+Expenses!E9+'CapChrg-AllocExp'!L10+'CapChrg-AllocExp'!E10</f>
        <v>17128.77</v>
      </c>
      <c r="I8" s="227">
        <f t="shared" ref="I8:I14" si="1">+H8-G8</f>
        <v>0</v>
      </c>
      <c r="J8" s="228"/>
      <c r="K8" s="225">
        <f>+C8-G8</f>
        <v>-21517.77</v>
      </c>
      <c r="L8" s="226">
        <f t="shared" ref="K8:L13" si="2">D8-H8</f>
        <v>22871.23</v>
      </c>
      <c r="M8" s="227">
        <f t="shared" ref="M8:M13" si="3">K8-L8</f>
        <v>-44389</v>
      </c>
      <c r="N8" s="290"/>
      <c r="O8" s="225">
        <f>+C8-'[1]QTD Mgmt Summary'!C8</f>
        <v>11607</v>
      </c>
      <c r="P8" s="226">
        <f>-G8+'[1]QTD Mgmt Summary'!G8</f>
        <v>0</v>
      </c>
      <c r="Q8" s="227">
        <f>+O8+P8</f>
        <v>11607</v>
      </c>
    </row>
    <row r="9" spans="1:22" s="32" customFormat="1" ht="13.5" customHeight="1">
      <c r="A9" s="223" t="s">
        <v>1</v>
      </c>
      <c r="B9" s="224"/>
      <c r="C9" s="225">
        <f>+'Mgmt Summary'!J10</f>
        <v>4054.6792399999999</v>
      </c>
      <c r="D9" s="226">
        <f>+'Mgmt Summary'!C10</f>
        <v>13750</v>
      </c>
      <c r="E9" s="227">
        <f t="shared" si="0"/>
        <v>-9695.3207600000005</v>
      </c>
      <c r="F9" s="228"/>
      <c r="G9" s="225">
        <f>+Expenses!D10+'CapChrg-AllocExp'!K11+'CapChrg-AllocExp'!D11</f>
        <v>7821.5169999999998</v>
      </c>
      <c r="H9" s="226">
        <f>+Expenses!E10+'CapChrg-AllocExp'!L11+'CapChrg-AllocExp'!E11</f>
        <v>7821.5169999999998</v>
      </c>
      <c r="I9" s="227">
        <f t="shared" si="1"/>
        <v>0</v>
      </c>
      <c r="J9" s="228"/>
      <c r="K9" s="225">
        <f t="shared" si="2"/>
        <v>-3766.8377599999999</v>
      </c>
      <c r="L9" s="226">
        <f t="shared" si="2"/>
        <v>5928.4830000000002</v>
      </c>
      <c r="M9" s="227">
        <f t="shared" si="3"/>
        <v>-9695.3207600000005</v>
      </c>
      <c r="N9" s="290"/>
      <c r="O9" s="225">
        <f>+C9-'[1]QTD Mgmt Summary'!C9</f>
        <v>3352.6279999999997</v>
      </c>
      <c r="P9" s="226">
        <f>-G9+'[1]QTD Mgmt Summary'!G9</f>
        <v>0</v>
      </c>
      <c r="Q9" s="227">
        <f t="shared" ref="Q9:Q16" si="4">+O9+P9</f>
        <v>3352.6279999999997</v>
      </c>
    </row>
    <row r="10" spans="1:22" s="32" customFormat="1" ht="13.5" customHeight="1">
      <c r="A10" s="223" t="s">
        <v>44</v>
      </c>
      <c r="B10" s="224"/>
      <c r="C10" s="225">
        <f>+'Mgmt Summary'!J11</f>
        <v>-957</v>
      </c>
      <c r="D10" s="226">
        <f>+'Mgmt Summary'!C11</f>
        <v>5000</v>
      </c>
      <c r="E10" s="227">
        <f t="shared" si="0"/>
        <v>-5957</v>
      </c>
      <c r="F10" s="228"/>
      <c r="G10" s="225">
        <f>+Expenses!D11+'CapChrg-AllocExp'!K12+'CapChrg-AllocExp'!D12</f>
        <v>2056.681</v>
      </c>
      <c r="H10" s="226">
        <f>+Expenses!E11+'CapChrg-AllocExp'!L12+'CapChrg-AllocExp'!E12</f>
        <v>2056.681</v>
      </c>
      <c r="I10" s="227">
        <f t="shared" si="1"/>
        <v>0</v>
      </c>
      <c r="J10" s="228"/>
      <c r="K10" s="225">
        <f t="shared" si="2"/>
        <v>-3013.681</v>
      </c>
      <c r="L10" s="226">
        <f t="shared" si="2"/>
        <v>2943.319</v>
      </c>
      <c r="M10" s="227">
        <f t="shared" si="3"/>
        <v>-5957</v>
      </c>
      <c r="N10" s="290"/>
      <c r="O10" s="225">
        <f>+C10-'[1]QTD Mgmt Summary'!C10</f>
        <v>-658</v>
      </c>
      <c r="P10" s="226">
        <f>-G10+'[1]QTD Mgmt Summary'!G10</f>
        <v>0</v>
      </c>
      <c r="Q10" s="227">
        <f t="shared" si="4"/>
        <v>-658</v>
      </c>
    </row>
    <row r="11" spans="1:22" s="32" customFormat="1" ht="13.5" customHeight="1">
      <c r="A11" s="223" t="s">
        <v>64</v>
      </c>
      <c r="B11" s="224"/>
      <c r="C11" s="225">
        <f>+'Mgmt Summary'!J12</f>
        <v>-4</v>
      </c>
      <c r="D11" s="226">
        <f>+'Mgmt Summary'!C12</f>
        <v>8509.2510000000002</v>
      </c>
      <c r="E11" s="227">
        <f t="shared" si="0"/>
        <v>-8513.2510000000002</v>
      </c>
      <c r="F11" s="228"/>
      <c r="G11" s="225">
        <f>+Expenses!D12+'CapChrg-AllocExp'!K13+'CapChrg-AllocExp'!D13</f>
        <v>3731.5230000000001</v>
      </c>
      <c r="H11" s="226">
        <f>+Expenses!E12+'CapChrg-AllocExp'!L13+'CapChrg-AllocExp'!E13</f>
        <v>3731.5230000000001</v>
      </c>
      <c r="I11" s="227">
        <f t="shared" si="1"/>
        <v>0</v>
      </c>
      <c r="J11" s="228"/>
      <c r="K11" s="225">
        <f t="shared" si="2"/>
        <v>-3735.5230000000001</v>
      </c>
      <c r="L11" s="226">
        <f t="shared" si="2"/>
        <v>4777.7280000000001</v>
      </c>
      <c r="M11" s="227">
        <f t="shared" si="3"/>
        <v>-8513.2510000000002</v>
      </c>
      <c r="N11" s="290"/>
      <c r="O11" s="225">
        <f>+C11-'[1]QTD Mgmt Summary'!C11</f>
        <v>-1217</v>
      </c>
      <c r="P11" s="226">
        <f>-G11+'[1]QTD Mgmt Summary'!G11</f>
        <v>0</v>
      </c>
      <c r="Q11" s="227">
        <f t="shared" si="4"/>
        <v>-1217</v>
      </c>
    </row>
    <row r="12" spans="1:22" s="32" customFormat="1" ht="13.5" customHeight="1">
      <c r="A12" s="223" t="s">
        <v>71</v>
      </c>
      <c r="B12" s="224"/>
      <c r="C12" s="225">
        <f>+'Mgmt Summary'!J13</f>
        <v>0</v>
      </c>
      <c r="D12" s="226">
        <f>+'Mgmt Summary'!C13</f>
        <v>4875</v>
      </c>
      <c r="E12" s="227">
        <f t="shared" si="0"/>
        <v>-4875</v>
      </c>
      <c r="F12" s="228"/>
      <c r="G12" s="225">
        <f>+Expenses!D13+'CapChrg-AllocExp'!K14+'CapChrg-AllocExp'!D14</f>
        <v>2534.6480000000001</v>
      </c>
      <c r="H12" s="226">
        <f>+Expenses!E13+'CapChrg-AllocExp'!L14+'CapChrg-AllocExp'!E14</f>
        <v>2534.6480000000001</v>
      </c>
      <c r="I12" s="227">
        <f t="shared" si="1"/>
        <v>0</v>
      </c>
      <c r="J12" s="228"/>
      <c r="K12" s="225">
        <f t="shared" si="2"/>
        <v>-2534.6480000000001</v>
      </c>
      <c r="L12" s="226">
        <f t="shared" si="2"/>
        <v>2340.3519999999999</v>
      </c>
      <c r="M12" s="227">
        <f t="shared" si="3"/>
        <v>-4875</v>
      </c>
      <c r="N12" s="290"/>
      <c r="O12" s="225">
        <f>+C12-'[1]QTD Mgmt Summary'!C12</f>
        <v>0</v>
      </c>
      <c r="P12" s="226">
        <f>-G12+'[1]QTD Mgmt Summary'!G12</f>
        <v>0</v>
      </c>
      <c r="Q12" s="227">
        <f t="shared" si="4"/>
        <v>0</v>
      </c>
    </row>
    <row r="13" spans="1:22" s="32" customFormat="1" ht="13.5" customHeight="1">
      <c r="A13" s="223" t="s">
        <v>50</v>
      </c>
      <c r="B13" s="224"/>
      <c r="C13" s="225">
        <f>+'Mgmt Summary'!J14</f>
        <v>2077</v>
      </c>
      <c r="D13" s="226">
        <f>+'Mgmt Summary'!C14</f>
        <v>20000</v>
      </c>
      <c r="E13" s="227">
        <f t="shared" si="0"/>
        <v>-17923</v>
      </c>
      <c r="F13" s="228"/>
      <c r="G13" s="225">
        <f>+Expenses!D14+'CapChrg-AllocExp'!K15+'CapChrg-AllocExp'!D15</f>
        <v>5782.3860000000004</v>
      </c>
      <c r="H13" s="226">
        <f>+Expenses!E14+'CapChrg-AllocExp'!L15+'CapChrg-AllocExp'!E15</f>
        <v>5782.3860000000004</v>
      </c>
      <c r="I13" s="227">
        <f t="shared" si="1"/>
        <v>0</v>
      </c>
      <c r="J13" s="228"/>
      <c r="K13" s="225">
        <f t="shared" si="2"/>
        <v>-3705.3860000000004</v>
      </c>
      <c r="L13" s="226">
        <f t="shared" si="2"/>
        <v>14217.614</v>
      </c>
      <c r="M13" s="227">
        <f t="shared" si="3"/>
        <v>-17923</v>
      </c>
      <c r="N13" s="290"/>
      <c r="O13" s="225">
        <f>+C13-'[1]QTD Mgmt Summary'!C13</f>
        <v>828</v>
      </c>
      <c r="P13" s="294">
        <f>(-G13+'[1]QTD Mgmt Summary'!G13)*0</f>
        <v>0</v>
      </c>
      <c r="Q13" s="227">
        <f t="shared" si="4"/>
        <v>828</v>
      </c>
    </row>
    <row r="14" spans="1:22" s="32" customFormat="1" ht="13.5" customHeight="1">
      <c r="A14" s="223" t="s">
        <v>90</v>
      </c>
      <c r="B14" s="224"/>
      <c r="C14" s="225">
        <f>+'Mgmt Summary'!J15</f>
        <v>0</v>
      </c>
      <c r="D14" s="226">
        <f>+'Mgmt Summary'!C15</f>
        <v>500</v>
      </c>
      <c r="E14" s="227">
        <f>-D14+C14</f>
        <v>-500</v>
      </c>
      <c r="F14" s="228"/>
      <c r="G14" s="225">
        <f>+Expenses!D15+'CapChrg-AllocExp'!K16+'CapChrg-AllocExp'!D16</f>
        <v>614.70699999999999</v>
      </c>
      <c r="H14" s="226">
        <f>+Expenses!E15+'CapChrg-AllocExp'!L16+'CapChrg-AllocExp'!E16</f>
        <v>614.70699999999999</v>
      </c>
      <c r="I14" s="227">
        <f t="shared" si="1"/>
        <v>0</v>
      </c>
      <c r="J14" s="228"/>
      <c r="K14" s="225">
        <f>C14-G14</f>
        <v>-614.70699999999999</v>
      </c>
      <c r="L14" s="226">
        <f>D14-H14</f>
        <v>-114.70699999999999</v>
      </c>
      <c r="M14" s="227">
        <f>K14-L14</f>
        <v>-500</v>
      </c>
      <c r="N14" s="290"/>
      <c r="O14" s="225">
        <f>+C14-'[1]QTD Mgmt Summary'!C14</f>
        <v>0</v>
      </c>
      <c r="P14" s="226">
        <f>-G14+'[1]QTD Mgmt Summary'!G14</f>
        <v>0</v>
      </c>
      <c r="Q14" s="227">
        <f t="shared" si="4"/>
        <v>0</v>
      </c>
    </row>
    <row r="15" spans="1:22" s="32" customFormat="1" ht="13.5" customHeight="1">
      <c r="A15" s="223" t="s">
        <v>91</v>
      </c>
      <c r="B15" s="224"/>
      <c r="C15" s="225">
        <f>+'Mgmt Summary'!J16</f>
        <v>-34</v>
      </c>
      <c r="D15" s="226">
        <f>+'Mgmt Summary'!C16</f>
        <v>3000</v>
      </c>
      <c r="E15" s="227">
        <f>-D15+C15</f>
        <v>-3034</v>
      </c>
      <c r="F15" s="228"/>
      <c r="G15" s="225">
        <f>+Expenses!D16+'CapChrg-AllocExp'!K17+'CapChrg-AllocExp'!D17</f>
        <v>2575.25</v>
      </c>
      <c r="H15" s="226">
        <f>+Expenses!E16+'CapChrg-AllocExp'!L17+'CapChrg-AllocExp'!E17</f>
        <v>2575.25</v>
      </c>
      <c r="I15" s="227">
        <f>+H15-G15</f>
        <v>0</v>
      </c>
      <c r="J15" s="228"/>
      <c r="K15" s="225">
        <f t="shared" ref="K15:L17" si="5">C15-G15</f>
        <v>-2609.25</v>
      </c>
      <c r="L15" s="226">
        <f t="shared" si="5"/>
        <v>424.75</v>
      </c>
      <c r="M15" s="227">
        <f>K15-L15</f>
        <v>-3034</v>
      </c>
      <c r="N15" s="290"/>
      <c r="O15" s="225">
        <f>+C15-'[1]QTD Mgmt Summary'!C15</f>
        <v>-34</v>
      </c>
      <c r="P15" s="226">
        <f>-G15+'[1]QTD Mgmt Summary'!G15</f>
        <v>0</v>
      </c>
      <c r="Q15" s="227">
        <f t="shared" si="4"/>
        <v>-34</v>
      </c>
      <c r="S15" s="293"/>
    </row>
    <row r="16" spans="1:22" s="32" customFormat="1" ht="13.5" customHeight="1">
      <c r="A16" s="223" t="s">
        <v>92</v>
      </c>
      <c r="B16" s="224"/>
      <c r="C16" s="225">
        <f>+'Mgmt Summary'!J17</f>
        <v>0</v>
      </c>
      <c r="D16" s="226">
        <f>+'Mgmt Summary'!C17</f>
        <v>1413</v>
      </c>
      <c r="E16" s="227">
        <f>-D16+C16</f>
        <v>-1413</v>
      </c>
      <c r="F16" s="228"/>
      <c r="G16" s="225">
        <f>+Expenses!D17+'CapChrg-AllocExp'!K18+'CapChrg-AllocExp'!D18</f>
        <v>1588.5</v>
      </c>
      <c r="H16" s="226">
        <f>+Expenses!E17+'CapChrg-AllocExp'!L18+'CapChrg-AllocExp'!E18</f>
        <v>1588.5</v>
      </c>
      <c r="I16" s="227">
        <f>+H16-G16</f>
        <v>0</v>
      </c>
      <c r="J16" s="228"/>
      <c r="K16" s="225">
        <f t="shared" si="5"/>
        <v>-1588.5</v>
      </c>
      <c r="L16" s="226">
        <f t="shared" si="5"/>
        <v>-175.5</v>
      </c>
      <c r="M16" s="227">
        <f>K16-L16</f>
        <v>-1413</v>
      </c>
      <c r="N16" s="290"/>
      <c r="O16" s="225">
        <f>+C16-'[1]QTD Mgmt Summary'!C16</f>
        <v>0</v>
      </c>
      <c r="P16" s="226">
        <f>-G16+'[1]QTD Mgmt Summary'!G16</f>
        <v>0</v>
      </c>
      <c r="Q16" s="227">
        <f t="shared" si="4"/>
        <v>0</v>
      </c>
    </row>
    <row r="17" spans="1:17" s="32" customFormat="1" ht="13.5" customHeight="1">
      <c r="A17" s="223" t="s">
        <v>93</v>
      </c>
      <c r="B17" s="224"/>
      <c r="C17" s="258">
        <f>+'Mgmt Summary'!J18</f>
        <v>0</v>
      </c>
      <c r="D17" s="259">
        <f>+'Mgmt Summary'!C18</f>
        <v>-858.5010000000002</v>
      </c>
      <c r="E17" s="260">
        <f>-D17+C17</f>
        <v>858.5010000000002</v>
      </c>
      <c r="F17" s="228"/>
      <c r="G17" s="258">
        <f>+Expenses!D18+'CapChrg-AllocExp'!K19+'CapChrg-AllocExp'!D19</f>
        <v>1565.9259999999999</v>
      </c>
      <c r="H17" s="259">
        <f>+Expenses!E18+'CapChrg-AllocExp'!L19+'CapChrg-AllocExp'!E19</f>
        <v>1565.9259999999999</v>
      </c>
      <c r="I17" s="260">
        <f>+H17-G17</f>
        <v>0</v>
      </c>
      <c r="J17" s="228"/>
      <c r="K17" s="258">
        <f t="shared" si="5"/>
        <v>-1565.9259999999999</v>
      </c>
      <c r="L17" s="259">
        <f t="shared" si="5"/>
        <v>-2424.4270000000001</v>
      </c>
      <c r="M17" s="260">
        <f>K17-L17</f>
        <v>858.5010000000002</v>
      </c>
      <c r="N17" s="290"/>
      <c r="O17" s="225">
        <f>+C17-'[1]QTD Mgmt Summary'!C17</f>
        <v>0</v>
      </c>
      <c r="P17" s="226">
        <f>-G17+'[1]QTD Mgmt Summary'!G17</f>
        <v>0</v>
      </c>
      <c r="Q17" s="227">
        <f>+O17+P17</f>
        <v>0</v>
      </c>
    </row>
    <row r="18" spans="1:17" s="32" customFormat="1" ht="13.5" customHeight="1">
      <c r="A18" s="223" t="s">
        <v>2</v>
      </c>
      <c r="B18" s="224"/>
      <c r="C18" s="225">
        <f>+'Mgmt Summary'!J19</f>
        <v>0</v>
      </c>
      <c r="D18" s="226">
        <f>+'Mgmt Summary'!C19</f>
        <v>0</v>
      </c>
      <c r="E18" s="227">
        <f>-D18+C18</f>
        <v>0</v>
      </c>
      <c r="F18" s="228"/>
      <c r="G18" s="225">
        <f>+Expenses!D19+'CapChrg-AllocExp'!K20</f>
        <v>2015.539</v>
      </c>
      <c r="H18" s="226">
        <f>+Expenses!E19+'CapChrg-AllocExp'!L20</f>
        <v>1765.539</v>
      </c>
      <c r="I18" s="227">
        <f>+H18-G18</f>
        <v>-250</v>
      </c>
      <c r="J18" s="228"/>
      <c r="K18" s="225">
        <f>C18-G18</f>
        <v>-2015.539</v>
      </c>
      <c r="L18" s="226">
        <f>D18-H18</f>
        <v>-1765.539</v>
      </c>
      <c r="M18" s="227">
        <f>K18-L18</f>
        <v>-250</v>
      </c>
      <c r="N18" s="290"/>
      <c r="O18" s="225">
        <f>+C18-'[1]QTD Mgmt Summary'!C18</f>
        <v>0</v>
      </c>
      <c r="P18" s="226">
        <f>-G18+'[1]QTD Mgmt Summary'!G18</f>
        <v>0</v>
      </c>
      <c r="Q18" s="227">
        <f>+O18+P18</f>
        <v>0</v>
      </c>
    </row>
    <row r="19" spans="1:17" ht="4.5" customHeight="1">
      <c r="A19" s="211"/>
      <c r="B19" s="206"/>
      <c r="C19" s="215"/>
      <c r="D19" s="216"/>
      <c r="E19" s="217"/>
      <c r="F19" s="218"/>
      <c r="G19" s="221"/>
      <c r="H19" s="216"/>
      <c r="I19" s="217"/>
      <c r="J19" s="218"/>
      <c r="K19" s="215"/>
      <c r="L19" s="216"/>
      <c r="M19" s="217"/>
      <c r="N19" s="289"/>
      <c r="O19" s="215"/>
      <c r="P19" s="216"/>
      <c r="Q19" s="217"/>
    </row>
    <row r="20" spans="1:17" s="220" customFormat="1" ht="16.5">
      <c r="A20" s="229" t="s">
        <v>3</v>
      </c>
      <c r="B20" s="219"/>
      <c r="C20" s="234">
        <f>SUM(C8:C19)</f>
        <v>747.67923999999994</v>
      </c>
      <c r="D20" s="235">
        <f>SUM(D8:D19)</f>
        <v>96188.75</v>
      </c>
      <c r="E20" s="236">
        <f>SUM(E8:E19)</f>
        <v>-95441.070760000002</v>
      </c>
      <c r="F20" s="237"/>
      <c r="G20" s="234">
        <f>SUM(G8:G19)</f>
        <v>47415.447</v>
      </c>
      <c r="H20" s="235">
        <f>SUM(H8:H19)</f>
        <v>47165.447</v>
      </c>
      <c r="I20" s="236">
        <f>SUM(I8:I19)</f>
        <v>-250</v>
      </c>
      <c r="J20" s="237"/>
      <c r="K20" s="234">
        <f>SUM(K8:K19)</f>
        <v>-46667.767759999995</v>
      </c>
      <c r="L20" s="235">
        <f>SUM(L8:L19)</f>
        <v>49023.303</v>
      </c>
      <c r="M20" s="236">
        <f>SUM(M8:M19)</f>
        <v>-95691.070760000002</v>
      </c>
      <c r="N20" s="291"/>
      <c r="O20" s="234">
        <f>SUM(O8:O19)</f>
        <v>13878.628000000001</v>
      </c>
      <c r="P20" s="235">
        <f>SUM(P8:P19)</f>
        <v>0</v>
      </c>
      <c r="Q20" s="236">
        <f>SUM(Q8:Q19)</f>
        <v>13878.628000000001</v>
      </c>
    </row>
    <row r="21" spans="1:17" ht="4.5" customHeight="1">
      <c r="A21" s="211"/>
      <c r="B21" s="206"/>
      <c r="C21" s="215"/>
      <c r="D21" s="216"/>
      <c r="E21" s="217"/>
      <c r="F21" s="218"/>
      <c r="G21" s="221"/>
      <c r="H21" s="216"/>
      <c r="I21" s="217"/>
      <c r="J21" s="218"/>
      <c r="K21" s="215"/>
      <c r="L21" s="216"/>
      <c r="M21" s="217"/>
      <c r="N21" s="289"/>
      <c r="O21" s="215"/>
      <c r="P21" s="216"/>
      <c r="Q21" s="217"/>
    </row>
    <row r="22" spans="1:17" s="32" customFormat="1" ht="13.5" customHeight="1">
      <c r="A22" s="223" t="s">
        <v>99</v>
      </c>
      <c r="B22" s="224"/>
      <c r="C22" s="225">
        <v>0</v>
      </c>
      <c r="D22" s="226">
        <v>0</v>
      </c>
      <c r="E22" s="227">
        <f>-D22+C22</f>
        <v>0</v>
      </c>
      <c r="F22" s="228"/>
      <c r="G22" s="225">
        <f>+'Mgmt Summary'!L23+'Mgmt Summary'!M23+'Mgmt Summary'!N23</f>
        <v>27654</v>
      </c>
      <c r="H22" s="226">
        <f>+'Mgmt Summary'!D23</f>
        <v>27654</v>
      </c>
      <c r="I22" s="227">
        <f>+H22-G22</f>
        <v>0</v>
      </c>
      <c r="J22" s="228"/>
      <c r="K22" s="225">
        <f>C22-G22</f>
        <v>-27654</v>
      </c>
      <c r="L22" s="226">
        <f>D22-H22</f>
        <v>-27654</v>
      </c>
      <c r="M22" s="227">
        <f>K22-L22</f>
        <v>0</v>
      </c>
      <c r="N22" s="290"/>
      <c r="O22" s="225">
        <f>+C22-'[1]QTD Mgmt Summary'!C22</f>
        <v>0</v>
      </c>
      <c r="P22" s="226">
        <f>-G22+'[1]QTD Mgmt Summary'!G22</f>
        <v>0</v>
      </c>
      <c r="Q22" s="227">
        <f>+O22+P22</f>
        <v>0</v>
      </c>
    </row>
    <row r="23" spans="1:17" s="32" customFormat="1" ht="13.5" customHeight="1">
      <c r="A23" s="223" t="s">
        <v>95</v>
      </c>
      <c r="B23" s="224"/>
      <c r="C23" s="225">
        <v>0</v>
      </c>
      <c r="D23" s="226">
        <v>0</v>
      </c>
      <c r="E23" s="227">
        <f>-D23+C23</f>
        <v>0</v>
      </c>
      <c r="F23" s="228"/>
      <c r="G23" s="225">
        <f>+'Mgmt Summary'!L24+'Mgmt Summary'!M24+'Mgmt Summary'!N24</f>
        <v>-22348</v>
      </c>
      <c r="H23" s="226">
        <f>+'Mgmt Summary'!D24</f>
        <v>-22348</v>
      </c>
      <c r="I23" s="227">
        <f>+H23-G23</f>
        <v>0</v>
      </c>
      <c r="J23" s="228"/>
      <c r="K23" s="225">
        <f t="shared" ref="K23:L25" si="6">C23-G23</f>
        <v>22348</v>
      </c>
      <c r="L23" s="226">
        <f t="shared" si="6"/>
        <v>22348</v>
      </c>
      <c r="M23" s="227">
        <f>K23-L23</f>
        <v>0</v>
      </c>
      <c r="N23" s="290"/>
      <c r="O23" s="225">
        <f>+C23-'[1]QTD Mgmt Summary'!C23</f>
        <v>0</v>
      </c>
      <c r="P23" s="226">
        <f>-G23+'[1]QTD Mgmt Summary'!G23</f>
        <v>0</v>
      </c>
      <c r="Q23" s="227">
        <f>+O23+P23</f>
        <v>0</v>
      </c>
    </row>
    <row r="24" spans="1:17" s="32" customFormat="1" ht="13.5" customHeight="1">
      <c r="A24" s="223" t="s">
        <v>10</v>
      </c>
      <c r="B24" s="224"/>
      <c r="C24" s="225">
        <f>+'Mgmt Summary'!J25</f>
        <v>-500</v>
      </c>
      <c r="D24" s="226">
        <f>+'Mgmt Summary'!C25</f>
        <v>-500</v>
      </c>
      <c r="E24" s="227">
        <f>-D24+C24</f>
        <v>0</v>
      </c>
      <c r="F24" s="228"/>
      <c r="G24" s="225">
        <f>+Expenses!D24</f>
        <v>0</v>
      </c>
      <c r="H24" s="226">
        <f>+Expenses!E24</f>
        <v>0</v>
      </c>
      <c r="I24" s="227">
        <f>+H24-G24</f>
        <v>0</v>
      </c>
      <c r="J24" s="228"/>
      <c r="K24" s="225">
        <f t="shared" si="6"/>
        <v>-500</v>
      </c>
      <c r="L24" s="226">
        <f t="shared" si="6"/>
        <v>-500</v>
      </c>
      <c r="M24" s="227">
        <f>K24-L24</f>
        <v>0</v>
      </c>
      <c r="N24" s="290"/>
      <c r="O24" s="225">
        <f>+C24-'[1]QTD Mgmt Summary'!C24</f>
        <v>0</v>
      </c>
      <c r="P24" s="226">
        <f>-G24+'[1]QTD Mgmt Summary'!G24</f>
        <v>0</v>
      </c>
      <c r="Q24" s="227">
        <f>+O24+P24</f>
        <v>0</v>
      </c>
    </row>
    <row r="25" spans="1:17" s="32" customFormat="1" ht="13.5" customHeight="1">
      <c r="A25" s="223" t="s">
        <v>35</v>
      </c>
      <c r="B25" s="224"/>
      <c r="C25" s="225">
        <f>+'Mgmt Summary'!J26</f>
        <v>0</v>
      </c>
      <c r="D25" s="226">
        <f>+'Mgmt Summary'!C26</f>
        <v>0</v>
      </c>
      <c r="E25" s="227">
        <f>-D25+C25</f>
        <v>0</v>
      </c>
      <c r="F25" s="228"/>
      <c r="G25" s="225">
        <f>+'CapChrg-AllocExp'!D24</f>
        <v>-1383.4870000000001</v>
      </c>
      <c r="H25" s="226">
        <f>+'CapChrg-AllocExp'!E24</f>
        <v>-1383.4870000000001</v>
      </c>
      <c r="I25" s="227">
        <f>+H25-G25</f>
        <v>0</v>
      </c>
      <c r="J25" s="228"/>
      <c r="K25" s="225">
        <f t="shared" si="6"/>
        <v>1383.4870000000001</v>
      </c>
      <c r="L25" s="226">
        <f t="shared" si="6"/>
        <v>1383.4870000000001</v>
      </c>
      <c r="M25" s="227">
        <f>K25-L25</f>
        <v>0</v>
      </c>
      <c r="N25" s="290"/>
      <c r="O25" s="225">
        <f>+C25-'[1]QTD Mgmt Summary'!C25</f>
        <v>0</v>
      </c>
      <c r="P25" s="226">
        <f>-G25+'[1]QTD Mgmt Summary'!G25</f>
        <v>0</v>
      </c>
      <c r="Q25" s="227">
        <f>+O25+P25</f>
        <v>0</v>
      </c>
    </row>
    <row r="26" spans="1:17" ht="4.5" customHeight="1">
      <c r="A26" s="211"/>
      <c r="B26" s="206"/>
      <c r="C26" s="215"/>
      <c r="D26" s="216"/>
      <c r="E26" s="217"/>
      <c r="F26" s="218"/>
      <c r="G26" s="221"/>
      <c r="H26" s="216"/>
      <c r="I26" s="217"/>
      <c r="J26" s="218"/>
      <c r="K26" s="215"/>
      <c r="L26" s="216"/>
      <c r="M26" s="217"/>
      <c r="N26" s="289"/>
      <c r="O26" s="215"/>
      <c r="P26" s="216"/>
      <c r="Q26" s="217"/>
    </row>
    <row r="27" spans="1:17" s="220" customFormat="1" ht="16.5">
      <c r="A27" s="229" t="s">
        <v>74</v>
      </c>
      <c r="B27" s="219"/>
      <c r="C27" s="234">
        <f>SUM(C20:C25)</f>
        <v>247.67923999999994</v>
      </c>
      <c r="D27" s="235">
        <f>SUM(D20:D25)</f>
        <v>95688.75</v>
      </c>
      <c r="E27" s="236">
        <f>SUM(E20:E25)</f>
        <v>-95441.070760000002</v>
      </c>
      <c r="F27" s="237"/>
      <c r="G27" s="234">
        <f>SUM(G20:G25)</f>
        <v>51337.96</v>
      </c>
      <c r="H27" s="235">
        <f>SUM(H20:H25)</f>
        <v>51087.96</v>
      </c>
      <c r="I27" s="236">
        <f>SUM(I20:I25)</f>
        <v>-250</v>
      </c>
      <c r="J27" s="237"/>
      <c r="K27" s="234">
        <f>SUM(K20:K25)</f>
        <v>-51090.280759999987</v>
      </c>
      <c r="L27" s="235">
        <f>SUM(L20:L25)</f>
        <v>44600.79</v>
      </c>
      <c r="M27" s="236">
        <f>SUM(M20:M25)</f>
        <v>-95691.070760000002</v>
      </c>
      <c r="N27" s="291"/>
      <c r="O27" s="234">
        <f>SUM(O20:O25)</f>
        <v>13878.628000000001</v>
      </c>
      <c r="P27" s="235">
        <f>SUM(P20:P25)</f>
        <v>0</v>
      </c>
      <c r="Q27" s="236">
        <f>SUM(Q20:Q25)</f>
        <v>13878.628000000001</v>
      </c>
    </row>
    <row r="28" spans="1:17" ht="4.5" customHeight="1">
      <c r="A28" s="211"/>
      <c r="B28" s="206"/>
      <c r="C28" s="225"/>
      <c r="D28" s="226"/>
      <c r="E28" s="227"/>
      <c r="F28" s="228"/>
      <c r="G28" s="238"/>
      <c r="H28" s="226"/>
      <c r="I28" s="227"/>
      <c r="J28" s="228"/>
      <c r="K28" s="225"/>
      <c r="L28" s="226"/>
      <c r="M28" s="227"/>
      <c r="N28" s="289"/>
      <c r="O28" s="225"/>
      <c r="P28" s="226"/>
      <c r="Q28" s="227"/>
    </row>
    <row r="29" spans="1:17" s="32" customFormat="1" ht="13.5" customHeight="1">
      <c r="A29" s="223" t="s">
        <v>57</v>
      </c>
      <c r="B29" s="224"/>
      <c r="C29" s="225">
        <f>+'Mgmt Summary'!J30</f>
        <v>0</v>
      </c>
      <c r="D29" s="226">
        <f>+'Mgmt Summary'!C30</f>
        <v>0</v>
      </c>
      <c r="E29" s="227">
        <f>D29-C29</f>
        <v>0</v>
      </c>
      <c r="F29" s="228"/>
      <c r="G29" s="225">
        <f>+'Mgmt Summary'!M30</f>
        <v>308</v>
      </c>
      <c r="H29" s="226">
        <f>+'Mgmt Summary'!D30</f>
        <v>308</v>
      </c>
      <c r="I29" s="227">
        <f>+H29-G29</f>
        <v>0</v>
      </c>
      <c r="J29" s="228"/>
      <c r="K29" s="225">
        <f>C29-G29</f>
        <v>-308</v>
      </c>
      <c r="L29" s="226">
        <f>D29-H29</f>
        <v>-308</v>
      </c>
      <c r="M29" s="227">
        <f>K29-L29</f>
        <v>0</v>
      </c>
      <c r="N29" s="290"/>
      <c r="O29" s="225">
        <f>+C29-'[1]QTD Mgmt Summary'!C29</f>
        <v>0</v>
      </c>
      <c r="P29" s="226">
        <f>-G29+'[1]QTD Mgmt Summary'!G29</f>
        <v>0</v>
      </c>
      <c r="Q29" s="227">
        <f>+O29+P29</f>
        <v>0</v>
      </c>
    </row>
    <row r="30" spans="1:17" ht="4.5" customHeight="1" thickBot="1">
      <c r="A30" s="211"/>
      <c r="B30" s="206"/>
      <c r="C30" s="225"/>
      <c r="D30" s="226"/>
      <c r="E30" s="227"/>
      <c r="F30" s="228"/>
      <c r="G30" s="238"/>
      <c r="H30" s="226"/>
      <c r="I30" s="227"/>
      <c r="J30" s="228"/>
      <c r="K30" s="225"/>
      <c r="L30" s="226"/>
      <c r="M30" s="227"/>
      <c r="N30" s="289"/>
      <c r="O30" s="225"/>
      <c r="P30" s="226"/>
      <c r="Q30" s="227"/>
    </row>
    <row r="31" spans="1:17" s="220" customFormat="1" ht="17.25" thickBot="1">
      <c r="A31" s="230" t="s">
        <v>75</v>
      </c>
      <c r="B31" s="222"/>
      <c r="C31" s="239">
        <f>+C27-C29</f>
        <v>247.67923999999994</v>
      </c>
      <c r="D31" s="240">
        <f>+D27-D29</f>
        <v>95688.75</v>
      </c>
      <c r="E31" s="264">
        <f>+E27-E29</f>
        <v>-95441.070760000002</v>
      </c>
      <c r="F31" s="241"/>
      <c r="G31" s="239">
        <f>SUM(G27:G29)</f>
        <v>51645.96</v>
      </c>
      <c r="H31" s="240">
        <f>SUM(H27:H29)</f>
        <v>51395.96</v>
      </c>
      <c r="I31" s="264">
        <f>SUM(I27:I29)</f>
        <v>-250</v>
      </c>
      <c r="J31" s="241"/>
      <c r="K31" s="239">
        <f>SUM(K27:K29)</f>
        <v>-51398.280759999987</v>
      </c>
      <c r="L31" s="240">
        <f>SUM(L27:L29)</f>
        <v>44292.79</v>
      </c>
      <c r="M31" s="264">
        <f>SUM(M27:M29)</f>
        <v>-95691.070760000002</v>
      </c>
      <c r="N31" s="291"/>
      <c r="O31" s="239">
        <f>SUM(O27:O29)</f>
        <v>13878.628000000001</v>
      </c>
      <c r="P31" s="240">
        <f>SUM(P27:P29)</f>
        <v>0</v>
      </c>
      <c r="Q31" s="264">
        <f>SUM(Q27:Q29)</f>
        <v>13878.628000000001</v>
      </c>
    </row>
    <row r="32" spans="1:17" ht="3" customHeight="1">
      <c r="A32" s="66"/>
      <c r="C32" s="67"/>
      <c r="D32" s="22"/>
      <c r="E32" s="66"/>
      <c r="F32" s="23"/>
      <c r="I32" s="66"/>
    </row>
    <row r="33" spans="1:17">
      <c r="A33" s="250" t="s">
        <v>88</v>
      </c>
      <c r="C33" s="23"/>
      <c r="D33" s="22"/>
      <c r="E33" s="23"/>
      <c r="F33" s="23"/>
      <c r="I33" s="23"/>
    </row>
    <row r="34" spans="1:17">
      <c r="M34" s="187"/>
      <c r="Q34" s="187"/>
    </row>
    <row r="35" spans="1:17">
      <c r="L35" s="166"/>
    </row>
    <row r="36" spans="1:17" ht="13.5" hidden="1">
      <c r="C36" s="282" t="s">
        <v>113</v>
      </c>
      <c r="D36" s="283"/>
      <c r="E36" s="284"/>
      <c r="G36" s="282" t="s">
        <v>114</v>
      </c>
      <c r="H36" s="283"/>
      <c r="I36" s="283"/>
      <c r="J36" s="284"/>
    </row>
    <row r="37" spans="1:17" hidden="1">
      <c r="C37" s="269" t="s">
        <v>102</v>
      </c>
      <c r="D37" s="270"/>
      <c r="E37" s="271">
        <f>+'GM-WeeklyChnge'!C31</f>
        <v>13865</v>
      </c>
      <c r="G37" s="269" t="s">
        <v>103</v>
      </c>
      <c r="H37" s="270"/>
      <c r="I37" s="272">
        <f>+'Expense Weekly Change'!E22+'Expense Weekly Change'!E21</f>
        <v>0</v>
      </c>
      <c r="J37" s="287"/>
    </row>
    <row r="38" spans="1:17" hidden="1">
      <c r="C38" s="269" t="s">
        <v>104</v>
      </c>
      <c r="D38" s="270"/>
      <c r="E38" s="271">
        <f>+'GM-WeeklyChnge'!D31</f>
        <v>13.628</v>
      </c>
      <c r="G38" s="269" t="s">
        <v>105</v>
      </c>
      <c r="H38" s="270"/>
      <c r="I38" s="272">
        <f>+'Expense Weekly Change'!E9+'Expense Weekly Change'!E10+'Expense Weekly Change'!E11+'Expense Weekly Change'!E12+'Expense Weekly Change'!E13+'Expense Weekly Change'!E14+'Expense Weekly Change'!E15+'Expense Weekly Change'!E16+'Expense Weekly Change'!E20</f>
        <v>0</v>
      </c>
      <c r="J38" s="273"/>
    </row>
    <row r="39" spans="1:17" hidden="1">
      <c r="C39" s="269" t="s">
        <v>106</v>
      </c>
      <c r="D39" s="270"/>
      <c r="E39" s="271">
        <f>+'GM-WeeklyChnge'!E31+'GM-WeeklyChnge'!F31+'GM-WeeklyChnge'!G31</f>
        <v>0</v>
      </c>
      <c r="G39" s="269" t="s">
        <v>28</v>
      </c>
      <c r="H39" s="270"/>
      <c r="I39" s="272">
        <f>-G29+'[1]QTD Mgmt Summary'!$G$29</f>
        <v>0</v>
      </c>
      <c r="J39" s="273"/>
    </row>
    <row r="40" spans="1:17" hidden="1">
      <c r="C40" s="274"/>
      <c r="D40" s="275"/>
      <c r="E40" s="276"/>
      <c r="G40" s="274"/>
      <c r="H40" s="275"/>
      <c r="I40" s="277"/>
      <c r="J40" s="278"/>
    </row>
    <row r="41" spans="1:17" ht="13.5" hidden="1">
      <c r="C41" s="279" t="s">
        <v>107</v>
      </c>
      <c r="D41" s="280"/>
      <c r="E41" s="281">
        <f>SUM(E37:E40)</f>
        <v>13878.628000000001</v>
      </c>
      <c r="G41" s="279" t="s">
        <v>107</v>
      </c>
      <c r="H41" s="280"/>
      <c r="I41" s="285">
        <f>SUM(I37:I40)</f>
        <v>0</v>
      </c>
      <c r="J41" s="286"/>
    </row>
    <row r="42" spans="1:17" hidden="1"/>
    <row r="43" spans="1:17" ht="13.5" hidden="1">
      <c r="C43" s="282" t="s">
        <v>111</v>
      </c>
      <c r="D43" s="283"/>
      <c r="E43" s="284"/>
      <c r="G43" s="282" t="s">
        <v>112</v>
      </c>
      <c r="H43" s="283"/>
      <c r="I43" s="283"/>
      <c r="J43" s="284"/>
    </row>
    <row r="44" spans="1:17" hidden="1">
      <c r="C44" s="269" t="s">
        <v>108</v>
      </c>
      <c r="D44" s="270"/>
      <c r="E44" s="271">
        <f>+[1]GrossMargin!$I$32</f>
        <v>-13630.948759999999</v>
      </c>
      <c r="G44" s="269" t="s">
        <v>108</v>
      </c>
      <c r="H44" s="270"/>
      <c r="I44" s="272">
        <f>+'[1]QTD Mgmt Summary'!$G$31</f>
        <v>51645.96</v>
      </c>
      <c r="J44" s="287"/>
    </row>
    <row r="45" spans="1:17" hidden="1">
      <c r="C45" s="269" t="s">
        <v>109</v>
      </c>
      <c r="D45" s="270"/>
      <c r="E45" s="271">
        <f>+GrossMargin!I32</f>
        <v>247.67923999999994</v>
      </c>
      <c r="G45" s="269" t="s">
        <v>109</v>
      </c>
      <c r="H45" s="270"/>
      <c r="I45" s="272">
        <f>+G31</f>
        <v>51645.96</v>
      </c>
      <c r="J45" s="273"/>
    </row>
    <row r="46" spans="1:17" hidden="1">
      <c r="C46" s="269"/>
      <c r="D46" s="270"/>
      <c r="E46" s="271"/>
      <c r="G46" s="269"/>
      <c r="H46" s="270"/>
      <c r="I46" s="272"/>
      <c r="J46" s="273"/>
    </row>
    <row r="47" spans="1:17" ht="13.5" hidden="1">
      <c r="C47" s="279" t="s">
        <v>110</v>
      </c>
      <c r="D47" s="280"/>
      <c r="E47" s="281">
        <f>+E45-E44</f>
        <v>13878.627999999999</v>
      </c>
      <c r="G47" s="279" t="s">
        <v>110</v>
      </c>
      <c r="H47" s="280"/>
      <c r="I47" s="285">
        <f>+I45-I44</f>
        <v>0</v>
      </c>
      <c r="J47" s="286"/>
    </row>
    <row r="48" spans="1:17">
      <c r="I48" s="166"/>
    </row>
  </sheetData>
  <mergeCells count="2">
    <mergeCell ref="K5:M5"/>
    <mergeCell ref="O5:Q5"/>
  </mergeCells>
  <printOptions horizontalCentered="1"/>
  <pageMargins left="0.25" right="0.25" top="0.5" bottom="0.5" header="0.17" footer="0.26"/>
  <pageSetup scale="96" orientation="landscape" blackAndWhite="1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>
    <pageSetUpPr fitToPage="1"/>
  </sheetPr>
  <dimension ref="A1:X62"/>
  <sheetViews>
    <sheetView zoomScaleNormal="100" workbookViewId="0">
      <selection activeCell="L37" sqref="L37"/>
    </sheetView>
  </sheetViews>
  <sheetFormatPr defaultRowHeight="12.75"/>
  <cols>
    <col min="1" max="1" width="25.42578125" style="14" customWidth="1"/>
    <col min="2" max="2" width="0.85546875" style="14" customWidth="1"/>
    <col min="3" max="3" width="7.7109375" style="14" customWidth="1"/>
    <col min="4" max="4" width="8.85546875" style="14" customWidth="1"/>
    <col min="5" max="5" width="7.7109375" style="14" customWidth="1"/>
    <col min="6" max="6" width="0.85546875" style="14" customWidth="1"/>
    <col min="7" max="7" width="8.140625" style="14" customWidth="1"/>
    <col min="8" max="8" width="7.7109375" style="14" hidden="1" customWidth="1"/>
    <col min="9" max="9" width="7.7109375" style="14" customWidth="1"/>
    <col min="10" max="10" width="8.28515625" style="14" bestFit="1" customWidth="1"/>
    <col min="11" max="11" width="7.7109375" style="14" hidden="1" customWidth="1"/>
    <col min="12" max="14" width="7.7109375" style="14" customWidth="1"/>
    <col min="15" max="15" width="8.28515625" style="14" bestFit="1" customWidth="1"/>
    <col min="16" max="16" width="0.85546875" style="14" customWidth="1"/>
    <col min="17" max="17" width="9.140625" style="14" bestFit="1"/>
    <col min="18" max="18" width="7.7109375" style="14" hidden="1" customWidth="1"/>
    <col min="19" max="21" width="7.7109375" style="14" customWidth="1"/>
    <col min="22" max="22" width="9.140625" style="14"/>
    <col min="23" max="23" width="0.85546875" style="14" customWidth="1"/>
    <col min="24" max="16384" width="9.140625" style="14"/>
  </cols>
  <sheetData>
    <row r="1" spans="1:24" ht="15.75">
      <c r="A1" s="306" t="s">
        <v>70</v>
      </c>
      <c r="B1" s="306"/>
      <c r="C1" s="306"/>
      <c r="D1" s="306"/>
      <c r="E1" s="306"/>
      <c r="F1" s="306"/>
      <c r="G1" s="306"/>
      <c r="H1" s="306"/>
      <c r="I1" s="306"/>
      <c r="J1" s="306"/>
      <c r="K1" s="306"/>
      <c r="L1" s="306"/>
      <c r="M1" s="306"/>
      <c r="N1" s="306"/>
      <c r="O1" s="306"/>
      <c r="P1" s="306"/>
      <c r="Q1" s="306"/>
      <c r="R1" s="306"/>
      <c r="S1" s="306"/>
      <c r="T1" s="306"/>
      <c r="U1" s="306"/>
      <c r="V1" s="306"/>
      <c r="W1" s="60"/>
    </row>
    <row r="2" spans="1:24" ht="16.5">
      <c r="A2" s="307" t="s">
        <v>119</v>
      </c>
      <c r="B2" s="307"/>
      <c r="C2" s="307"/>
      <c r="D2" s="307"/>
      <c r="E2" s="307"/>
      <c r="F2" s="307"/>
      <c r="G2" s="307"/>
      <c r="H2" s="307"/>
      <c r="I2" s="307"/>
      <c r="J2" s="307"/>
      <c r="K2" s="307"/>
      <c r="L2" s="307"/>
      <c r="M2" s="307"/>
      <c r="N2" s="307"/>
      <c r="O2" s="307"/>
      <c r="P2" s="307"/>
      <c r="Q2" s="307"/>
      <c r="R2" s="307"/>
      <c r="S2" s="307"/>
      <c r="T2" s="307"/>
      <c r="U2" s="307"/>
      <c r="V2" s="307"/>
      <c r="W2" s="61"/>
    </row>
    <row r="3" spans="1:24" ht="13.5">
      <c r="A3" s="313" t="s">
        <v>128</v>
      </c>
      <c r="B3" s="313"/>
      <c r="C3" s="313"/>
      <c r="D3" s="313"/>
      <c r="E3" s="313"/>
      <c r="F3" s="313"/>
      <c r="G3" s="313"/>
      <c r="H3" s="313"/>
      <c r="I3" s="313"/>
      <c r="J3" s="313"/>
      <c r="K3" s="313"/>
      <c r="L3" s="313"/>
      <c r="M3" s="313"/>
      <c r="N3" s="313"/>
      <c r="O3" s="313"/>
      <c r="P3" s="313"/>
      <c r="Q3" s="313"/>
      <c r="R3" s="313"/>
      <c r="S3" s="313"/>
      <c r="T3" s="313"/>
      <c r="U3" s="313"/>
      <c r="V3" s="313"/>
      <c r="W3" s="62"/>
    </row>
    <row r="4" spans="1:24" ht="3" customHeight="1"/>
    <row r="5" spans="1:24" s="34" customFormat="1" ht="15" customHeight="1">
      <c r="A5" s="106"/>
      <c r="C5" s="303" t="s">
        <v>8</v>
      </c>
      <c r="D5" s="304"/>
      <c r="E5" s="305"/>
      <c r="G5" s="303" t="s">
        <v>41</v>
      </c>
      <c r="H5" s="304"/>
      <c r="I5" s="304"/>
      <c r="J5" s="304"/>
      <c r="K5" s="304"/>
      <c r="L5" s="304"/>
      <c r="M5" s="304"/>
      <c r="N5" s="304"/>
      <c r="O5" s="305"/>
      <c r="Q5" s="303" t="s">
        <v>36</v>
      </c>
      <c r="R5" s="304"/>
      <c r="S5" s="304"/>
      <c r="T5" s="304"/>
      <c r="U5" s="304"/>
      <c r="V5" s="305"/>
    </row>
    <row r="6" spans="1:24" s="34" customFormat="1" ht="15" customHeight="1">
      <c r="A6" s="107"/>
      <c r="C6" s="110"/>
      <c r="D6" s="108"/>
      <c r="E6" s="110"/>
      <c r="G6" s="109" t="s">
        <v>40</v>
      </c>
      <c r="H6" s="109" t="s">
        <v>4</v>
      </c>
      <c r="I6" s="109" t="s">
        <v>6</v>
      </c>
      <c r="J6" s="109" t="s">
        <v>7</v>
      </c>
      <c r="K6" s="109" t="s">
        <v>48</v>
      </c>
      <c r="L6" s="109" t="s">
        <v>15</v>
      </c>
      <c r="M6" s="109" t="s">
        <v>14</v>
      </c>
      <c r="N6" s="109" t="s">
        <v>17</v>
      </c>
      <c r="O6" s="109"/>
      <c r="Q6" s="110" t="s">
        <v>7</v>
      </c>
      <c r="R6" s="110" t="s">
        <v>48</v>
      </c>
      <c r="S6" s="109" t="s">
        <v>15</v>
      </c>
      <c r="T6" s="110" t="s">
        <v>14</v>
      </c>
      <c r="U6" s="110" t="s">
        <v>17</v>
      </c>
      <c r="V6" s="106"/>
    </row>
    <row r="7" spans="1:24" s="34" customFormat="1" ht="15" customHeight="1">
      <c r="A7" s="109" t="s">
        <v>9</v>
      </c>
      <c r="B7" s="107"/>
      <c r="C7" s="114" t="s">
        <v>13</v>
      </c>
      <c r="D7" s="115" t="s">
        <v>72</v>
      </c>
      <c r="E7" s="114" t="s">
        <v>56</v>
      </c>
      <c r="F7" s="113"/>
      <c r="G7" s="109" t="s">
        <v>13</v>
      </c>
      <c r="H7" s="109" t="s">
        <v>5</v>
      </c>
      <c r="I7" s="109" t="s">
        <v>13</v>
      </c>
      <c r="J7" s="109" t="s">
        <v>13</v>
      </c>
      <c r="K7" s="114" t="s">
        <v>34</v>
      </c>
      <c r="L7" s="109" t="s">
        <v>16</v>
      </c>
      <c r="M7" s="109" t="s">
        <v>34</v>
      </c>
      <c r="N7" s="109" t="s">
        <v>34</v>
      </c>
      <c r="O7" s="109" t="s">
        <v>7</v>
      </c>
      <c r="Q7" s="109" t="s">
        <v>13</v>
      </c>
      <c r="R7" s="109" t="s">
        <v>34</v>
      </c>
      <c r="S7" s="109" t="s">
        <v>16</v>
      </c>
      <c r="T7" s="109" t="s">
        <v>34</v>
      </c>
      <c r="U7" s="109" t="s">
        <v>34</v>
      </c>
      <c r="V7" s="109" t="s">
        <v>7</v>
      </c>
    </row>
    <row r="8" spans="1:24" ht="3" customHeight="1">
      <c r="A8" s="99"/>
      <c r="B8" s="97"/>
      <c r="C8" s="100"/>
      <c r="D8" s="101"/>
      <c r="E8" s="102"/>
      <c r="F8" s="97"/>
      <c r="G8" s="100"/>
      <c r="H8" s="101"/>
      <c r="I8" s="101"/>
      <c r="J8" s="99"/>
      <c r="K8" s="101"/>
      <c r="L8" s="100"/>
      <c r="M8" s="101"/>
      <c r="N8" s="101"/>
      <c r="O8" s="99"/>
      <c r="P8" s="32"/>
      <c r="Q8" s="100"/>
      <c r="R8" s="101"/>
      <c r="S8" s="101"/>
      <c r="T8" s="101"/>
      <c r="U8" s="101"/>
      <c r="V8" s="102"/>
      <c r="W8" s="32"/>
    </row>
    <row r="9" spans="1:24" ht="13.5" customHeight="1">
      <c r="A9" s="107" t="s">
        <v>79</v>
      </c>
      <c r="B9" s="35"/>
      <c r="C9" s="133">
        <f>GrossMargin!M10</f>
        <v>40000</v>
      </c>
      <c r="D9" s="36">
        <f>Expenses!E9+'CapChrg-AllocExp'!E10+'CapChrg-AllocExp'!L10</f>
        <v>17128.77</v>
      </c>
      <c r="E9" s="135">
        <f t="shared" ref="E9:E15" si="0">C9-D9</f>
        <v>22871.23</v>
      </c>
      <c r="F9" s="36"/>
      <c r="G9" s="133">
        <f>GrossMargin!I10</f>
        <v>-4389</v>
      </c>
      <c r="H9" s="36">
        <f>GrossMargin!J10</f>
        <v>0</v>
      </c>
      <c r="I9" s="36">
        <f>GrossMargin!K10</f>
        <v>0</v>
      </c>
      <c r="J9" s="136">
        <f t="shared" ref="J9:J15" si="1">SUM(G9:I9)</f>
        <v>-4389</v>
      </c>
      <c r="K9" s="137"/>
      <c r="L9" s="139">
        <f>'CapChrg-AllocExp'!D10</f>
        <v>0</v>
      </c>
      <c r="M9" s="140">
        <f>Expenses!D9</f>
        <v>6767.77</v>
      </c>
      <c r="N9" s="140">
        <f>'CapChrg-AllocExp'!K10</f>
        <v>10361</v>
      </c>
      <c r="O9" s="136">
        <f t="shared" ref="O9:O15" si="2">J9-K9-M9-N9-L9</f>
        <v>-21517.77</v>
      </c>
      <c r="P9" s="37"/>
      <c r="Q9" s="133">
        <f t="shared" ref="Q9:Q15" si="3">+J9-C9</f>
        <v>-44389</v>
      </c>
      <c r="R9" s="36"/>
      <c r="S9" s="36">
        <f>'CapChrg-AllocExp'!F10</f>
        <v>0</v>
      </c>
      <c r="T9" s="36">
        <f>Expenses!F9</f>
        <v>0</v>
      </c>
      <c r="U9" s="36">
        <f>'CapChrg-AllocExp'!M10</f>
        <v>0</v>
      </c>
      <c r="V9" s="135">
        <f t="shared" ref="V9:V15" si="4">ROUND(SUM(Q9:U9),0)</f>
        <v>-44389</v>
      </c>
      <c r="W9" s="32"/>
      <c r="X9" s="166"/>
    </row>
    <row r="10" spans="1:24" ht="13.5" customHeight="1">
      <c r="A10" s="107" t="s">
        <v>1</v>
      </c>
      <c r="B10" s="35"/>
      <c r="C10" s="133">
        <f>GrossMargin!M11</f>
        <v>13750</v>
      </c>
      <c r="D10" s="36">
        <f>Expenses!E10+'CapChrg-AllocExp'!E11+'CapChrg-AllocExp'!L11</f>
        <v>7821.5169999999998</v>
      </c>
      <c r="E10" s="135">
        <f t="shared" si="0"/>
        <v>5928.4830000000002</v>
      </c>
      <c r="F10" s="36"/>
      <c r="G10" s="133">
        <f>GrossMargin!I11</f>
        <v>4054.6792399999999</v>
      </c>
      <c r="H10" s="36">
        <f>GrossMargin!J11</f>
        <v>0</v>
      </c>
      <c r="I10" s="36">
        <f>GrossMargin!K11</f>
        <v>0</v>
      </c>
      <c r="J10" s="136">
        <f t="shared" si="1"/>
        <v>4054.6792399999999</v>
      </c>
      <c r="K10" s="137"/>
      <c r="L10" s="139">
        <f>'CapChrg-AllocExp'!D11</f>
        <v>753.42399999999998</v>
      </c>
      <c r="M10" s="36">
        <f>Expenses!D10</f>
        <v>4013.0929999999998</v>
      </c>
      <c r="N10" s="36">
        <f>'CapChrg-AllocExp'!K11</f>
        <v>3055</v>
      </c>
      <c r="O10" s="136">
        <f t="shared" si="2"/>
        <v>-3766.8377599999999</v>
      </c>
      <c r="P10" s="37"/>
      <c r="Q10" s="133">
        <f t="shared" si="3"/>
        <v>-9695.3207600000005</v>
      </c>
      <c r="R10" s="36"/>
      <c r="S10" s="36">
        <f>'CapChrg-AllocExp'!F11</f>
        <v>0</v>
      </c>
      <c r="T10" s="36">
        <f>Expenses!F10</f>
        <v>0</v>
      </c>
      <c r="U10" s="36">
        <f>'CapChrg-AllocExp'!M11</f>
        <v>0</v>
      </c>
      <c r="V10" s="135">
        <f t="shared" si="4"/>
        <v>-9695</v>
      </c>
      <c r="W10" s="32"/>
    </row>
    <row r="11" spans="1:24" ht="13.5" customHeight="1">
      <c r="A11" s="107" t="s">
        <v>44</v>
      </c>
      <c r="B11" s="35"/>
      <c r="C11" s="133">
        <f>GrossMargin!M12</f>
        <v>5000</v>
      </c>
      <c r="D11" s="36">
        <f>Expenses!E11+'CapChrg-AllocExp'!E12+'CapChrg-AllocExp'!L12</f>
        <v>2056.681</v>
      </c>
      <c r="E11" s="135">
        <f t="shared" si="0"/>
        <v>2943.319</v>
      </c>
      <c r="F11" s="36"/>
      <c r="G11" s="133">
        <f>GrossMargin!I12</f>
        <v>-957</v>
      </c>
      <c r="H11" s="36">
        <f>GrossMargin!J12</f>
        <v>0</v>
      </c>
      <c r="I11" s="36">
        <f>GrossMargin!K12</f>
        <v>0</v>
      </c>
      <c r="J11" s="136">
        <f t="shared" si="1"/>
        <v>-957</v>
      </c>
      <c r="K11" s="137"/>
      <c r="L11" s="133">
        <f>'CapChrg-AllocExp'!D12</f>
        <v>39.063000000000002</v>
      </c>
      <c r="M11" s="36">
        <f>Expenses!D11</f>
        <v>1213.6179999999999</v>
      </c>
      <c r="N11" s="36">
        <f>'CapChrg-AllocExp'!K12</f>
        <v>804</v>
      </c>
      <c r="O11" s="136">
        <f t="shared" si="2"/>
        <v>-3013.681</v>
      </c>
      <c r="P11" s="37"/>
      <c r="Q11" s="133">
        <f t="shared" si="3"/>
        <v>-5957</v>
      </c>
      <c r="R11" s="36"/>
      <c r="S11" s="36">
        <f>'CapChrg-AllocExp'!F12</f>
        <v>0</v>
      </c>
      <c r="T11" s="36">
        <f>Expenses!F11</f>
        <v>0</v>
      </c>
      <c r="U11" s="36">
        <f>'CapChrg-AllocExp'!M12</f>
        <v>0</v>
      </c>
      <c r="V11" s="135">
        <f t="shared" si="4"/>
        <v>-5957</v>
      </c>
      <c r="W11" s="32"/>
    </row>
    <row r="12" spans="1:24" ht="13.5" customHeight="1">
      <c r="A12" s="107" t="s">
        <v>64</v>
      </c>
      <c r="B12" s="35"/>
      <c r="C12" s="133">
        <f>GrossMargin!M13</f>
        <v>8509.2510000000002</v>
      </c>
      <c r="D12" s="36">
        <f>Expenses!E12+'CapChrg-AllocExp'!E13+'CapChrg-AllocExp'!L13</f>
        <v>3731.5230000000001</v>
      </c>
      <c r="E12" s="135">
        <f t="shared" si="0"/>
        <v>4777.7280000000001</v>
      </c>
      <c r="F12" s="36"/>
      <c r="G12" s="133">
        <f>GrossMargin!I13</f>
        <v>-4</v>
      </c>
      <c r="H12" s="36">
        <f>GrossMargin!J13</f>
        <v>0</v>
      </c>
      <c r="I12" s="36">
        <f>GrossMargin!K13</f>
        <v>0</v>
      </c>
      <c r="J12" s="136">
        <f t="shared" si="1"/>
        <v>-4</v>
      </c>
      <c r="K12" s="137"/>
      <c r="L12" s="133">
        <f>'CapChrg-AllocExp'!D13</f>
        <v>0</v>
      </c>
      <c r="M12" s="36">
        <f>Expenses!D12</f>
        <v>1808.5229999999999</v>
      </c>
      <c r="N12" s="36">
        <f>'CapChrg-AllocExp'!K13</f>
        <v>1923</v>
      </c>
      <c r="O12" s="136">
        <f t="shared" si="2"/>
        <v>-3735.5230000000001</v>
      </c>
      <c r="P12" s="37"/>
      <c r="Q12" s="133">
        <f t="shared" si="3"/>
        <v>-8513.2510000000002</v>
      </c>
      <c r="R12" s="36"/>
      <c r="S12" s="36">
        <f>'CapChrg-AllocExp'!F13</f>
        <v>0</v>
      </c>
      <c r="T12" s="36">
        <f>Expenses!F12</f>
        <v>0</v>
      </c>
      <c r="U12" s="36">
        <f>'CapChrg-AllocExp'!M13</f>
        <v>0</v>
      </c>
      <c r="V12" s="135">
        <f t="shared" si="4"/>
        <v>-8513</v>
      </c>
      <c r="W12" s="32"/>
    </row>
    <row r="13" spans="1:24" ht="13.5" customHeight="1">
      <c r="A13" s="107" t="s">
        <v>71</v>
      </c>
      <c r="B13" s="35"/>
      <c r="C13" s="133">
        <f>GrossMargin!M14</f>
        <v>4875</v>
      </c>
      <c r="D13" s="36">
        <f>Expenses!E13+'CapChrg-AllocExp'!E14+'CapChrg-AllocExp'!L14</f>
        <v>2534.6480000000001</v>
      </c>
      <c r="E13" s="135">
        <f t="shared" si="0"/>
        <v>2340.3519999999999</v>
      </c>
      <c r="F13" s="36"/>
      <c r="G13" s="133">
        <f>GrossMargin!I14</f>
        <v>0</v>
      </c>
      <c r="H13" s="36">
        <f>GrossMargin!J14</f>
        <v>0</v>
      </c>
      <c r="I13" s="36">
        <f>GrossMargin!K14</f>
        <v>0</v>
      </c>
      <c r="J13" s="136">
        <f t="shared" si="1"/>
        <v>0</v>
      </c>
      <c r="K13" s="137"/>
      <c r="L13" s="133">
        <f>'CapChrg-AllocExp'!D14</f>
        <v>0</v>
      </c>
      <c r="M13" s="36">
        <f>Expenses!D13</f>
        <v>1802.6479999999999</v>
      </c>
      <c r="N13" s="36">
        <f>'CapChrg-AllocExp'!K14</f>
        <v>732</v>
      </c>
      <c r="O13" s="136">
        <f t="shared" si="2"/>
        <v>-2534.6480000000001</v>
      </c>
      <c r="P13" s="37"/>
      <c r="Q13" s="133">
        <f t="shared" si="3"/>
        <v>-4875</v>
      </c>
      <c r="R13" s="36"/>
      <c r="S13" s="36">
        <f>'CapChrg-AllocExp'!F14</f>
        <v>0</v>
      </c>
      <c r="T13" s="36">
        <f>Expenses!F13</f>
        <v>0</v>
      </c>
      <c r="U13" s="36">
        <f>'CapChrg-AllocExp'!M14</f>
        <v>0</v>
      </c>
      <c r="V13" s="135">
        <f t="shared" si="4"/>
        <v>-4875</v>
      </c>
      <c r="W13" s="32"/>
    </row>
    <row r="14" spans="1:24" s="64" customFormat="1" ht="13.5" customHeight="1">
      <c r="A14" s="167" t="s">
        <v>50</v>
      </c>
      <c r="B14" s="178"/>
      <c r="C14" s="139">
        <f>+GrossMargin!M21</f>
        <v>20000</v>
      </c>
      <c r="D14" s="140">
        <f>+Expenses!E14+'CapChrg-AllocExp'!E15+'CapChrg-AllocExp'!L15</f>
        <v>5782.3860000000004</v>
      </c>
      <c r="E14" s="164">
        <f t="shared" si="0"/>
        <v>14217.614</v>
      </c>
      <c r="F14" s="140"/>
      <c r="G14" s="139">
        <f>+GrossMargin!I21</f>
        <v>2077</v>
      </c>
      <c r="H14" s="140">
        <f>GrossMargin!J15</f>
        <v>0</v>
      </c>
      <c r="I14" s="140">
        <f>+GrossMargin!K21</f>
        <v>0</v>
      </c>
      <c r="J14" s="179">
        <f t="shared" si="1"/>
        <v>2077</v>
      </c>
      <c r="K14" s="180"/>
      <c r="L14" s="139">
        <f>+'CapChrg-AllocExp'!D15</f>
        <v>0</v>
      </c>
      <c r="M14" s="36">
        <f>Expenses!D14</f>
        <v>3467.386</v>
      </c>
      <c r="N14" s="140">
        <f>+'CapChrg-AllocExp'!K15</f>
        <v>2315</v>
      </c>
      <c r="O14" s="179">
        <f t="shared" si="2"/>
        <v>-3705.386</v>
      </c>
      <c r="P14" s="181"/>
      <c r="Q14" s="139">
        <f t="shared" si="3"/>
        <v>-17923</v>
      </c>
      <c r="R14" s="140"/>
      <c r="S14" s="140">
        <f>+'CapChrg-AllocExp'!F15</f>
        <v>0</v>
      </c>
      <c r="T14" s="36">
        <f>Expenses!F14</f>
        <v>0</v>
      </c>
      <c r="U14" s="140">
        <f>+'CapChrg-AllocExp'!M15</f>
        <v>0</v>
      </c>
      <c r="V14" s="164">
        <f t="shared" si="4"/>
        <v>-17923</v>
      </c>
      <c r="W14" s="63"/>
      <c r="X14" s="169"/>
    </row>
    <row r="15" spans="1:24" s="64" customFormat="1" ht="13.5" customHeight="1">
      <c r="A15" s="167" t="s">
        <v>90</v>
      </c>
      <c r="B15" s="178"/>
      <c r="C15" s="139">
        <f>+GrossMargin!M22</f>
        <v>500</v>
      </c>
      <c r="D15" s="140">
        <f>+Expenses!E15+'CapChrg-AllocExp'!E16+'CapChrg-AllocExp'!L16</f>
        <v>614.70699999999999</v>
      </c>
      <c r="E15" s="164">
        <f t="shared" si="0"/>
        <v>-114.70699999999999</v>
      </c>
      <c r="F15" s="140"/>
      <c r="G15" s="139">
        <f>+GrossMargin!I22</f>
        <v>0</v>
      </c>
      <c r="H15" s="140">
        <f>GrossMargin!J17</f>
        <v>0</v>
      </c>
      <c r="I15" s="140">
        <f>+GrossMargin!K22</f>
        <v>0</v>
      </c>
      <c r="J15" s="179">
        <f t="shared" si="1"/>
        <v>0</v>
      </c>
      <c r="K15" s="180"/>
      <c r="L15" s="139">
        <f>+'CapChrg-AllocExp'!D16</f>
        <v>0</v>
      </c>
      <c r="M15" s="36">
        <f>Expenses!D15</f>
        <v>461.70699999999999</v>
      </c>
      <c r="N15" s="140">
        <f>+'CapChrg-AllocExp'!K16</f>
        <v>153</v>
      </c>
      <c r="O15" s="179">
        <f t="shared" si="2"/>
        <v>-614.70699999999999</v>
      </c>
      <c r="P15" s="181"/>
      <c r="Q15" s="139">
        <f t="shared" si="3"/>
        <v>-500</v>
      </c>
      <c r="R15" s="140"/>
      <c r="S15" s="140">
        <f>+'CapChrg-AllocExp'!F16</f>
        <v>0</v>
      </c>
      <c r="T15" s="36">
        <f>Expenses!F15</f>
        <v>0</v>
      </c>
      <c r="U15" s="140">
        <f>+'CapChrg-AllocExp'!M16</f>
        <v>0</v>
      </c>
      <c r="V15" s="164">
        <f t="shared" si="4"/>
        <v>-500</v>
      </c>
      <c r="W15" s="63"/>
      <c r="X15" s="169"/>
    </row>
    <row r="16" spans="1:24" s="64" customFormat="1" ht="13.5" customHeight="1">
      <c r="A16" s="167" t="s">
        <v>91</v>
      </c>
      <c r="B16" s="178"/>
      <c r="C16" s="139">
        <f>+GrossMargin!M23</f>
        <v>3000</v>
      </c>
      <c r="D16" s="140">
        <f>+Expenses!E16+'CapChrg-AllocExp'!E17+'CapChrg-AllocExp'!L17</f>
        <v>2575.25</v>
      </c>
      <c r="E16" s="164">
        <f>C16-D16</f>
        <v>424.75</v>
      </c>
      <c r="F16" s="140"/>
      <c r="G16" s="139">
        <f>+GrossMargin!I23</f>
        <v>-34</v>
      </c>
      <c r="H16" s="140">
        <f>GrossMargin!J18</f>
        <v>0</v>
      </c>
      <c r="I16" s="140">
        <f>+GrossMargin!K23</f>
        <v>0</v>
      </c>
      <c r="J16" s="179">
        <f>SUM(G16:I16)</f>
        <v>-34</v>
      </c>
      <c r="K16" s="180"/>
      <c r="L16" s="139">
        <f>+'CapChrg-AllocExp'!D17</f>
        <v>0</v>
      </c>
      <c r="M16" s="36">
        <f>Expenses!D16</f>
        <v>1430.25</v>
      </c>
      <c r="N16" s="140">
        <f>+'CapChrg-AllocExp'!K17</f>
        <v>1145</v>
      </c>
      <c r="O16" s="179">
        <f>J16-K16-M16-N16-L16</f>
        <v>-2609.25</v>
      </c>
      <c r="P16" s="181"/>
      <c r="Q16" s="139">
        <f>+J16-C16</f>
        <v>-3034</v>
      </c>
      <c r="R16" s="140"/>
      <c r="S16" s="140">
        <f>+'CapChrg-AllocExp'!F17</f>
        <v>0</v>
      </c>
      <c r="T16" s="36">
        <f>Expenses!F16</f>
        <v>0</v>
      </c>
      <c r="U16" s="140">
        <f>+'CapChrg-AllocExp'!M17</f>
        <v>0</v>
      </c>
      <c r="V16" s="164">
        <f>ROUND(SUM(Q16:U16),0)</f>
        <v>-3034</v>
      </c>
      <c r="W16" s="63"/>
      <c r="X16" s="169"/>
    </row>
    <row r="17" spans="1:24" s="64" customFormat="1" ht="13.5" customHeight="1">
      <c r="A17" s="167" t="s">
        <v>92</v>
      </c>
      <c r="B17" s="178"/>
      <c r="C17" s="139">
        <f>+GrossMargin!M24</f>
        <v>1413</v>
      </c>
      <c r="D17" s="140">
        <f>+Expenses!E17+'CapChrg-AllocExp'!E18+'CapChrg-AllocExp'!L18</f>
        <v>1588.5</v>
      </c>
      <c r="E17" s="164">
        <f>C17-D17</f>
        <v>-175.5</v>
      </c>
      <c r="F17" s="140"/>
      <c r="G17" s="139">
        <f>+GrossMargin!I24</f>
        <v>0</v>
      </c>
      <c r="H17" s="140">
        <f>GrossMargin!J19</f>
        <v>0</v>
      </c>
      <c r="I17" s="140">
        <f>+GrossMargin!K24</f>
        <v>0</v>
      </c>
      <c r="J17" s="179">
        <f>SUM(G17:I17)</f>
        <v>0</v>
      </c>
      <c r="K17" s="180"/>
      <c r="L17" s="139">
        <f>+'CapChrg-AllocExp'!D18</f>
        <v>0</v>
      </c>
      <c r="M17" s="36">
        <f>Expenses!D17</f>
        <v>809.5</v>
      </c>
      <c r="N17" s="140">
        <f>+'CapChrg-AllocExp'!K18</f>
        <v>779</v>
      </c>
      <c r="O17" s="179">
        <f>J17-K17-M17-N17-L17</f>
        <v>-1588.5</v>
      </c>
      <c r="P17" s="181"/>
      <c r="Q17" s="139">
        <f>+J17-C17</f>
        <v>-1413</v>
      </c>
      <c r="R17" s="140"/>
      <c r="S17" s="140">
        <f>+'CapChrg-AllocExp'!F18</f>
        <v>0</v>
      </c>
      <c r="T17" s="36">
        <f>Expenses!F17</f>
        <v>0</v>
      </c>
      <c r="U17" s="140">
        <f>+'CapChrg-AllocExp'!M18</f>
        <v>0</v>
      </c>
      <c r="V17" s="164">
        <f>ROUND(SUM(Q17:U17),0)</f>
        <v>-1413</v>
      </c>
      <c r="W17" s="63"/>
      <c r="X17" s="169"/>
    </row>
    <row r="18" spans="1:24" s="64" customFormat="1" ht="13.5" customHeight="1">
      <c r="A18" s="167" t="s">
        <v>93</v>
      </c>
      <c r="B18" s="178"/>
      <c r="C18" s="139">
        <f>+GrossMargin!M25</f>
        <v>-858.5010000000002</v>
      </c>
      <c r="D18" s="140">
        <f>+Expenses!E18+'CapChrg-AllocExp'!E19+'CapChrg-AllocExp'!L19</f>
        <v>1565.9259999999999</v>
      </c>
      <c r="E18" s="164">
        <f>C18-D18</f>
        <v>-2424.4270000000001</v>
      </c>
      <c r="F18" s="140"/>
      <c r="G18" s="139">
        <f>+GrossMargin!I25</f>
        <v>0</v>
      </c>
      <c r="H18" s="140">
        <f>GrossMargin!J20</f>
        <v>0</v>
      </c>
      <c r="I18" s="140">
        <f>+GrossMargin!K25</f>
        <v>0</v>
      </c>
      <c r="J18" s="179">
        <f>SUM(G18:I18)</f>
        <v>0</v>
      </c>
      <c r="K18" s="180"/>
      <c r="L18" s="139">
        <f>+'CapChrg-AllocExp'!D19</f>
        <v>591</v>
      </c>
      <c r="M18" s="36">
        <f>Expenses!D18</f>
        <v>413.92599999999999</v>
      </c>
      <c r="N18" s="140">
        <f>+'CapChrg-AllocExp'!K19</f>
        <v>561</v>
      </c>
      <c r="O18" s="179">
        <f>J18-K18-M18-N18-L18</f>
        <v>-1565.9259999999999</v>
      </c>
      <c r="P18" s="181"/>
      <c r="Q18" s="139">
        <f>+J18-C18</f>
        <v>858.5010000000002</v>
      </c>
      <c r="R18" s="140"/>
      <c r="S18" s="140">
        <f>+'CapChrg-AllocExp'!F19</f>
        <v>0</v>
      </c>
      <c r="T18" s="36">
        <f>Expenses!F18</f>
        <v>0</v>
      </c>
      <c r="U18" s="140">
        <f>+'CapChrg-AllocExp'!M19</f>
        <v>0</v>
      </c>
      <c r="V18" s="164">
        <f>ROUND(SUM(Q18:U18),0)</f>
        <v>859</v>
      </c>
      <c r="W18" s="63"/>
      <c r="X18" s="169"/>
    </row>
    <row r="19" spans="1:24" ht="13.5" customHeight="1">
      <c r="A19" s="107" t="s">
        <v>2</v>
      </c>
      <c r="B19" s="35"/>
      <c r="C19" s="133">
        <f>GrossMargin!M26</f>
        <v>0</v>
      </c>
      <c r="D19" s="36">
        <f>Expenses!E19+'CapChrg-AllocExp'!E20+'CapChrg-AllocExp'!L20</f>
        <v>1765.539</v>
      </c>
      <c r="E19" s="135">
        <f>C19-D19</f>
        <v>-1765.539</v>
      </c>
      <c r="F19" s="36"/>
      <c r="G19" s="133">
        <f>GrossMargin!I26</f>
        <v>0</v>
      </c>
      <c r="H19" s="36">
        <f>GrossMargin!J26</f>
        <v>0</v>
      </c>
      <c r="I19" s="36">
        <f>GrossMargin!K26</f>
        <v>0</v>
      </c>
      <c r="J19" s="136">
        <f>SUM(G19:I19)</f>
        <v>0</v>
      </c>
      <c r="K19" s="137"/>
      <c r="L19" s="133">
        <f>'CapChrg-AllocExp'!D20</f>
        <v>0</v>
      </c>
      <c r="M19" s="36">
        <f>Expenses!D19</f>
        <v>1495.539</v>
      </c>
      <c r="N19" s="36">
        <f>'CapChrg-AllocExp'!K20</f>
        <v>520</v>
      </c>
      <c r="O19" s="136">
        <f>J19-K19-M19-N19-L19</f>
        <v>-2015.539</v>
      </c>
      <c r="P19" s="37"/>
      <c r="Q19" s="133">
        <f>+J19-C19</f>
        <v>0</v>
      </c>
      <c r="R19" s="36"/>
      <c r="S19" s="36">
        <f>'CapChrg-AllocExp'!F20</f>
        <v>0</v>
      </c>
      <c r="T19" s="36">
        <f>Expenses!F19</f>
        <v>-250</v>
      </c>
      <c r="U19" s="36">
        <f>'CapChrg-AllocExp'!M20</f>
        <v>0</v>
      </c>
      <c r="V19" s="135">
        <f>ROUND(SUM(Q19:U19),0)</f>
        <v>-250</v>
      </c>
      <c r="W19" s="32"/>
    </row>
    <row r="20" spans="1:24" ht="3" customHeight="1">
      <c r="A20" s="107"/>
      <c r="B20" s="35"/>
      <c r="C20" s="133"/>
      <c r="D20" s="36"/>
      <c r="E20" s="135"/>
      <c r="F20" s="36"/>
      <c r="G20" s="133"/>
      <c r="H20" s="36"/>
      <c r="I20" s="36"/>
      <c r="J20" s="136"/>
      <c r="K20" s="137"/>
      <c r="L20" s="134"/>
      <c r="M20" s="36"/>
      <c r="N20" s="36"/>
      <c r="O20" s="136"/>
      <c r="P20" s="37"/>
      <c r="Q20" s="133"/>
      <c r="R20" s="36"/>
      <c r="S20" s="36"/>
      <c r="T20" s="36"/>
      <c r="U20" s="36"/>
      <c r="V20" s="135"/>
      <c r="W20" s="32"/>
    </row>
    <row r="21" spans="1:24" s="34" customFormat="1" ht="12" customHeight="1">
      <c r="A21" s="38" t="s">
        <v>96</v>
      </c>
      <c r="B21" s="35"/>
      <c r="C21" s="43">
        <f>SUM(C9:C20)</f>
        <v>96188.75</v>
      </c>
      <c r="D21" s="44">
        <f>SUM(D9:D20)</f>
        <v>47165.447</v>
      </c>
      <c r="E21" s="45">
        <f>SUM(E9:E20)</f>
        <v>49023.303</v>
      </c>
      <c r="F21" s="36"/>
      <c r="G21" s="43">
        <f t="shared" ref="G21:O21" si="5">SUM(G9:G20)</f>
        <v>747.67923999999994</v>
      </c>
      <c r="H21" s="44">
        <f t="shared" si="5"/>
        <v>0</v>
      </c>
      <c r="I21" s="45">
        <f t="shared" si="5"/>
        <v>0</v>
      </c>
      <c r="J21" s="46">
        <f t="shared" si="5"/>
        <v>747.67923999999994</v>
      </c>
      <c r="K21" s="44">
        <f t="shared" si="5"/>
        <v>0</v>
      </c>
      <c r="L21" s="43">
        <f t="shared" si="5"/>
        <v>1383.4870000000001</v>
      </c>
      <c r="M21" s="44">
        <f t="shared" si="5"/>
        <v>23683.96</v>
      </c>
      <c r="N21" s="44">
        <f t="shared" si="5"/>
        <v>22348</v>
      </c>
      <c r="O21" s="46">
        <f t="shared" si="5"/>
        <v>-46667.767759999995</v>
      </c>
      <c r="P21" s="180"/>
      <c r="Q21" s="43">
        <f t="shared" ref="Q21:V21" si="6">SUM(Q9:Q20)</f>
        <v>-95441.070760000002</v>
      </c>
      <c r="R21" s="44">
        <f t="shared" si="6"/>
        <v>0</v>
      </c>
      <c r="S21" s="44">
        <f t="shared" si="6"/>
        <v>0</v>
      </c>
      <c r="T21" s="44">
        <f t="shared" si="6"/>
        <v>-250</v>
      </c>
      <c r="U21" s="44">
        <f t="shared" si="6"/>
        <v>0</v>
      </c>
      <c r="V21" s="45">
        <f t="shared" si="6"/>
        <v>-95690</v>
      </c>
      <c r="W21" s="32"/>
    </row>
    <row r="22" spans="1:24" ht="3" customHeight="1">
      <c r="A22" s="107"/>
      <c r="B22" s="35"/>
      <c r="C22" s="133"/>
      <c r="D22" s="36"/>
      <c r="E22" s="135"/>
      <c r="F22" s="36"/>
      <c r="G22" s="133"/>
      <c r="H22" s="36"/>
      <c r="I22" s="36"/>
      <c r="J22" s="136"/>
      <c r="K22" s="137"/>
      <c r="L22" s="134"/>
      <c r="M22" s="36"/>
      <c r="N22" s="36"/>
      <c r="O22" s="136"/>
      <c r="P22" s="37"/>
      <c r="Q22" s="133"/>
      <c r="R22" s="36"/>
      <c r="S22" s="36"/>
      <c r="T22" s="36"/>
      <c r="U22" s="36"/>
      <c r="V22" s="135"/>
      <c r="W22" s="32"/>
    </row>
    <row r="23" spans="1:24" ht="13.5" customHeight="1">
      <c r="A23" s="107" t="s">
        <v>99</v>
      </c>
      <c r="B23" s="35"/>
      <c r="C23" s="133">
        <v>0</v>
      </c>
      <c r="D23" s="36">
        <f>Expenses!E23</f>
        <v>27654</v>
      </c>
      <c r="E23" s="135">
        <f>C23-D23</f>
        <v>-27654</v>
      </c>
      <c r="F23" s="36"/>
      <c r="G23" s="133">
        <v>0</v>
      </c>
      <c r="H23" s="36">
        <v>0</v>
      </c>
      <c r="I23" s="36">
        <v>0</v>
      </c>
      <c r="J23" s="136">
        <f>SUM(G23:I23)</f>
        <v>0</v>
      </c>
      <c r="K23" s="137"/>
      <c r="L23" s="133">
        <f>'CapChrg-AllocExp'!D25</f>
        <v>0</v>
      </c>
      <c r="M23" s="36">
        <f>+Expenses!D23</f>
        <v>27654</v>
      </c>
      <c r="N23" s="36">
        <v>0</v>
      </c>
      <c r="O23" s="136">
        <f>J23-K23-M23-N23-L23</f>
        <v>-27654</v>
      </c>
      <c r="P23" s="37"/>
      <c r="Q23" s="133">
        <f>+J23-C23</f>
        <v>0</v>
      </c>
      <c r="R23" s="36"/>
      <c r="S23" s="36">
        <v>0</v>
      </c>
      <c r="T23" s="36">
        <f>Expenses!F23</f>
        <v>0</v>
      </c>
      <c r="U23" s="36">
        <v>0</v>
      </c>
      <c r="V23" s="135">
        <f>ROUND(SUM(Q23:U23),0)</f>
        <v>0</v>
      </c>
      <c r="W23" s="32"/>
    </row>
    <row r="24" spans="1:24" ht="13.5" customHeight="1">
      <c r="A24" s="107" t="s">
        <v>95</v>
      </c>
      <c r="B24" s="35"/>
      <c r="C24" s="133">
        <v>0</v>
      </c>
      <c r="D24" s="36">
        <f>+'CapChrg-AllocExp'!L25</f>
        <v>-22348</v>
      </c>
      <c r="E24" s="135">
        <f>C24-D24</f>
        <v>22348</v>
      </c>
      <c r="F24" s="36"/>
      <c r="G24" s="133">
        <v>0</v>
      </c>
      <c r="H24" s="36"/>
      <c r="I24" s="36">
        <v>0</v>
      </c>
      <c r="J24" s="136">
        <f>SUM(G24:I24)</f>
        <v>0</v>
      </c>
      <c r="K24" s="137"/>
      <c r="L24" s="133">
        <v>0</v>
      </c>
      <c r="M24" s="36">
        <v>0</v>
      </c>
      <c r="N24" s="36">
        <f>+'CapChrg-AllocExp'!K25</f>
        <v>-22348</v>
      </c>
      <c r="O24" s="136">
        <f>J24-K24-M24-N24-L24</f>
        <v>22348</v>
      </c>
      <c r="P24" s="37"/>
      <c r="Q24" s="133">
        <f>+J24-C24</f>
        <v>0</v>
      </c>
      <c r="R24" s="36"/>
      <c r="S24" s="36">
        <v>0</v>
      </c>
      <c r="T24" s="36">
        <f>-T23</f>
        <v>0</v>
      </c>
      <c r="U24" s="36">
        <v>0</v>
      </c>
      <c r="V24" s="135">
        <f>ROUND(SUM(Q24:U24),0)</f>
        <v>0</v>
      </c>
      <c r="W24" s="32"/>
    </row>
    <row r="25" spans="1:24" ht="13.5" customHeight="1">
      <c r="A25" s="107" t="s">
        <v>10</v>
      </c>
      <c r="B25" s="35"/>
      <c r="C25" s="139">
        <f>GrossMargin!M30</f>
        <v>-500</v>
      </c>
      <c r="D25" s="36">
        <f>Expenses!E24</f>
        <v>0</v>
      </c>
      <c r="E25" s="135">
        <f>C25-D25</f>
        <v>-500</v>
      </c>
      <c r="F25" s="137"/>
      <c r="G25" s="133">
        <f>GrossMargin!I30</f>
        <v>-500</v>
      </c>
      <c r="H25" s="36">
        <f>GrossMargin!J30</f>
        <v>0</v>
      </c>
      <c r="I25" s="36">
        <f>GrossMargin!K30</f>
        <v>0</v>
      </c>
      <c r="J25" s="136">
        <f>SUM(G25:I25)</f>
        <v>-500</v>
      </c>
      <c r="K25" s="137"/>
      <c r="L25" s="133">
        <v>0</v>
      </c>
      <c r="M25" s="36">
        <f>Expenses!D24</f>
        <v>0</v>
      </c>
      <c r="N25" s="36">
        <v>0</v>
      </c>
      <c r="O25" s="136">
        <f>J25-K25-M25-N25-L25</f>
        <v>-500</v>
      </c>
      <c r="P25" s="37"/>
      <c r="Q25" s="133">
        <f>+J25-C25</f>
        <v>0</v>
      </c>
      <c r="R25" s="36"/>
      <c r="S25" s="36">
        <v>0</v>
      </c>
      <c r="T25" s="36">
        <f>Expenses!F24</f>
        <v>0</v>
      </c>
      <c r="U25" s="36">
        <v>0</v>
      </c>
      <c r="V25" s="135">
        <f>ROUND(SUM(Q25:U25),0)</f>
        <v>0</v>
      </c>
      <c r="W25" s="32"/>
    </row>
    <row r="26" spans="1:24" ht="13.5" customHeight="1">
      <c r="A26" s="107" t="s">
        <v>35</v>
      </c>
      <c r="B26" s="35"/>
      <c r="C26" s="133">
        <v>0</v>
      </c>
      <c r="D26" s="140">
        <f>'CapChrg-AllocExp'!E24</f>
        <v>-1383.4870000000001</v>
      </c>
      <c r="E26" s="135">
        <f>C26-D26</f>
        <v>1383.4870000000001</v>
      </c>
      <c r="F26" s="36"/>
      <c r="G26" s="133">
        <v>0</v>
      </c>
      <c r="H26" s="36">
        <v>0</v>
      </c>
      <c r="I26" s="36">
        <v>0</v>
      </c>
      <c r="J26" s="136">
        <f>SUM(G26:I26)</f>
        <v>0</v>
      </c>
      <c r="K26" s="137"/>
      <c r="L26" s="139">
        <f>'CapChrg-AllocExp'!D24</f>
        <v>-1383.4870000000001</v>
      </c>
      <c r="M26" s="36">
        <v>0</v>
      </c>
      <c r="N26" s="36">
        <v>0</v>
      </c>
      <c r="O26" s="136">
        <f>J26-K26-M26-N26-L26</f>
        <v>1383.4870000000001</v>
      </c>
      <c r="P26" s="37"/>
      <c r="Q26" s="133">
        <f>+J26-C26</f>
        <v>0</v>
      </c>
      <c r="R26" s="36"/>
      <c r="S26" s="36">
        <f>'CapChrg-AllocExp'!F24</f>
        <v>0</v>
      </c>
      <c r="T26" s="36">
        <v>0</v>
      </c>
      <c r="U26" s="36">
        <v>0</v>
      </c>
      <c r="V26" s="135">
        <f>ROUND(SUM(Q26:U26),0)</f>
        <v>0</v>
      </c>
      <c r="W26" s="32"/>
    </row>
    <row r="27" spans="1:24" ht="3" customHeight="1">
      <c r="A27" s="107"/>
      <c r="B27" s="35"/>
      <c r="C27" s="133"/>
      <c r="D27" s="36"/>
      <c r="E27" s="135"/>
      <c r="F27" s="36"/>
      <c r="G27" s="133"/>
      <c r="H27" s="36"/>
      <c r="I27" s="36"/>
      <c r="J27" s="136"/>
      <c r="K27" s="137"/>
      <c r="L27" s="134"/>
      <c r="M27" s="36"/>
      <c r="N27" s="36"/>
      <c r="O27" s="136"/>
      <c r="P27" s="37"/>
      <c r="Q27" s="133"/>
      <c r="R27" s="36"/>
      <c r="S27" s="36"/>
      <c r="T27" s="36"/>
      <c r="U27" s="36"/>
      <c r="V27" s="135">
        <f>ROUND(SUM(Q27:U27),0)</f>
        <v>0</v>
      </c>
      <c r="W27" s="32"/>
    </row>
    <row r="28" spans="1:24" s="34" customFormat="1" ht="12" customHeight="1">
      <c r="A28" s="38" t="s">
        <v>74</v>
      </c>
      <c r="B28" s="35"/>
      <c r="C28" s="43">
        <f>SUM(C21:C27)</f>
        <v>95688.75</v>
      </c>
      <c r="D28" s="44">
        <f>SUM(D21:D27)</f>
        <v>51087.96</v>
      </c>
      <c r="E28" s="45">
        <f>SUM(E21:E27)</f>
        <v>44600.79</v>
      </c>
      <c r="F28" s="36"/>
      <c r="G28" s="43">
        <f t="shared" ref="G28:O28" si="7">SUM(G21:G27)</f>
        <v>247.67923999999994</v>
      </c>
      <c r="H28" s="44">
        <f t="shared" si="7"/>
        <v>0</v>
      </c>
      <c r="I28" s="45">
        <f t="shared" si="7"/>
        <v>0</v>
      </c>
      <c r="J28" s="46">
        <f t="shared" si="7"/>
        <v>247.67923999999994</v>
      </c>
      <c r="K28" s="44">
        <f t="shared" si="7"/>
        <v>0</v>
      </c>
      <c r="L28" s="43">
        <f t="shared" si="7"/>
        <v>0</v>
      </c>
      <c r="M28" s="44">
        <f t="shared" si="7"/>
        <v>51337.96</v>
      </c>
      <c r="N28" s="44">
        <f t="shared" si="7"/>
        <v>0</v>
      </c>
      <c r="O28" s="46">
        <f t="shared" si="7"/>
        <v>-51090.280759999987</v>
      </c>
      <c r="P28" s="180"/>
      <c r="Q28" s="43">
        <f t="shared" ref="Q28:V28" si="8">SUM(Q21:Q27)</f>
        <v>-95441.070760000002</v>
      </c>
      <c r="R28" s="44">
        <f t="shared" si="8"/>
        <v>0</v>
      </c>
      <c r="S28" s="44">
        <f t="shared" si="8"/>
        <v>0</v>
      </c>
      <c r="T28" s="44">
        <f t="shared" si="8"/>
        <v>-250</v>
      </c>
      <c r="U28" s="44">
        <f t="shared" si="8"/>
        <v>0</v>
      </c>
      <c r="V28" s="45">
        <f t="shared" si="8"/>
        <v>-95690</v>
      </c>
      <c r="W28" s="32"/>
    </row>
    <row r="29" spans="1:24" ht="3" customHeight="1">
      <c r="A29" s="107"/>
      <c r="B29" s="35"/>
      <c r="C29" s="133"/>
      <c r="D29" s="36"/>
      <c r="E29" s="135"/>
      <c r="F29" s="36"/>
      <c r="G29" s="133" t="s">
        <v>62</v>
      </c>
      <c r="H29" s="36"/>
      <c r="I29" s="36"/>
      <c r="J29" s="136"/>
      <c r="K29" s="137"/>
      <c r="L29" s="134"/>
      <c r="M29" s="36" t="s">
        <v>63</v>
      </c>
      <c r="N29" s="36"/>
      <c r="O29" s="136"/>
      <c r="P29" s="37"/>
      <c r="Q29" s="133"/>
      <c r="R29" s="36"/>
      <c r="S29" s="36"/>
      <c r="T29" s="36"/>
      <c r="U29" s="36"/>
      <c r="V29" s="135"/>
      <c r="W29" s="32"/>
    </row>
    <row r="30" spans="1:24" ht="12" customHeight="1">
      <c r="A30" s="107" t="s">
        <v>57</v>
      </c>
      <c r="B30" s="35"/>
      <c r="C30" s="133">
        <v>0</v>
      </c>
      <c r="D30" s="140">
        <v>308</v>
      </c>
      <c r="E30" s="135">
        <f>C30-D30</f>
        <v>-308</v>
      </c>
      <c r="F30" s="36"/>
      <c r="G30" s="133">
        <f>GrossMargin!I42</f>
        <v>0</v>
      </c>
      <c r="H30" s="36">
        <f>GrossMargin!J42</f>
        <v>0</v>
      </c>
      <c r="I30" s="36">
        <f>GrossMargin!K42</f>
        <v>0</v>
      </c>
      <c r="J30" s="136">
        <f>SUM(G30:I30)</f>
        <v>0</v>
      </c>
      <c r="K30" s="137"/>
      <c r="L30" s="134">
        <v>0</v>
      </c>
      <c r="M30" s="140">
        <v>308</v>
      </c>
      <c r="N30" s="36">
        <v>0</v>
      </c>
      <c r="O30" s="136">
        <f>J30-K30-M30-N30-L30</f>
        <v>-308</v>
      </c>
      <c r="P30" s="37"/>
      <c r="Q30" s="133">
        <f>+J30-C30</f>
        <v>0</v>
      </c>
      <c r="R30" s="36"/>
      <c r="S30" s="36">
        <v>0</v>
      </c>
      <c r="T30" s="36">
        <f>D30-M30</f>
        <v>0</v>
      </c>
      <c r="U30" s="36">
        <v>0</v>
      </c>
      <c r="V30" s="135">
        <f>ROUND(SUM(Q30:U30),0)</f>
        <v>0</v>
      </c>
      <c r="W30" s="32"/>
    </row>
    <row r="31" spans="1:24" ht="3" customHeight="1">
      <c r="A31" s="107"/>
      <c r="B31" s="35"/>
      <c r="C31" s="133"/>
      <c r="D31" s="36"/>
      <c r="E31" s="135"/>
      <c r="F31" s="36"/>
      <c r="G31" s="133"/>
      <c r="H31" s="36"/>
      <c r="I31" s="36"/>
      <c r="J31" s="136"/>
      <c r="K31" s="137"/>
      <c r="L31" s="134"/>
      <c r="M31" s="36"/>
      <c r="N31" s="36"/>
      <c r="O31" s="136"/>
      <c r="P31" s="37"/>
      <c r="Q31" s="133"/>
      <c r="R31" s="36"/>
      <c r="S31" s="36"/>
      <c r="T31" s="36"/>
      <c r="U31" s="36"/>
      <c r="V31" s="135"/>
      <c r="W31" s="32"/>
    </row>
    <row r="32" spans="1:24" s="34" customFormat="1" ht="12" customHeight="1">
      <c r="A32" s="38" t="s">
        <v>75</v>
      </c>
      <c r="B32" s="35"/>
      <c r="C32" s="39">
        <f>SUM(C28:C30)</f>
        <v>95688.75</v>
      </c>
      <c r="D32" s="40">
        <f>SUM(D28:D30)</f>
        <v>51395.96</v>
      </c>
      <c r="E32" s="41">
        <f>SUM(E28:E30)</f>
        <v>44292.79</v>
      </c>
      <c r="F32" s="36"/>
      <c r="G32" s="39">
        <f t="shared" ref="G32:V32" si="9">SUM(G28:G30)</f>
        <v>247.67923999999994</v>
      </c>
      <c r="H32" s="40">
        <f t="shared" si="9"/>
        <v>0</v>
      </c>
      <c r="I32" s="40">
        <f t="shared" si="9"/>
        <v>0</v>
      </c>
      <c r="J32" s="42">
        <f t="shared" si="9"/>
        <v>247.67923999999994</v>
      </c>
      <c r="K32" s="40">
        <f t="shared" si="9"/>
        <v>0</v>
      </c>
      <c r="L32" s="39">
        <f t="shared" si="9"/>
        <v>0</v>
      </c>
      <c r="M32" s="40">
        <f t="shared" si="9"/>
        <v>51645.96</v>
      </c>
      <c r="N32" s="40">
        <f t="shared" si="9"/>
        <v>0</v>
      </c>
      <c r="O32" s="42">
        <f>J32-K32-M32-N32-L32</f>
        <v>-51398.280760000001</v>
      </c>
      <c r="P32" s="37"/>
      <c r="Q32" s="39">
        <f t="shared" si="9"/>
        <v>-95441.070760000002</v>
      </c>
      <c r="R32" s="40">
        <f t="shared" si="9"/>
        <v>0</v>
      </c>
      <c r="S32" s="40">
        <f t="shared" si="9"/>
        <v>0</v>
      </c>
      <c r="T32" s="40">
        <f t="shared" si="9"/>
        <v>-250</v>
      </c>
      <c r="U32" s="40">
        <f t="shared" si="9"/>
        <v>0</v>
      </c>
      <c r="V32" s="41">
        <f t="shared" si="9"/>
        <v>-95690</v>
      </c>
      <c r="W32" s="32"/>
    </row>
    <row r="33" spans="1:22" s="19" customFormat="1" ht="3" customHeight="1">
      <c r="A33" s="24"/>
      <c r="B33" s="18"/>
      <c r="C33" s="25"/>
      <c r="D33" s="26"/>
      <c r="E33" s="27"/>
      <c r="F33" s="22"/>
      <c r="G33" s="28"/>
      <c r="H33" s="29"/>
      <c r="I33" s="29"/>
      <c r="J33" s="24"/>
      <c r="K33" s="29"/>
      <c r="L33" s="28"/>
      <c r="M33" s="29"/>
      <c r="N33" s="29"/>
      <c r="O33" s="24"/>
      <c r="Q33" s="28"/>
      <c r="R33" s="29"/>
      <c r="S33" s="29"/>
      <c r="T33" s="29"/>
      <c r="U33" s="29"/>
      <c r="V33" s="30"/>
    </row>
    <row r="34" spans="1:22" ht="13.5" hidden="1">
      <c r="A34" s="66"/>
      <c r="C34" s="67"/>
      <c r="D34" s="23"/>
      <c r="E34" s="66" t="s">
        <v>53</v>
      </c>
      <c r="F34" s="23"/>
      <c r="G34" s="68">
        <f>+'GM-WeeklyChnge'!C37</f>
        <v>0</v>
      </c>
    </row>
    <row r="35" spans="1:22" ht="6" customHeight="1">
      <c r="C35" s="23"/>
      <c r="D35" s="23"/>
      <c r="E35" s="23"/>
      <c r="F35" s="23"/>
    </row>
    <row r="36" spans="1:22">
      <c r="A36" s="71" t="s">
        <v>80</v>
      </c>
      <c r="C36" s="23"/>
      <c r="D36" s="23"/>
      <c r="E36" s="23"/>
      <c r="F36" s="23"/>
      <c r="M36" s="166"/>
      <c r="T36" s="166"/>
    </row>
    <row r="37" spans="1:22">
      <c r="C37" s="23"/>
      <c r="D37" s="23"/>
      <c r="E37" s="23"/>
      <c r="F37" s="23"/>
      <c r="G37" s="166"/>
    </row>
    <row r="38" spans="1:22">
      <c r="C38" s="23"/>
      <c r="D38" s="23"/>
      <c r="E38" s="23"/>
      <c r="F38" s="23"/>
      <c r="V38" s="166"/>
    </row>
    <row r="39" spans="1:22">
      <c r="C39" s="23"/>
      <c r="D39" s="23"/>
      <c r="E39" s="23"/>
      <c r="F39" s="23"/>
    </row>
    <row r="40" spans="1:22">
      <c r="C40" s="23"/>
      <c r="D40" s="23"/>
      <c r="E40" s="23"/>
      <c r="F40" s="23"/>
    </row>
    <row r="41" spans="1:22">
      <c r="C41" s="23"/>
      <c r="D41" s="23"/>
      <c r="E41" s="23"/>
      <c r="F41" s="23"/>
    </row>
    <row r="42" spans="1:22">
      <c r="C42" s="23"/>
      <c r="D42" s="23"/>
      <c r="E42" s="23"/>
      <c r="F42" s="23"/>
    </row>
    <row r="43" spans="1:22">
      <c r="C43" s="23"/>
      <c r="D43" s="23"/>
      <c r="E43" s="23"/>
      <c r="F43" s="23"/>
    </row>
    <row r="44" spans="1:22">
      <c r="C44" s="23"/>
      <c r="D44" s="23"/>
      <c r="E44" s="23"/>
    </row>
    <row r="45" spans="1:22">
      <c r="C45" s="23"/>
      <c r="D45" s="23"/>
      <c r="E45" s="23"/>
    </row>
    <row r="46" spans="1:22">
      <c r="C46" s="23"/>
      <c r="D46" s="23"/>
      <c r="E46" s="23"/>
    </row>
    <row r="47" spans="1:22">
      <c r="C47" s="23"/>
      <c r="D47" s="23"/>
      <c r="E47" s="23"/>
    </row>
    <row r="48" spans="1:22">
      <c r="C48" s="23"/>
      <c r="D48" s="23"/>
      <c r="E48" s="23"/>
    </row>
    <row r="49" spans="1:6">
      <c r="C49" s="23"/>
      <c r="D49" s="23"/>
      <c r="E49" s="23"/>
    </row>
    <row r="50" spans="1:6" hidden="1">
      <c r="C50" s="23"/>
      <c r="D50" s="23"/>
      <c r="E50" s="23"/>
      <c r="F50" s="23"/>
    </row>
    <row r="51" spans="1:6" hidden="1">
      <c r="A51" s="23"/>
    </row>
    <row r="52" spans="1:6" hidden="1">
      <c r="A52" s="23"/>
    </row>
    <row r="53" spans="1:6" hidden="1">
      <c r="A53" s="23"/>
    </row>
    <row r="54" spans="1:6" hidden="1">
      <c r="A54" s="23"/>
    </row>
    <row r="55" spans="1:6" hidden="1">
      <c r="A55" s="23"/>
    </row>
    <row r="56" spans="1:6" hidden="1">
      <c r="A56" s="23"/>
    </row>
    <row r="57" spans="1:6" hidden="1">
      <c r="C57" s="23"/>
      <c r="D57" s="23"/>
      <c r="E57" s="23"/>
      <c r="F57" s="23"/>
    </row>
    <row r="58" spans="1:6" hidden="1">
      <c r="C58" s="23"/>
      <c r="D58" s="23"/>
      <c r="E58" s="23"/>
      <c r="F58" s="23"/>
    </row>
    <row r="59" spans="1:6" hidden="1"/>
    <row r="60" spans="1:6" hidden="1"/>
    <row r="61" spans="1:6" hidden="1"/>
    <row r="62" spans="1:6" hidden="1"/>
  </sheetData>
  <mergeCells count="6">
    <mergeCell ref="C5:E5"/>
    <mergeCell ref="Q5:V5"/>
    <mergeCell ref="G5:O5"/>
    <mergeCell ref="A1:V1"/>
    <mergeCell ref="A2:V2"/>
    <mergeCell ref="A3:V3"/>
  </mergeCells>
  <printOptions horizontalCentered="1"/>
  <pageMargins left="0.1" right="0.1" top="0.25" bottom="0.5" header="0.25" footer="0.25"/>
  <pageSetup scale="92" orientation="landscape" verticalDpi="300" r:id="rId1"/>
  <headerFooter alignWithMargins="0">
    <oddFooter>&amp;L&amp;8&amp;A
&amp;D &amp;T&amp;R&amp;8&amp;F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K37"/>
  <sheetViews>
    <sheetView zoomScaleNormal="100" workbookViewId="0">
      <selection activeCell="C35" sqref="C35"/>
    </sheetView>
  </sheetViews>
  <sheetFormatPr defaultRowHeight="12.75"/>
  <cols>
    <col min="1" max="1" width="25.42578125" style="14" customWidth="1"/>
    <col min="2" max="2" width="1.7109375" style="14" customWidth="1"/>
    <col min="3" max="10" width="8.7109375" style="14" customWidth="1"/>
    <col min="11" max="11" width="10.5703125" style="14" customWidth="1"/>
    <col min="12" max="16384" width="9.140625" style="14"/>
  </cols>
  <sheetData>
    <row r="1" spans="1:11" ht="15.75">
      <c r="A1" s="184" t="s">
        <v>70</v>
      </c>
      <c r="B1" s="184"/>
      <c r="C1" s="184"/>
      <c r="D1" s="184"/>
      <c r="E1" s="184"/>
      <c r="F1" s="184"/>
      <c r="G1" s="184"/>
      <c r="H1" s="184"/>
      <c r="I1" s="184"/>
      <c r="J1" s="184"/>
      <c r="K1" s="184"/>
    </row>
    <row r="2" spans="1:11" ht="16.5">
      <c r="A2" s="185" t="s">
        <v>125</v>
      </c>
      <c r="B2" s="185"/>
      <c r="C2" s="185"/>
      <c r="D2" s="185"/>
      <c r="E2" s="185"/>
      <c r="F2" s="185"/>
      <c r="G2" s="185"/>
      <c r="H2" s="185"/>
      <c r="I2" s="185"/>
      <c r="J2" s="185"/>
      <c r="K2" s="185"/>
    </row>
    <row r="3" spans="1:11" ht="13.5">
      <c r="A3" s="186" t="str">
        <f>+'Mgmt Summary'!A3:V3</f>
        <v>Results based on activity through January 11, 2001</v>
      </c>
      <c r="B3" s="186"/>
      <c r="C3" s="186"/>
      <c r="D3" s="186"/>
      <c r="E3" s="186"/>
      <c r="F3" s="186"/>
      <c r="G3" s="186"/>
      <c r="H3" s="186"/>
      <c r="I3" s="186"/>
      <c r="J3" s="186"/>
      <c r="K3" s="186"/>
    </row>
    <row r="4" spans="1:11" ht="3" customHeight="1">
      <c r="A4" s="19"/>
    </row>
    <row r="5" spans="1:11" s="34" customFormat="1" ht="12.75" customHeight="1">
      <c r="A5" s="106"/>
      <c r="C5" s="116"/>
      <c r="D5" s="117"/>
      <c r="E5" s="117"/>
      <c r="F5" s="117"/>
      <c r="G5" s="117"/>
      <c r="H5" s="106"/>
      <c r="I5" s="117"/>
      <c r="J5" s="117"/>
      <c r="K5" s="118"/>
    </row>
    <row r="6" spans="1:11" s="34" customFormat="1" ht="13.5">
      <c r="A6" s="107"/>
      <c r="C6" s="113"/>
      <c r="D6" s="35"/>
      <c r="E6" s="119"/>
      <c r="F6" s="119"/>
      <c r="G6" s="35"/>
      <c r="H6" s="109" t="s">
        <v>40</v>
      </c>
      <c r="I6" s="119" t="s">
        <v>4</v>
      </c>
      <c r="J6" s="119" t="s">
        <v>6</v>
      </c>
      <c r="K6" s="120" t="s">
        <v>7</v>
      </c>
    </row>
    <row r="7" spans="1:11" s="34" customFormat="1" ht="15.75">
      <c r="A7" s="114" t="s">
        <v>9</v>
      </c>
      <c r="C7" s="111" t="s">
        <v>73</v>
      </c>
      <c r="D7" s="115" t="s">
        <v>54</v>
      </c>
      <c r="E7" s="115" t="s">
        <v>52</v>
      </c>
      <c r="F7" s="121" t="s">
        <v>61</v>
      </c>
      <c r="G7" s="115" t="s">
        <v>24</v>
      </c>
      <c r="H7" s="114" t="s">
        <v>13</v>
      </c>
      <c r="I7" s="115" t="s">
        <v>5</v>
      </c>
      <c r="J7" s="115" t="s">
        <v>13</v>
      </c>
      <c r="K7" s="112" t="s">
        <v>13</v>
      </c>
    </row>
    <row r="8" spans="1:11" ht="3" customHeight="1">
      <c r="A8" s="95"/>
      <c r="B8" s="32"/>
      <c r="C8" s="100"/>
      <c r="D8" s="101"/>
      <c r="E8" s="101"/>
      <c r="F8" s="101"/>
      <c r="G8" s="102"/>
      <c r="H8" s="96"/>
      <c r="I8" s="100"/>
      <c r="J8" s="101"/>
      <c r="K8" s="102"/>
    </row>
    <row r="9" spans="1:11" s="190" customFormat="1" ht="13.5" customHeight="1">
      <c r="A9" s="107" t="s">
        <v>79</v>
      </c>
      <c r="B9" s="34"/>
      <c r="C9" s="139">
        <f>+GrossMargin!D10-[1]GrossMargin!D10</f>
        <v>11607</v>
      </c>
      <c r="D9" s="36">
        <f>+GrossMargin!E10-[1]GrossMargin!E10</f>
        <v>0</v>
      </c>
      <c r="E9" s="36">
        <f>+GrossMargin!F10-[1]GrossMargin!F10</f>
        <v>0</v>
      </c>
      <c r="F9" s="36">
        <f>+GrossMargin!G10-[1]GrossMargin!G10</f>
        <v>0</v>
      </c>
      <c r="G9" s="138">
        <f>+GrossMargin!H10-[1]GrossMargin!H10</f>
        <v>0</v>
      </c>
      <c r="H9" s="300">
        <f t="shared" ref="H9:H14" si="0">SUM(C9:G9)</f>
        <v>11607</v>
      </c>
      <c r="I9" s="133">
        <f>GrossMargin!J10-[1]GrossMargin!J10</f>
        <v>0</v>
      </c>
      <c r="J9" s="36">
        <f>+GrossMargin!K10-[1]GrossMargin!K10</f>
        <v>0</v>
      </c>
      <c r="K9" s="135">
        <f t="shared" ref="K9:K14" si="1">SUM(H9:J9)</f>
        <v>11607</v>
      </c>
    </row>
    <row r="10" spans="1:11" s="190" customFormat="1" ht="13.5" customHeight="1">
      <c r="A10" s="107" t="s">
        <v>1</v>
      </c>
      <c r="B10" s="34"/>
      <c r="C10" s="133">
        <f>+GrossMargin!D11-[1]GrossMargin!D11</f>
        <v>3339</v>
      </c>
      <c r="D10" s="36">
        <f>+GrossMargin!E11-[1]GrossMargin!E11</f>
        <v>13.628</v>
      </c>
      <c r="E10" s="36">
        <f>+GrossMargin!F11-[1]GrossMargin!F11</f>
        <v>0</v>
      </c>
      <c r="F10" s="36">
        <f>+GrossMargin!G11-[1]GrossMargin!G11</f>
        <v>0</v>
      </c>
      <c r="G10" s="138">
        <f>+GrossMargin!H11-[1]GrossMargin!H11</f>
        <v>0</v>
      </c>
      <c r="H10" s="300">
        <f t="shared" si="0"/>
        <v>3352.6280000000002</v>
      </c>
      <c r="I10" s="133">
        <f>GrossMargin!J11-[1]GrossMargin!J11</f>
        <v>0</v>
      </c>
      <c r="J10" s="36">
        <f>+GrossMargin!K11-[1]GrossMargin!K11</f>
        <v>0</v>
      </c>
      <c r="K10" s="135">
        <f t="shared" si="1"/>
        <v>3352.6280000000002</v>
      </c>
    </row>
    <row r="11" spans="1:11" s="190" customFormat="1" ht="13.5" customHeight="1">
      <c r="A11" s="107" t="s">
        <v>44</v>
      </c>
      <c r="B11" s="34"/>
      <c r="C11" s="133">
        <f>+GrossMargin!D12-[1]GrossMargin!D12</f>
        <v>-658</v>
      </c>
      <c r="D11" s="36">
        <f>+GrossMargin!E12-[1]GrossMargin!E12</f>
        <v>0</v>
      </c>
      <c r="E11" s="36">
        <f>+GrossMargin!F12-[1]GrossMargin!F12</f>
        <v>0</v>
      </c>
      <c r="F11" s="36">
        <f>+GrossMargin!G12-[1]GrossMargin!G12</f>
        <v>0</v>
      </c>
      <c r="G11" s="138">
        <f>+GrossMargin!H12-[1]GrossMargin!H12</f>
        <v>0</v>
      </c>
      <c r="H11" s="300">
        <f t="shared" si="0"/>
        <v>-658</v>
      </c>
      <c r="I11" s="133">
        <f>GrossMargin!J12-[1]GrossMargin!J12</f>
        <v>0</v>
      </c>
      <c r="J11" s="36">
        <f>+GrossMargin!K12-[1]GrossMargin!K12</f>
        <v>0</v>
      </c>
      <c r="K11" s="135">
        <f t="shared" si="1"/>
        <v>-658</v>
      </c>
    </row>
    <row r="12" spans="1:11" s="190" customFormat="1" ht="13.5" customHeight="1">
      <c r="A12" s="107" t="s">
        <v>64</v>
      </c>
      <c r="B12" s="34"/>
      <c r="C12" s="133">
        <f>+GrossMargin!D13-[1]GrossMargin!D13</f>
        <v>-1217</v>
      </c>
      <c r="D12" s="36">
        <f>+GrossMargin!E13-[1]GrossMargin!E13</f>
        <v>0</v>
      </c>
      <c r="E12" s="36">
        <f>+GrossMargin!F13-[1]GrossMargin!F13</f>
        <v>0</v>
      </c>
      <c r="F12" s="36">
        <f>+GrossMargin!G13-[1]GrossMargin!G13</f>
        <v>0</v>
      </c>
      <c r="G12" s="138">
        <f>+GrossMargin!H13-[1]GrossMargin!H13</f>
        <v>0</v>
      </c>
      <c r="H12" s="300">
        <f t="shared" si="0"/>
        <v>-1217</v>
      </c>
      <c r="I12" s="133">
        <f>GrossMargin!J13-[1]GrossMargin!J13</f>
        <v>0</v>
      </c>
      <c r="J12" s="36">
        <f>+GrossMargin!K13-[1]GrossMargin!K13</f>
        <v>0</v>
      </c>
      <c r="K12" s="135">
        <f t="shared" si="1"/>
        <v>-1217</v>
      </c>
    </row>
    <row r="13" spans="1:11" s="190" customFormat="1" ht="13.5" customHeight="1">
      <c r="A13" s="107" t="s">
        <v>71</v>
      </c>
      <c r="B13" s="34"/>
      <c r="C13" s="133">
        <f>+GrossMargin!D14-[1]GrossMargin!D14</f>
        <v>0</v>
      </c>
      <c r="D13" s="36">
        <f>+GrossMargin!E14-[1]GrossMargin!E14</f>
        <v>0</v>
      </c>
      <c r="E13" s="36">
        <f>+GrossMargin!F14-[1]GrossMargin!F14</f>
        <v>0</v>
      </c>
      <c r="F13" s="36">
        <f>+GrossMargin!G14-[1]GrossMargin!G14</f>
        <v>0</v>
      </c>
      <c r="G13" s="138">
        <f>+GrossMargin!H14-[1]GrossMargin!H14</f>
        <v>0</v>
      </c>
      <c r="H13" s="300">
        <f t="shared" si="0"/>
        <v>0</v>
      </c>
      <c r="I13" s="133">
        <f>GrossMargin!J14-[1]GrossMargin!J14</f>
        <v>0</v>
      </c>
      <c r="J13" s="36">
        <f>+GrossMargin!K14-[1]GrossMargin!K14</f>
        <v>0</v>
      </c>
      <c r="K13" s="135">
        <f t="shared" si="1"/>
        <v>0</v>
      </c>
    </row>
    <row r="14" spans="1:11" ht="13.5" hidden="1" customHeight="1">
      <c r="A14" s="242" t="s">
        <v>81</v>
      </c>
      <c r="B14" s="249"/>
      <c r="C14" s="295">
        <f>+GrossMargin!D15-[1]GrossMargin!D15</f>
        <v>-508</v>
      </c>
      <c r="D14" s="246">
        <f>+GrossMargin!E15-[1]GrossMargin!E15</f>
        <v>0</v>
      </c>
      <c r="E14" s="246">
        <f>+GrossMargin!F15-[1]GrossMargin!F15</f>
        <v>0</v>
      </c>
      <c r="F14" s="246">
        <f>+GrossMargin!G15-[1]GrossMargin!G15</f>
        <v>0</v>
      </c>
      <c r="G14" s="247">
        <f>+GrossMargin!H15-[1]GrossMargin!H15</f>
        <v>0</v>
      </c>
      <c r="H14" s="301">
        <f t="shared" si="0"/>
        <v>-508</v>
      </c>
      <c r="I14" s="133">
        <f>GrossMargin!J15-[1]GrossMargin!J15</f>
        <v>0</v>
      </c>
      <c r="J14" s="246">
        <f>+GrossMargin!K15-[1]GrossMargin!K15</f>
        <v>0</v>
      </c>
      <c r="K14" s="296">
        <f t="shared" si="1"/>
        <v>-508</v>
      </c>
    </row>
    <row r="15" spans="1:11" ht="13.5" hidden="1" customHeight="1">
      <c r="A15" s="242" t="s">
        <v>116</v>
      </c>
      <c r="B15" s="249"/>
      <c r="C15" s="244">
        <f>+GrossMargin!D16-[1]GrossMargin!D16</f>
        <v>502</v>
      </c>
      <c r="D15" s="246">
        <f>+GrossMargin!E16-[1]GrossMargin!E16</f>
        <v>0</v>
      </c>
      <c r="E15" s="246">
        <f>+GrossMargin!F16-[1]GrossMargin!F16</f>
        <v>0</v>
      </c>
      <c r="F15" s="246">
        <f>+GrossMargin!G16-[1]GrossMargin!G16</f>
        <v>0</v>
      </c>
      <c r="G15" s="247">
        <f>+GrossMargin!H16-[1]GrossMargin!H16</f>
        <v>0</v>
      </c>
      <c r="H15" s="301">
        <f>SUM(C15:G15)</f>
        <v>502</v>
      </c>
      <c r="I15" s="133">
        <f>GrossMargin!J16-[1]GrossMargin!J16</f>
        <v>0</v>
      </c>
      <c r="J15" s="246">
        <f>+GrossMargin!K16-[1]GrossMargin!K16</f>
        <v>0</v>
      </c>
      <c r="K15" s="296">
        <f>SUM(H15:J15)</f>
        <v>502</v>
      </c>
    </row>
    <row r="16" spans="1:11" ht="13.5" hidden="1" customHeight="1">
      <c r="A16" s="242" t="s">
        <v>84</v>
      </c>
      <c r="B16" s="249"/>
      <c r="C16" s="295">
        <f>+GrossMargin!D17-[1]GrossMargin!D17</f>
        <v>834</v>
      </c>
      <c r="D16" s="246">
        <f>+GrossMargin!E17-[1]GrossMargin!E17</f>
        <v>0</v>
      </c>
      <c r="E16" s="246">
        <f>+GrossMargin!F17-[1]GrossMargin!F17</f>
        <v>0</v>
      </c>
      <c r="F16" s="246">
        <f>+GrossMargin!G17-[1]GrossMargin!G17</f>
        <v>0</v>
      </c>
      <c r="G16" s="247">
        <f>+GrossMargin!H17-[1]GrossMargin!H17</f>
        <v>0</v>
      </c>
      <c r="H16" s="301">
        <f>SUM(C16:G16)</f>
        <v>834</v>
      </c>
      <c r="I16" s="133">
        <f>GrossMargin!J17-[1]GrossMargin!J17</f>
        <v>0</v>
      </c>
      <c r="J16" s="246">
        <f>+GrossMargin!K17-[1]GrossMargin!K17</f>
        <v>0</v>
      </c>
      <c r="K16" s="296">
        <f>SUM(H16:J16)</f>
        <v>834</v>
      </c>
    </row>
    <row r="17" spans="1:11" ht="13.5" hidden="1" customHeight="1">
      <c r="A17" s="242" t="s">
        <v>82</v>
      </c>
      <c r="B17" s="249"/>
      <c r="C17" s="295">
        <f>+GrossMargin!D18-[1]GrossMargin!D18</f>
        <v>0</v>
      </c>
      <c r="D17" s="246">
        <f>+GrossMargin!E18-[1]GrossMargin!E18</f>
        <v>0</v>
      </c>
      <c r="E17" s="246">
        <f>+GrossMargin!F18-[1]GrossMargin!F18</f>
        <v>0</v>
      </c>
      <c r="F17" s="246">
        <f>+GrossMargin!G18-[1]GrossMargin!G18</f>
        <v>0</v>
      </c>
      <c r="G17" s="247">
        <f>+GrossMargin!H18-[1]GrossMargin!H18</f>
        <v>0</v>
      </c>
      <c r="H17" s="301">
        <f>SUM(C17:G17)</f>
        <v>0</v>
      </c>
      <c r="I17" s="133">
        <f>GrossMargin!J18-[1]GrossMargin!J18</f>
        <v>0</v>
      </c>
      <c r="J17" s="246">
        <f>+GrossMargin!K18-[1]GrossMargin!K18</f>
        <v>0</v>
      </c>
      <c r="K17" s="296">
        <f>SUM(H17:J17)</f>
        <v>0</v>
      </c>
    </row>
    <row r="18" spans="1:11" ht="13.5" hidden="1" customHeight="1">
      <c r="A18" s="242" t="s">
        <v>83</v>
      </c>
      <c r="B18" s="249"/>
      <c r="C18" s="295">
        <f>+GrossMargin!D19-[1]GrossMargin!D19</f>
        <v>0</v>
      </c>
      <c r="D18" s="246">
        <f>+GrossMargin!E19-[1]GrossMargin!E19</f>
        <v>0</v>
      </c>
      <c r="E18" s="246">
        <f>+GrossMargin!F19-[1]GrossMargin!F19</f>
        <v>0</v>
      </c>
      <c r="F18" s="246">
        <f>+GrossMargin!G19-[1]GrossMargin!G19</f>
        <v>0</v>
      </c>
      <c r="G18" s="247">
        <f>+GrossMargin!H19-[1]GrossMargin!H19</f>
        <v>0</v>
      </c>
      <c r="H18" s="301">
        <f>SUM(C18:G18)</f>
        <v>0</v>
      </c>
      <c r="I18" s="133">
        <f>GrossMargin!J19-[1]GrossMargin!J19</f>
        <v>0</v>
      </c>
      <c r="J18" s="246">
        <f>+GrossMargin!K19-[1]GrossMargin!K19</f>
        <v>0</v>
      </c>
      <c r="K18" s="296">
        <f>SUM(H18:J18)</f>
        <v>0</v>
      </c>
    </row>
    <row r="19" spans="1:11" ht="13.5" hidden="1" customHeight="1">
      <c r="A19" s="242" t="s">
        <v>85</v>
      </c>
      <c r="B19" s="249"/>
      <c r="C19" s="297">
        <f>+GrossMargin!D20-[1]GrossMargin!D20</f>
        <v>0</v>
      </c>
      <c r="D19" s="256">
        <f>+GrossMargin!E20-[1]GrossMargin!E20</f>
        <v>0</v>
      </c>
      <c r="E19" s="256">
        <f>+GrossMargin!F20-[1]GrossMargin!F20</f>
        <v>0</v>
      </c>
      <c r="F19" s="256">
        <f>+GrossMargin!G20-[1]GrossMargin!G20</f>
        <v>0</v>
      </c>
      <c r="G19" s="257">
        <f>+GrossMargin!H20-[1]GrossMargin!H20</f>
        <v>0</v>
      </c>
      <c r="H19" s="302">
        <f>SUM(C19:G19)</f>
        <v>0</v>
      </c>
      <c r="I19" s="133">
        <f>GrossMargin!J20-[1]GrossMargin!J20</f>
        <v>0</v>
      </c>
      <c r="J19" s="256">
        <f>+GrossMargin!K20-[1]GrossMargin!K20</f>
        <v>0</v>
      </c>
      <c r="K19" s="298">
        <f>SUM(H19:J19)</f>
        <v>0</v>
      </c>
    </row>
    <row r="20" spans="1:11" s="190" customFormat="1" ht="13.5" customHeight="1">
      <c r="A20" s="107" t="s">
        <v>50</v>
      </c>
      <c r="B20" s="34"/>
      <c r="C20" s="133">
        <f t="shared" ref="C20:K20" si="2">SUM(C14:C19)</f>
        <v>828</v>
      </c>
      <c r="D20" s="36">
        <f t="shared" si="2"/>
        <v>0</v>
      </c>
      <c r="E20" s="36">
        <f t="shared" si="2"/>
        <v>0</v>
      </c>
      <c r="F20" s="36">
        <f t="shared" si="2"/>
        <v>0</v>
      </c>
      <c r="G20" s="138">
        <f t="shared" si="2"/>
        <v>0</v>
      </c>
      <c r="H20" s="300">
        <f t="shared" si="2"/>
        <v>828</v>
      </c>
      <c r="I20" s="299">
        <f t="shared" si="2"/>
        <v>0</v>
      </c>
      <c r="J20" s="36">
        <f t="shared" si="2"/>
        <v>0</v>
      </c>
      <c r="K20" s="135">
        <f t="shared" si="2"/>
        <v>828</v>
      </c>
    </row>
    <row r="21" spans="1:11" s="190" customFormat="1" ht="13.5" customHeight="1">
      <c r="A21" s="107" t="s">
        <v>90</v>
      </c>
      <c r="B21" s="34"/>
      <c r="C21" s="133">
        <f>+GrossMargin!D22-[1]GrossMargin!D22</f>
        <v>0</v>
      </c>
      <c r="D21" s="36">
        <f>+GrossMargin!E22-[1]GrossMargin!E22</f>
        <v>0</v>
      </c>
      <c r="E21" s="36">
        <f>+GrossMargin!F22-[1]GrossMargin!F22</f>
        <v>0</v>
      </c>
      <c r="F21" s="36">
        <f>+GrossMargin!G22-[1]GrossMargin!G22</f>
        <v>0</v>
      </c>
      <c r="G21" s="138">
        <f>+GrossMargin!H22-[1]GrossMargin!H22</f>
        <v>0</v>
      </c>
      <c r="H21" s="300">
        <f>SUM(C21:G21)</f>
        <v>0</v>
      </c>
      <c r="I21" s="133">
        <f>GrossMargin!J22-[1]GrossMargin!J22</f>
        <v>0</v>
      </c>
      <c r="J21" s="36">
        <f>+GrossMargin!K22-[1]GrossMargin!K22</f>
        <v>0</v>
      </c>
      <c r="K21" s="135">
        <f>SUM(H21:J21)</f>
        <v>0</v>
      </c>
    </row>
    <row r="22" spans="1:11" s="190" customFormat="1" ht="13.5" customHeight="1">
      <c r="A22" s="107" t="s">
        <v>91</v>
      </c>
      <c r="B22" s="34"/>
      <c r="C22" s="133">
        <f>+GrossMargin!D23-[1]GrossMargin!D23</f>
        <v>-34</v>
      </c>
      <c r="D22" s="36">
        <f>+GrossMargin!E23-[1]GrossMargin!E23</f>
        <v>0</v>
      </c>
      <c r="E22" s="36">
        <f>+GrossMargin!F23-[1]GrossMargin!F23</f>
        <v>0</v>
      </c>
      <c r="F22" s="36">
        <f>+GrossMargin!G23-[1]GrossMargin!G23</f>
        <v>0</v>
      </c>
      <c r="G22" s="138">
        <f>+GrossMargin!H23-[1]GrossMargin!H23</f>
        <v>0</v>
      </c>
      <c r="H22" s="300">
        <f>SUM(C22:G22)</f>
        <v>-34</v>
      </c>
      <c r="I22" s="133">
        <f>GrossMargin!J23-[1]GrossMargin!J23</f>
        <v>0</v>
      </c>
      <c r="J22" s="36">
        <f>+GrossMargin!K23-[1]GrossMargin!K23</f>
        <v>0</v>
      </c>
      <c r="K22" s="135">
        <f>SUM(H22:J22)</f>
        <v>-34</v>
      </c>
    </row>
    <row r="23" spans="1:11" s="190" customFormat="1" ht="13.5" customHeight="1">
      <c r="A23" s="107" t="s">
        <v>92</v>
      </c>
      <c r="B23" s="34"/>
      <c r="C23" s="133">
        <f>+GrossMargin!D24-[1]GrossMargin!D24</f>
        <v>0</v>
      </c>
      <c r="D23" s="36">
        <f>+GrossMargin!E24-[1]GrossMargin!E24</f>
        <v>0</v>
      </c>
      <c r="E23" s="36">
        <f>+GrossMargin!F24-[1]GrossMargin!F24</f>
        <v>0</v>
      </c>
      <c r="F23" s="36">
        <f>+GrossMargin!G24-[1]GrossMargin!G24</f>
        <v>0</v>
      </c>
      <c r="G23" s="138">
        <f>+GrossMargin!H24-[1]GrossMargin!H24</f>
        <v>0</v>
      </c>
      <c r="H23" s="134">
        <f>SUM(C23:G23)</f>
        <v>0</v>
      </c>
      <c r="I23" s="133">
        <f>GrossMargin!J24-[1]GrossMargin!J24</f>
        <v>0</v>
      </c>
      <c r="J23" s="246">
        <f>+GrossMargin!K24-[1]GrossMargin!K24</f>
        <v>0</v>
      </c>
      <c r="K23" s="135">
        <f>SUM(H23:J23)</f>
        <v>0</v>
      </c>
    </row>
    <row r="24" spans="1:11" s="190" customFormat="1" ht="13.5" customHeight="1">
      <c r="A24" s="107" t="s">
        <v>93</v>
      </c>
      <c r="B24" s="34"/>
      <c r="C24" s="133">
        <f>+GrossMargin!D25-[1]GrossMargin!D25</f>
        <v>0</v>
      </c>
      <c r="D24" s="36">
        <f>+GrossMargin!E25-[1]GrossMargin!E25</f>
        <v>0</v>
      </c>
      <c r="E24" s="36">
        <f>+GrossMargin!F25-[1]GrossMargin!F25</f>
        <v>0</v>
      </c>
      <c r="F24" s="36">
        <f>+GrossMargin!G25-[1]GrossMargin!G25</f>
        <v>0</v>
      </c>
      <c r="G24" s="138">
        <f>+GrossMargin!H25-[1]GrossMargin!H25</f>
        <v>0</v>
      </c>
      <c r="H24" s="134">
        <f>SUM(C24:G24)</f>
        <v>0</v>
      </c>
      <c r="I24" s="133">
        <f>GrossMargin!J25-[1]GrossMargin!J25</f>
        <v>0</v>
      </c>
      <c r="J24" s="246">
        <f>+GrossMargin!K25-[1]GrossMargin!K25</f>
        <v>0</v>
      </c>
      <c r="K24" s="135">
        <f>SUM(H24:J24)</f>
        <v>0</v>
      </c>
    </row>
    <row r="25" spans="1:11" ht="13.5" customHeight="1">
      <c r="A25" s="107" t="s">
        <v>2</v>
      </c>
      <c r="B25" s="168"/>
      <c r="C25" s="133">
        <f>+GrossMargin!D26-[1]GrossMargin!D26</f>
        <v>0</v>
      </c>
      <c r="D25" s="36">
        <f>+GrossMargin!E26-[1]GrossMargin!E26</f>
        <v>0</v>
      </c>
      <c r="E25" s="36">
        <f>+GrossMargin!F26-[1]GrossMargin!F26</f>
        <v>0</v>
      </c>
      <c r="F25" s="36">
        <f>+GrossMargin!G26-[1]GrossMargin!G26</f>
        <v>0</v>
      </c>
      <c r="G25" s="138">
        <f>+GrossMargin!H26-[1]GrossMargin!H26</f>
        <v>0</v>
      </c>
      <c r="H25" s="134">
        <f>SUM(C25:G25)</f>
        <v>0</v>
      </c>
      <c r="I25" s="133">
        <f>GrossMargin!J26-[1]GrossMargin!J26</f>
        <v>0</v>
      </c>
      <c r="J25" s="246">
        <f>+GrossMargin!K26-[1]GrossMargin!K26</f>
        <v>0</v>
      </c>
      <c r="K25" s="135">
        <f>SUM(H25:J25)</f>
        <v>0</v>
      </c>
    </row>
    <row r="26" spans="1:11" ht="3" customHeight="1">
      <c r="A26" s="107"/>
      <c r="B26" s="34"/>
      <c r="C26" s="133"/>
      <c r="D26" s="36"/>
      <c r="E26" s="36"/>
      <c r="F26" s="36"/>
      <c r="G26" s="138"/>
      <c r="H26" s="134"/>
      <c r="I26" s="133"/>
      <c r="J26" s="36"/>
      <c r="K26" s="138"/>
    </row>
    <row r="27" spans="1:11" ht="13.5" customHeight="1">
      <c r="A27" s="38" t="s">
        <v>98</v>
      </c>
      <c r="B27" s="34"/>
      <c r="C27" s="43">
        <f t="shared" ref="C27:K27" si="3">SUM(C9:C13)+SUM(C20:C25)</f>
        <v>13865</v>
      </c>
      <c r="D27" s="44">
        <f t="shared" si="3"/>
        <v>13.628</v>
      </c>
      <c r="E27" s="44">
        <f t="shared" si="3"/>
        <v>0</v>
      </c>
      <c r="F27" s="44">
        <f t="shared" si="3"/>
        <v>0</v>
      </c>
      <c r="G27" s="45">
        <f t="shared" si="3"/>
        <v>0</v>
      </c>
      <c r="H27" s="46">
        <f t="shared" si="3"/>
        <v>13878.628000000001</v>
      </c>
      <c r="I27" s="44">
        <f t="shared" si="3"/>
        <v>0</v>
      </c>
      <c r="J27" s="44">
        <f t="shared" si="3"/>
        <v>0</v>
      </c>
      <c r="K27" s="45">
        <f t="shared" si="3"/>
        <v>13878.628000000001</v>
      </c>
    </row>
    <row r="28" spans="1:11" ht="3" customHeight="1">
      <c r="A28" s="107"/>
      <c r="B28" s="34"/>
      <c r="C28" s="133"/>
      <c r="D28" s="36"/>
      <c r="E28" s="36"/>
      <c r="F28" s="36"/>
      <c r="G28" s="138"/>
      <c r="H28" s="134"/>
      <c r="I28" s="133"/>
      <c r="J28" s="36"/>
      <c r="K28" s="138"/>
    </row>
    <row r="29" spans="1:11" ht="13.5" customHeight="1">
      <c r="A29" s="107" t="s">
        <v>10</v>
      </c>
      <c r="B29" s="34"/>
      <c r="C29" s="133">
        <f>+GrossMargin!D30-[1]GrossMargin!D30</f>
        <v>0</v>
      </c>
      <c r="D29" s="36">
        <f>+GrossMargin!E30-[1]GrossMargin!E30</f>
        <v>0</v>
      </c>
      <c r="E29" s="36">
        <f>+GrossMargin!F30-[1]GrossMargin!F30</f>
        <v>0</v>
      </c>
      <c r="F29" s="36">
        <f>+GrossMargin!G30-[1]GrossMargin!G30</f>
        <v>0</v>
      </c>
      <c r="G29" s="138">
        <f>+GrossMargin!H30-[1]GrossMargin!H30</f>
        <v>0</v>
      </c>
      <c r="H29" s="134">
        <f>SUM(C29:G29)</f>
        <v>0</v>
      </c>
      <c r="I29" s="133">
        <f>GrossMargin!J30-[1]GrossMargin!J30</f>
        <v>0</v>
      </c>
      <c r="J29" s="36">
        <f>+GrossMargin!K30-[1]GrossMargin!K34</f>
        <v>0</v>
      </c>
      <c r="K29" s="135">
        <f>SUM(H29:J29)</f>
        <v>0</v>
      </c>
    </row>
    <row r="30" spans="1:11" ht="3" customHeight="1">
      <c r="A30" s="107"/>
      <c r="B30" s="34"/>
      <c r="C30" s="133"/>
      <c r="D30" s="36"/>
      <c r="E30" s="36"/>
      <c r="F30" s="36"/>
      <c r="G30" s="138"/>
      <c r="H30" s="134"/>
      <c r="I30" s="133"/>
      <c r="J30" s="36"/>
      <c r="K30" s="138"/>
    </row>
    <row r="31" spans="1:11" ht="13.5" customHeight="1">
      <c r="A31" s="38" t="s">
        <v>97</v>
      </c>
      <c r="B31" s="34"/>
      <c r="C31" s="39">
        <f>SUM(C27:C29)</f>
        <v>13865</v>
      </c>
      <c r="D31" s="40">
        <f>SUM(D27:D29)</f>
        <v>13.628</v>
      </c>
      <c r="E31" s="40">
        <f>SUM(E27:E30)</f>
        <v>0</v>
      </c>
      <c r="F31" s="40">
        <f>SUM(F27:F29)</f>
        <v>0</v>
      </c>
      <c r="G31" s="41">
        <f>SUM(G27:G29)</f>
        <v>0</v>
      </c>
      <c r="H31" s="39">
        <f>SUM(C31:G31)</f>
        <v>13878.628000000001</v>
      </c>
      <c r="I31" s="39">
        <f>SUM(I27:I29)</f>
        <v>0</v>
      </c>
      <c r="J31" s="40">
        <f>SUM(J27:J29)</f>
        <v>0</v>
      </c>
      <c r="K31" s="41">
        <f>SUM(H31:J31)</f>
        <v>13878.628000000001</v>
      </c>
    </row>
    <row r="32" spans="1:11" ht="3" customHeight="1">
      <c r="A32" s="103"/>
      <c r="B32" s="32"/>
      <c r="C32" s="104"/>
      <c r="D32" s="105"/>
      <c r="E32" s="105"/>
      <c r="F32" s="105"/>
      <c r="G32" s="182"/>
      <c r="H32" s="104"/>
      <c r="I32" s="104"/>
      <c r="J32" s="105"/>
      <c r="K32" s="182"/>
    </row>
    <row r="33" spans="1:11" ht="13.5">
      <c r="A33" s="163" t="s">
        <v>60</v>
      </c>
      <c r="B33" s="32"/>
      <c r="C33" s="32"/>
      <c r="D33" s="32"/>
      <c r="E33" s="32"/>
      <c r="F33" s="32"/>
      <c r="G33" s="32"/>
      <c r="H33" s="32"/>
      <c r="I33" s="32"/>
      <c r="J33" s="32"/>
      <c r="K33" s="32"/>
    </row>
    <row r="34" spans="1:11">
      <c r="E34" s="187"/>
    </row>
    <row r="36" spans="1:11">
      <c r="G36" s="166"/>
    </row>
    <row r="37" spans="1:11" ht="15.75">
      <c r="D37" s="165"/>
    </row>
  </sheetData>
  <printOptions horizontalCentered="1"/>
  <pageMargins left="0" right="0" top="0.25" bottom="0.5" header="0.25" footer="0.25"/>
  <pageSetup orientation="landscape" verticalDpi="300" r:id="rId1"/>
  <headerFooter alignWithMargins="0">
    <oddFooter>&amp;L&amp;8&amp;A
&amp;D &amp;T&amp;R&amp;8&amp;F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P59"/>
  <sheetViews>
    <sheetView topLeftCell="B1" zoomScaleNormal="100" workbookViewId="0">
      <selection activeCell="E42" sqref="E42"/>
    </sheetView>
  </sheetViews>
  <sheetFormatPr defaultRowHeight="12.75"/>
  <cols>
    <col min="1" max="1" width="16.85546875" style="12" hidden="1" customWidth="1"/>
    <col min="2" max="2" width="26.5703125" style="14" customWidth="1"/>
    <col min="3" max="3" width="1.7109375" style="14" customWidth="1"/>
    <col min="4" max="5" width="8.7109375" style="14" customWidth="1"/>
    <col min="6" max="7" width="8.5703125" style="14" customWidth="1"/>
    <col min="8" max="9" width="8.7109375" style="14" customWidth="1"/>
    <col min="10" max="10" width="8.7109375" style="14" hidden="1" customWidth="1"/>
    <col min="11" max="14" width="8.7109375" style="14" customWidth="1"/>
    <col min="15" max="17" width="9.7109375" style="14" customWidth="1"/>
    <col min="18" max="16384" width="9.140625" style="14"/>
  </cols>
  <sheetData>
    <row r="1" spans="1:16" ht="12.75" customHeight="1">
      <c r="A1" s="12" t="s">
        <v>43</v>
      </c>
    </row>
    <row r="2" spans="1:16" ht="15.75">
      <c r="A2" s="12" t="s">
        <v>25</v>
      </c>
      <c r="B2" s="184" t="s">
        <v>70</v>
      </c>
      <c r="C2" s="184"/>
      <c r="D2" s="184"/>
      <c r="E2" s="184"/>
      <c r="F2" s="184"/>
      <c r="G2" s="184"/>
      <c r="H2" s="184"/>
      <c r="I2" s="184"/>
      <c r="J2" s="184"/>
      <c r="K2" s="184"/>
      <c r="L2" s="184"/>
      <c r="M2" s="184"/>
      <c r="N2" s="184"/>
    </row>
    <row r="3" spans="1:16" ht="16.5">
      <c r="A3" s="13">
        <v>36861</v>
      </c>
      <c r="B3" s="185" t="s">
        <v>120</v>
      </c>
      <c r="C3" s="185"/>
      <c r="D3" s="185"/>
      <c r="E3" s="185"/>
      <c r="F3" s="185"/>
      <c r="G3" s="185"/>
      <c r="H3" s="185"/>
      <c r="I3" s="185"/>
      <c r="J3" s="185"/>
      <c r="K3" s="185"/>
      <c r="L3" s="185"/>
      <c r="M3" s="185"/>
      <c r="N3" s="185"/>
    </row>
    <row r="4" spans="1:16" ht="13.5">
      <c r="A4" s="12" t="s">
        <v>22</v>
      </c>
      <c r="B4" s="186" t="str">
        <f>'Mgmt Summary'!A3</f>
        <v>Results based on activity through January 11, 2001</v>
      </c>
      <c r="C4" s="186"/>
      <c r="D4" s="186"/>
      <c r="E4" s="186"/>
      <c r="F4" s="186"/>
      <c r="G4" s="186"/>
      <c r="H4" s="186"/>
      <c r="I4" s="186"/>
      <c r="J4" s="186"/>
      <c r="K4" s="186"/>
      <c r="L4" s="186"/>
      <c r="M4" s="186"/>
      <c r="N4" s="186"/>
    </row>
    <row r="5" spans="1:16" ht="3" customHeight="1">
      <c r="B5" s="19"/>
    </row>
    <row r="6" spans="1:16" ht="12.75" customHeight="1">
      <c r="A6" s="12" t="s">
        <v>47</v>
      </c>
      <c r="B6" s="106"/>
      <c r="C6" s="34"/>
      <c r="D6" s="116"/>
      <c r="E6" s="117"/>
      <c r="F6" s="117"/>
      <c r="G6" s="117"/>
      <c r="H6" s="117"/>
      <c r="I6" s="117"/>
      <c r="J6" s="117"/>
      <c r="K6" s="117"/>
      <c r="L6" s="117"/>
      <c r="M6" s="117"/>
      <c r="N6" s="118"/>
    </row>
    <row r="7" spans="1:16" s="32" customFormat="1" ht="13.5">
      <c r="B7" s="107"/>
      <c r="C7" s="34"/>
      <c r="D7" s="113"/>
      <c r="E7" s="35"/>
      <c r="F7" s="265"/>
      <c r="G7" s="119"/>
      <c r="H7" s="35"/>
      <c r="I7" s="119" t="s">
        <v>40</v>
      </c>
      <c r="J7" s="119" t="s">
        <v>4</v>
      </c>
      <c r="K7" s="119" t="s">
        <v>6</v>
      </c>
      <c r="L7" s="119" t="s">
        <v>7</v>
      </c>
      <c r="M7" s="119" t="s">
        <v>13</v>
      </c>
      <c r="N7" s="120"/>
      <c r="O7" s="98"/>
      <c r="P7" s="98"/>
    </row>
    <row r="8" spans="1:16" s="32" customFormat="1" ht="15.75">
      <c r="B8" s="114" t="s">
        <v>9</v>
      </c>
      <c r="C8" s="34"/>
      <c r="D8" s="122" t="s">
        <v>73</v>
      </c>
      <c r="E8" s="119" t="s">
        <v>54</v>
      </c>
      <c r="F8" s="119" t="s">
        <v>52</v>
      </c>
      <c r="G8" s="123" t="s">
        <v>61</v>
      </c>
      <c r="H8" s="119" t="s">
        <v>24</v>
      </c>
      <c r="I8" s="119" t="s">
        <v>13</v>
      </c>
      <c r="J8" s="119" t="s">
        <v>5</v>
      </c>
      <c r="K8" s="119" t="s">
        <v>13</v>
      </c>
      <c r="L8" s="119" t="s">
        <v>13</v>
      </c>
      <c r="M8" s="119" t="s">
        <v>8</v>
      </c>
      <c r="N8" s="112" t="s">
        <v>12</v>
      </c>
      <c r="O8" s="98"/>
      <c r="P8" s="98"/>
    </row>
    <row r="9" spans="1:16" ht="3" customHeight="1">
      <c r="B9" s="16"/>
      <c r="D9" s="20"/>
      <c r="E9" s="21"/>
      <c r="F9" s="21"/>
      <c r="G9" s="21"/>
      <c r="H9" s="17"/>
      <c r="I9" s="15"/>
      <c r="J9" s="21"/>
      <c r="K9" s="21"/>
      <c r="L9" s="21"/>
      <c r="M9" s="17"/>
      <c r="N9" s="17"/>
    </row>
    <row r="10" spans="1:16" s="190" customFormat="1" ht="13.5" customHeight="1">
      <c r="A10" s="188"/>
      <c r="B10" s="107" t="s">
        <v>79</v>
      </c>
      <c r="C10" s="189"/>
      <c r="D10" s="139">
        <v>-4389</v>
      </c>
      <c r="E10" s="140">
        <v>0</v>
      </c>
      <c r="F10" s="140">
        <v>0</v>
      </c>
      <c r="G10" s="140">
        <v>0</v>
      </c>
      <c r="H10" s="138">
        <v>0</v>
      </c>
      <c r="I10" s="136">
        <f t="shared" ref="I10:I20" si="0">SUM(D10:H10)</f>
        <v>-4389</v>
      </c>
      <c r="J10" s="137"/>
      <c r="K10" s="36">
        <v>0</v>
      </c>
      <c r="L10" s="36">
        <f>+I10+K10</f>
        <v>-4389</v>
      </c>
      <c r="M10" s="253">
        <v>40000</v>
      </c>
      <c r="N10" s="135">
        <f t="shared" ref="N10:N22" si="1">L10-M10</f>
        <v>-44389</v>
      </c>
    </row>
    <row r="11" spans="1:16" s="190" customFormat="1" ht="13.5" customHeight="1">
      <c r="A11" s="12" t="s">
        <v>18</v>
      </c>
      <c r="B11" s="107" t="s">
        <v>1</v>
      </c>
      <c r="C11" s="189"/>
      <c r="D11" s="139">
        <f>3083-D12</f>
        <v>4040</v>
      </c>
      <c r="E11" s="140">
        <f>1.05124+13.628</f>
        <v>14.67924</v>
      </c>
      <c r="F11" s="140">
        <v>0</v>
      </c>
      <c r="G11" s="140">
        <v>0</v>
      </c>
      <c r="H11" s="138">
        <v>0</v>
      </c>
      <c r="I11" s="136">
        <f t="shared" si="0"/>
        <v>4054.6792399999999</v>
      </c>
      <c r="J11" s="137"/>
      <c r="K11" s="36">
        <v>0</v>
      </c>
      <c r="L11" s="36">
        <f t="shared" ref="L11:L22" si="2">+I11+K11</f>
        <v>4054.6792399999999</v>
      </c>
      <c r="M11" s="253">
        <v>13750</v>
      </c>
      <c r="N11" s="135">
        <f t="shared" si="1"/>
        <v>-9695.3207600000005</v>
      </c>
    </row>
    <row r="12" spans="1:16" s="190" customFormat="1" ht="13.5" customHeight="1">
      <c r="A12" s="12" t="s">
        <v>0</v>
      </c>
      <c r="B12" s="107" t="s">
        <v>44</v>
      </c>
      <c r="C12" s="189"/>
      <c r="D12" s="139">
        <v>-957</v>
      </c>
      <c r="E12" s="140">
        <v>0</v>
      </c>
      <c r="F12" s="140">
        <v>0</v>
      </c>
      <c r="G12" s="140">
        <v>0</v>
      </c>
      <c r="H12" s="138">
        <v>0</v>
      </c>
      <c r="I12" s="136">
        <f t="shared" si="0"/>
        <v>-957</v>
      </c>
      <c r="J12" s="137"/>
      <c r="K12" s="36">
        <v>0</v>
      </c>
      <c r="L12" s="36">
        <f t="shared" si="2"/>
        <v>-957</v>
      </c>
      <c r="M12" s="253">
        <f>1875+3125</f>
        <v>5000</v>
      </c>
      <c r="N12" s="135">
        <f t="shared" si="1"/>
        <v>-5957</v>
      </c>
    </row>
    <row r="13" spans="1:16" s="190" customFormat="1" ht="13.5" customHeight="1">
      <c r="A13" s="12" t="s">
        <v>20</v>
      </c>
      <c r="B13" s="107" t="s">
        <v>64</v>
      </c>
      <c r="C13" s="189"/>
      <c r="D13" s="139">
        <v>-4</v>
      </c>
      <c r="E13" s="140">
        <v>0</v>
      </c>
      <c r="F13" s="140">
        <v>0</v>
      </c>
      <c r="G13" s="140">
        <v>0</v>
      </c>
      <c r="H13" s="138">
        <v>0</v>
      </c>
      <c r="I13" s="136">
        <f t="shared" si="0"/>
        <v>-4</v>
      </c>
      <c r="J13" s="137"/>
      <c r="K13" s="36">
        <v>0</v>
      </c>
      <c r="L13" s="36">
        <f t="shared" si="2"/>
        <v>-4</v>
      </c>
      <c r="M13" s="253">
        <v>8509.2510000000002</v>
      </c>
      <c r="N13" s="135">
        <f t="shared" si="1"/>
        <v>-8513.2510000000002</v>
      </c>
    </row>
    <row r="14" spans="1:16" s="190" customFormat="1" ht="13.5" customHeight="1">
      <c r="A14" s="12" t="s">
        <v>42</v>
      </c>
      <c r="B14" s="107" t="s">
        <v>71</v>
      </c>
      <c r="C14" s="189"/>
      <c r="D14" s="139">
        <v>0</v>
      </c>
      <c r="E14" s="140">
        <v>0</v>
      </c>
      <c r="F14" s="140">
        <v>0</v>
      </c>
      <c r="G14" s="140">
        <v>0</v>
      </c>
      <c r="H14" s="138">
        <v>0</v>
      </c>
      <c r="I14" s="136">
        <f t="shared" si="0"/>
        <v>0</v>
      </c>
      <c r="J14" s="137"/>
      <c r="K14" s="36">
        <v>0</v>
      </c>
      <c r="L14" s="36">
        <f t="shared" si="2"/>
        <v>0</v>
      </c>
      <c r="M14" s="253">
        <v>4875</v>
      </c>
      <c r="N14" s="135">
        <f t="shared" si="1"/>
        <v>-4875</v>
      </c>
    </row>
    <row r="15" spans="1:16" ht="13.5" hidden="1" customHeight="1">
      <c r="A15" s="12" t="s">
        <v>51</v>
      </c>
      <c r="B15" s="242" t="s">
        <v>81</v>
      </c>
      <c r="C15" s="243"/>
      <c r="D15" s="244">
        <v>269</v>
      </c>
      <c r="E15" s="245">
        <v>0</v>
      </c>
      <c r="F15" s="245">
        <v>0</v>
      </c>
      <c r="G15" s="245">
        <v>0</v>
      </c>
      <c r="H15" s="247">
        <v>0</v>
      </c>
      <c r="I15" s="248">
        <f t="shared" si="0"/>
        <v>269</v>
      </c>
      <c r="J15" s="246"/>
      <c r="K15" s="246">
        <v>0</v>
      </c>
      <c r="L15" s="36">
        <f t="shared" si="2"/>
        <v>269</v>
      </c>
      <c r="M15" s="255">
        <v>0</v>
      </c>
      <c r="N15" s="247">
        <f>L15-M15</f>
        <v>269</v>
      </c>
    </row>
    <row r="16" spans="1:16" ht="13.5" hidden="1" customHeight="1">
      <c r="A16" s="12" t="s">
        <v>51</v>
      </c>
      <c r="B16" s="242" t="s">
        <v>116</v>
      </c>
      <c r="C16" s="243"/>
      <c r="D16" s="244">
        <v>809</v>
      </c>
      <c r="E16" s="245">
        <v>0</v>
      </c>
      <c r="F16" s="245">
        <v>0</v>
      </c>
      <c r="G16" s="245">
        <v>0</v>
      </c>
      <c r="H16" s="247">
        <v>0</v>
      </c>
      <c r="I16" s="248">
        <f>SUM(D16:H16)</f>
        <v>809</v>
      </c>
      <c r="J16" s="246"/>
      <c r="K16" s="246">
        <v>0</v>
      </c>
      <c r="L16" s="36">
        <f>+I16+K16</f>
        <v>809</v>
      </c>
      <c r="M16" s="255">
        <v>0</v>
      </c>
      <c r="N16" s="247">
        <f>L16-M16</f>
        <v>809</v>
      </c>
    </row>
    <row r="17" spans="1:16" ht="13.5" hidden="1" customHeight="1">
      <c r="B17" s="242" t="s">
        <v>84</v>
      </c>
      <c r="C17" s="243"/>
      <c r="D17" s="244">
        <v>999</v>
      </c>
      <c r="E17" s="245">
        <v>0</v>
      </c>
      <c r="F17" s="245">
        <v>0</v>
      </c>
      <c r="G17" s="245">
        <v>0</v>
      </c>
      <c r="H17" s="247">
        <v>0</v>
      </c>
      <c r="I17" s="248">
        <f t="shared" si="0"/>
        <v>999</v>
      </c>
      <c r="J17" s="246"/>
      <c r="K17" s="246">
        <v>0</v>
      </c>
      <c r="L17" s="36">
        <f t="shared" si="2"/>
        <v>999</v>
      </c>
      <c r="M17" s="255">
        <v>0</v>
      </c>
      <c r="N17" s="247">
        <f>L17-M17</f>
        <v>999</v>
      </c>
      <c r="P17" s="166"/>
    </row>
    <row r="18" spans="1:16" ht="13.5" hidden="1" customHeight="1">
      <c r="B18" s="242" t="s">
        <v>82</v>
      </c>
      <c r="C18" s="243"/>
      <c r="D18" s="244">
        <v>0</v>
      </c>
      <c r="E18" s="245">
        <v>0</v>
      </c>
      <c r="F18" s="245">
        <v>0</v>
      </c>
      <c r="G18" s="245">
        <v>0</v>
      </c>
      <c r="H18" s="247">
        <v>0</v>
      </c>
      <c r="I18" s="248">
        <f t="shared" si="0"/>
        <v>0</v>
      </c>
      <c r="J18" s="246"/>
      <c r="K18" s="246">
        <v>0</v>
      </c>
      <c r="L18" s="36">
        <f t="shared" si="2"/>
        <v>0</v>
      </c>
      <c r="M18" s="255">
        <v>0</v>
      </c>
      <c r="N18" s="247">
        <f t="shared" si="1"/>
        <v>0</v>
      </c>
      <c r="O18" s="166"/>
    </row>
    <row r="19" spans="1:16" ht="13.5" hidden="1" customHeight="1">
      <c r="B19" s="242" t="s">
        <v>83</v>
      </c>
      <c r="C19" s="243"/>
      <c r="D19" s="244">
        <v>0</v>
      </c>
      <c r="E19" s="245">
        <v>0</v>
      </c>
      <c r="F19" s="245">
        <v>0</v>
      </c>
      <c r="G19" s="245">
        <v>0</v>
      </c>
      <c r="H19" s="247">
        <v>0</v>
      </c>
      <c r="I19" s="248">
        <f t="shared" si="0"/>
        <v>0</v>
      </c>
      <c r="J19" s="246"/>
      <c r="K19" s="246">
        <v>0</v>
      </c>
      <c r="L19" s="36">
        <f t="shared" si="2"/>
        <v>0</v>
      </c>
      <c r="M19" s="255">
        <v>0</v>
      </c>
      <c r="N19" s="247">
        <f t="shared" si="1"/>
        <v>0</v>
      </c>
    </row>
    <row r="20" spans="1:16" ht="13.5" hidden="1" customHeight="1">
      <c r="B20" s="242" t="s">
        <v>85</v>
      </c>
      <c r="C20" s="243"/>
      <c r="D20" s="252">
        <v>0</v>
      </c>
      <c r="E20" s="254">
        <v>0</v>
      </c>
      <c r="F20" s="254">
        <v>0</v>
      </c>
      <c r="G20" s="254">
        <v>0</v>
      </c>
      <c r="H20" s="257">
        <v>0</v>
      </c>
      <c r="I20" s="266">
        <f t="shared" si="0"/>
        <v>0</v>
      </c>
      <c r="J20" s="256"/>
      <c r="K20" s="256">
        <v>0</v>
      </c>
      <c r="L20" s="267">
        <f t="shared" si="2"/>
        <v>0</v>
      </c>
      <c r="M20" s="268">
        <v>0</v>
      </c>
      <c r="N20" s="257">
        <f>L20-M20</f>
        <v>0</v>
      </c>
    </row>
    <row r="21" spans="1:16" s="190" customFormat="1" ht="13.5" customHeight="1">
      <c r="A21" s="12"/>
      <c r="B21" s="107" t="s">
        <v>50</v>
      </c>
      <c r="C21" s="189"/>
      <c r="D21" s="139">
        <f t="shared" ref="D21:I21" si="3">SUM(D15:D20)</f>
        <v>2077</v>
      </c>
      <c r="E21" s="140">
        <f t="shared" si="3"/>
        <v>0</v>
      </c>
      <c r="F21" s="140">
        <f t="shared" si="3"/>
        <v>0</v>
      </c>
      <c r="G21" s="140">
        <f t="shared" si="3"/>
        <v>0</v>
      </c>
      <c r="H21" s="138">
        <f t="shared" si="3"/>
        <v>0</v>
      </c>
      <c r="I21" s="136">
        <f t="shared" si="3"/>
        <v>2077</v>
      </c>
      <c r="J21" s="137"/>
      <c r="K21" s="36">
        <f>SUM(K15:K20)</f>
        <v>0</v>
      </c>
      <c r="L21" s="36">
        <f t="shared" si="2"/>
        <v>2077</v>
      </c>
      <c r="M21" s="253">
        <v>20000</v>
      </c>
      <c r="N21" s="135">
        <f>L21-M21</f>
        <v>-17923</v>
      </c>
    </row>
    <row r="22" spans="1:16" s="190" customFormat="1" ht="13.5" customHeight="1">
      <c r="A22" s="12"/>
      <c r="B22" s="107" t="s">
        <v>90</v>
      </c>
      <c r="C22" s="189"/>
      <c r="D22" s="139">
        <v>0</v>
      </c>
      <c r="E22" s="140">
        <v>0</v>
      </c>
      <c r="F22" s="140">
        <v>0</v>
      </c>
      <c r="G22" s="140">
        <v>0</v>
      </c>
      <c r="H22" s="138">
        <v>0</v>
      </c>
      <c r="I22" s="136">
        <f>SUM(D22:H22)</f>
        <v>0</v>
      </c>
      <c r="J22" s="137"/>
      <c r="K22" s="36">
        <v>0</v>
      </c>
      <c r="L22" s="36">
        <f t="shared" si="2"/>
        <v>0</v>
      </c>
      <c r="M22" s="138">
        <v>500</v>
      </c>
      <c r="N22" s="135">
        <f t="shared" si="1"/>
        <v>-500</v>
      </c>
    </row>
    <row r="23" spans="1:16" s="190" customFormat="1" ht="13.5" customHeight="1">
      <c r="A23" s="12"/>
      <c r="B23" s="107" t="s">
        <v>91</v>
      </c>
      <c r="C23" s="189"/>
      <c r="D23" s="139">
        <v>-34</v>
      </c>
      <c r="E23" s="140">
        <v>0</v>
      </c>
      <c r="F23" s="140">
        <v>0</v>
      </c>
      <c r="G23" s="140">
        <v>0</v>
      </c>
      <c r="H23" s="138">
        <v>0</v>
      </c>
      <c r="I23" s="136">
        <f>SUM(D23:H23)</f>
        <v>-34</v>
      </c>
      <c r="J23" s="137"/>
      <c r="K23" s="36">
        <v>0</v>
      </c>
      <c r="L23" s="36">
        <f>+I23+K23</f>
        <v>-34</v>
      </c>
      <c r="M23" s="253">
        <v>3000</v>
      </c>
      <c r="N23" s="135">
        <f>L23-M23</f>
        <v>-3034</v>
      </c>
      <c r="O23" s="14"/>
    </row>
    <row r="24" spans="1:16" s="190" customFormat="1" ht="13.5" customHeight="1">
      <c r="A24" s="12"/>
      <c r="B24" s="107" t="s">
        <v>92</v>
      </c>
      <c r="C24" s="189"/>
      <c r="D24" s="139">
        <v>0</v>
      </c>
      <c r="E24" s="140">
        <v>0</v>
      </c>
      <c r="F24" s="140">
        <v>0</v>
      </c>
      <c r="G24" s="140">
        <v>0</v>
      </c>
      <c r="H24" s="138">
        <v>0</v>
      </c>
      <c r="I24" s="136">
        <f>SUM(D24:H24)</f>
        <v>0</v>
      </c>
      <c r="J24" s="137"/>
      <c r="K24" s="36">
        <v>0</v>
      </c>
      <c r="L24" s="36">
        <f>+I24+K24</f>
        <v>0</v>
      </c>
      <c r="M24" s="138">
        <v>1413</v>
      </c>
      <c r="N24" s="135">
        <f>L24-M24</f>
        <v>-1413</v>
      </c>
      <c r="O24" s="14"/>
    </row>
    <row r="25" spans="1:16" s="190" customFormat="1" ht="13.5" customHeight="1">
      <c r="A25" s="12"/>
      <c r="B25" s="107" t="s">
        <v>93</v>
      </c>
      <c r="C25" s="189"/>
      <c r="D25" s="139">
        <v>0</v>
      </c>
      <c r="E25" s="140">
        <v>0</v>
      </c>
      <c r="F25" s="140">
        <v>0</v>
      </c>
      <c r="G25" s="140">
        <v>0</v>
      </c>
      <c r="H25" s="138">
        <v>0</v>
      </c>
      <c r="I25" s="136">
        <f>SUM(D25:H25)</f>
        <v>0</v>
      </c>
      <c r="J25" s="137"/>
      <c r="K25" s="36">
        <v>0</v>
      </c>
      <c r="L25" s="36">
        <f>+I25+K25</f>
        <v>0</v>
      </c>
      <c r="M25" s="253">
        <f>2126.499-3240+255</f>
        <v>-858.5010000000002</v>
      </c>
      <c r="N25" s="135">
        <f>L25-M25</f>
        <v>858.5010000000002</v>
      </c>
    </row>
    <row r="26" spans="1:16" s="190" customFormat="1" ht="12" customHeight="1">
      <c r="A26" s="188"/>
      <c r="B26" s="107" t="s">
        <v>2</v>
      </c>
      <c r="C26" s="189"/>
      <c r="D26" s="139">
        <v>0</v>
      </c>
      <c r="E26" s="140">
        <v>0</v>
      </c>
      <c r="F26" s="140">
        <v>0</v>
      </c>
      <c r="G26" s="140">
        <v>0</v>
      </c>
      <c r="H26" s="138">
        <v>0</v>
      </c>
      <c r="I26" s="136">
        <f>SUM(D26:H26)</f>
        <v>0</v>
      </c>
      <c r="J26" s="137"/>
      <c r="K26" s="133">
        <v>0</v>
      </c>
      <c r="L26" s="36">
        <f>+I26+K26</f>
        <v>0</v>
      </c>
      <c r="M26" s="138">
        <v>0</v>
      </c>
      <c r="N26" s="135">
        <f>L26-M26</f>
        <v>0</v>
      </c>
    </row>
    <row r="27" spans="1:16" ht="3" customHeight="1">
      <c r="B27" s="107"/>
      <c r="C27" s="34"/>
      <c r="D27" s="133"/>
      <c r="E27" s="36"/>
      <c r="F27" s="36"/>
      <c r="G27" s="36"/>
      <c r="H27" s="138"/>
      <c r="I27" s="136"/>
      <c r="J27" s="36"/>
      <c r="K27" s="133"/>
      <c r="L27" s="36"/>
      <c r="M27" s="138"/>
      <c r="N27" s="135"/>
    </row>
    <row r="28" spans="1:16" ht="12" customHeight="1">
      <c r="B28" s="263" t="s">
        <v>76</v>
      </c>
      <c r="C28" s="34"/>
      <c r="D28" s="43">
        <f t="shared" ref="D28:N28" si="4">SUM(D10:D14)+SUM(D21:D26)</f>
        <v>733</v>
      </c>
      <c r="E28" s="44">
        <f t="shared" si="4"/>
        <v>14.67924</v>
      </c>
      <c r="F28" s="44">
        <f t="shared" si="4"/>
        <v>0</v>
      </c>
      <c r="G28" s="44">
        <f t="shared" si="4"/>
        <v>0</v>
      </c>
      <c r="H28" s="45">
        <f t="shared" si="4"/>
        <v>0</v>
      </c>
      <c r="I28" s="46">
        <f t="shared" si="4"/>
        <v>747.67923999999994</v>
      </c>
      <c r="J28" s="44">
        <f t="shared" si="4"/>
        <v>0</v>
      </c>
      <c r="K28" s="44">
        <f t="shared" si="4"/>
        <v>0</v>
      </c>
      <c r="L28" s="44">
        <f t="shared" si="4"/>
        <v>747.67923999999994</v>
      </c>
      <c r="M28" s="45">
        <f t="shared" si="4"/>
        <v>96188.75</v>
      </c>
      <c r="N28" s="43">
        <f t="shared" si="4"/>
        <v>-95441.070760000002</v>
      </c>
    </row>
    <row r="29" spans="1:16" ht="3" customHeight="1">
      <c r="B29" s="107"/>
      <c r="C29" s="34"/>
      <c r="D29" s="133"/>
      <c r="E29" s="36"/>
      <c r="F29" s="36"/>
      <c r="G29" s="36"/>
      <c r="H29" s="138"/>
      <c r="I29" s="136"/>
      <c r="J29" s="36"/>
      <c r="K29" s="133"/>
      <c r="L29" s="36"/>
      <c r="M29" s="138"/>
      <c r="N29" s="135"/>
    </row>
    <row r="30" spans="1:16" ht="13.5" customHeight="1">
      <c r="B30" s="107" t="s">
        <v>10</v>
      </c>
      <c r="C30" s="34"/>
      <c r="D30" s="133">
        <v>0</v>
      </c>
      <c r="E30" s="140">
        <v>0</v>
      </c>
      <c r="F30" s="140">
        <v>0</v>
      </c>
      <c r="G30" s="140">
        <v>-500</v>
      </c>
      <c r="H30" s="138">
        <v>0</v>
      </c>
      <c r="I30" s="136">
        <f>SUM(D30:H30)</f>
        <v>-500</v>
      </c>
      <c r="J30" s="36"/>
      <c r="K30" s="133">
        <v>0</v>
      </c>
      <c r="L30" s="36">
        <f>SUM(I30:K30)</f>
        <v>-500</v>
      </c>
      <c r="M30" s="138">
        <f>-2000/4</f>
        <v>-500</v>
      </c>
      <c r="N30" s="135">
        <f>L30-M30</f>
        <v>0</v>
      </c>
    </row>
    <row r="31" spans="1:16" ht="3" customHeight="1">
      <c r="B31" s="107"/>
      <c r="C31" s="34"/>
      <c r="D31" s="133"/>
      <c r="E31" s="36"/>
      <c r="F31" s="36"/>
      <c r="G31" s="36"/>
      <c r="H31" s="138"/>
      <c r="I31" s="136"/>
      <c r="J31" s="36"/>
      <c r="K31" s="133"/>
      <c r="L31" s="36"/>
      <c r="M31" s="138"/>
      <c r="N31" s="135"/>
    </row>
    <row r="32" spans="1:16" ht="12" customHeight="1">
      <c r="B32" s="38" t="s">
        <v>77</v>
      </c>
      <c r="C32" s="34"/>
      <c r="D32" s="39">
        <f>+D28+D30</f>
        <v>733</v>
      </c>
      <c r="E32" s="40">
        <f>+E28+E30</f>
        <v>14.67924</v>
      </c>
      <c r="F32" s="40">
        <f>+F28+F30</f>
        <v>0</v>
      </c>
      <c r="G32" s="40">
        <f>+G28+G30</f>
        <v>-500</v>
      </c>
      <c r="H32" s="41">
        <f>+H28+H30</f>
        <v>0</v>
      </c>
      <c r="I32" s="42">
        <f>SUM(I28:I30)</f>
        <v>247.67923999999994</v>
      </c>
      <c r="J32" s="40">
        <f>SUM(J28:J30)</f>
        <v>0</v>
      </c>
      <c r="K32" s="39">
        <f>+K28+K30</f>
        <v>0</v>
      </c>
      <c r="L32" s="40">
        <f>+L28+L30</f>
        <v>247.67923999999994</v>
      </c>
      <c r="M32" s="41">
        <f>+M28+M30</f>
        <v>95688.75</v>
      </c>
      <c r="N32" s="41">
        <f>SUM(N28:N30)</f>
        <v>-95441.070760000002</v>
      </c>
    </row>
    <row r="33" spans="2:14" ht="3" customHeight="1">
      <c r="B33" s="24"/>
      <c r="D33" s="25"/>
      <c r="E33" s="26"/>
      <c r="F33" s="26"/>
      <c r="G33" s="26"/>
      <c r="H33" s="27"/>
      <c r="I33" s="170"/>
      <c r="J33" s="26"/>
      <c r="K33" s="25"/>
      <c r="L33" s="26"/>
      <c r="M33" s="27"/>
      <c r="N33" s="27"/>
    </row>
    <row r="34" spans="2:14">
      <c r="B34" s="163" t="s">
        <v>60</v>
      </c>
      <c r="C34" s="59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</row>
    <row r="35" spans="2:14">
      <c r="B35" s="70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</row>
    <row r="36" spans="2:14">
      <c r="B36" s="70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</row>
    <row r="37" spans="2:14"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</row>
    <row r="38" spans="2:14"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</row>
    <row r="39" spans="2:14">
      <c r="D39" s="23"/>
      <c r="E39" s="23"/>
      <c r="F39" s="23"/>
      <c r="G39" s="23"/>
      <c r="H39" s="23"/>
      <c r="I39" s="23"/>
      <c r="J39" s="23"/>
      <c r="K39" s="23"/>
      <c r="L39" s="23" t="s">
        <v>63</v>
      </c>
      <c r="M39" s="23"/>
      <c r="N39" s="23"/>
    </row>
    <row r="40" spans="2:14">
      <c r="D40" s="23"/>
    </row>
    <row r="41" spans="2:14">
      <c r="D41" s="23"/>
    </row>
    <row r="54" spans="1:1">
      <c r="A54" s="14"/>
    </row>
    <row r="55" spans="1:1">
      <c r="A55" s="14"/>
    </row>
    <row r="56" spans="1:1">
      <c r="A56" s="14"/>
    </row>
    <row r="57" spans="1:1">
      <c r="A57" s="14"/>
    </row>
    <row r="58" spans="1:1">
      <c r="A58" s="14"/>
    </row>
    <row r="59" spans="1:1">
      <c r="A59" s="14"/>
    </row>
  </sheetData>
  <printOptions horizontalCentered="1"/>
  <pageMargins left="0.1" right="0.1" top="0.3" bottom="0.5" header="0.25" footer="0.25"/>
  <pageSetup orientation="landscape" verticalDpi="300" r:id="rId1"/>
  <headerFooter alignWithMargins="0">
    <oddFooter>&amp;L&amp;8&amp;A
&amp;D &amp;T&amp;R&amp;8&amp;F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AK129"/>
  <sheetViews>
    <sheetView topLeftCell="B2" zoomScaleNormal="100" workbookViewId="0">
      <selection activeCell="H40" sqref="H40"/>
    </sheetView>
  </sheetViews>
  <sheetFormatPr defaultRowHeight="12.75"/>
  <cols>
    <col min="1" max="1" width="13" style="10" hidden="1" customWidth="1"/>
    <col min="2" max="2" width="32.42578125" customWidth="1"/>
    <col min="3" max="3" width="1.7109375" customWidth="1"/>
    <col min="4" max="4" width="10.7109375" customWidth="1"/>
    <col min="5" max="5" width="9.7109375" customWidth="1"/>
    <col min="6" max="6" width="9.28515625" customWidth="1"/>
    <col min="7" max="7" width="1.7109375" customWidth="1"/>
    <col min="8" max="11" width="15.7109375" customWidth="1"/>
  </cols>
  <sheetData>
    <row r="1" spans="1:37" hidden="1">
      <c r="A1" s="10" t="s">
        <v>43</v>
      </c>
    </row>
    <row r="2" spans="1:37" ht="15.75">
      <c r="A2" s="10" t="s">
        <v>29</v>
      </c>
      <c r="B2" s="323" t="s">
        <v>70</v>
      </c>
      <c r="C2" s="323"/>
      <c r="D2" s="323"/>
      <c r="E2" s="323"/>
      <c r="F2" s="323"/>
      <c r="G2" s="323"/>
      <c r="H2" s="323"/>
      <c r="I2" s="323"/>
      <c r="J2" s="323"/>
      <c r="K2" s="323"/>
      <c r="Q2" t="s">
        <v>59</v>
      </c>
    </row>
    <row r="3" spans="1:37" ht="15">
      <c r="A3" s="11">
        <v>36861</v>
      </c>
      <c r="B3" s="324" t="s">
        <v>121</v>
      </c>
      <c r="C3" s="324"/>
      <c r="D3" s="324"/>
      <c r="E3" s="324"/>
      <c r="F3" s="324"/>
      <c r="G3" s="324"/>
      <c r="H3" s="324"/>
      <c r="I3" s="324"/>
      <c r="J3" s="324"/>
      <c r="K3" s="324"/>
    </row>
    <row r="4" spans="1:37">
      <c r="A4" s="10" t="s">
        <v>22</v>
      </c>
      <c r="B4" s="325" t="str">
        <f>+GrossMargin!B4</f>
        <v>Results based on activity through January 11, 2001</v>
      </c>
      <c r="C4" s="325"/>
      <c r="D4" s="325"/>
      <c r="E4" s="325"/>
      <c r="F4" s="325"/>
      <c r="G4" s="325"/>
      <c r="H4" s="325"/>
      <c r="I4" s="325"/>
      <c r="J4" s="325"/>
      <c r="K4" s="325"/>
    </row>
    <row r="5" spans="1:37" ht="3" customHeight="1"/>
    <row r="6" spans="1:37" s="50" customFormat="1" ht="12">
      <c r="A6" s="10" t="s">
        <v>47</v>
      </c>
      <c r="B6" s="124"/>
      <c r="D6" s="317" t="s">
        <v>26</v>
      </c>
      <c r="E6" s="318"/>
      <c r="F6" s="319"/>
      <c r="H6" s="125"/>
      <c r="I6" s="126"/>
      <c r="J6" s="126"/>
      <c r="K6" s="127"/>
    </row>
    <row r="7" spans="1:37" s="50" customFormat="1" ht="12">
      <c r="B7" s="128" t="s">
        <v>9</v>
      </c>
      <c r="D7" s="86" t="s">
        <v>6</v>
      </c>
      <c r="E7" s="87" t="s">
        <v>8</v>
      </c>
      <c r="F7" s="74" t="s">
        <v>12</v>
      </c>
      <c r="H7" s="320" t="s">
        <v>39</v>
      </c>
      <c r="I7" s="321"/>
      <c r="J7" s="321"/>
      <c r="K7" s="322"/>
    </row>
    <row r="8" spans="1:37" ht="3" customHeight="1">
      <c r="B8" s="4"/>
      <c r="D8" s="7"/>
      <c r="E8" s="8"/>
      <c r="F8" s="9"/>
      <c r="G8" s="1"/>
      <c r="H8" s="7"/>
      <c r="I8" s="8"/>
      <c r="J8" s="8"/>
      <c r="K8" s="9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13.5" customHeight="1">
      <c r="B9" s="171" t="s">
        <v>79</v>
      </c>
      <c r="C9" s="172"/>
      <c r="D9" s="159">
        <f t="shared" ref="D9:D15" si="0">+E9</f>
        <v>6767.77</v>
      </c>
      <c r="E9" s="173">
        <v>6767.77</v>
      </c>
      <c r="F9" s="177">
        <f t="shared" ref="F9:F15" si="1">E9-D9</f>
        <v>0</v>
      </c>
      <c r="G9" s="52"/>
      <c r="H9" s="251"/>
      <c r="I9" s="145"/>
      <c r="J9" s="145"/>
      <c r="K9" s="146"/>
      <c r="L9" s="3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13.5" customHeight="1">
      <c r="A10" s="10" t="s">
        <v>18</v>
      </c>
      <c r="B10" s="129" t="s">
        <v>1</v>
      </c>
      <c r="C10" s="50"/>
      <c r="D10" s="159">
        <f t="shared" si="0"/>
        <v>4013.0929999999998</v>
      </c>
      <c r="E10" s="173">
        <v>4013.0929999999998</v>
      </c>
      <c r="F10" s="143">
        <f t="shared" si="1"/>
        <v>0</v>
      </c>
      <c r="G10" s="52"/>
      <c r="H10" s="251"/>
      <c r="I10" s="145"/>
      <c r="J10" s="145"/>
      <c r="K10" s="146"/>
      <c r="L10" s="3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3.5" customHeight="1">
      <c r="A11" s="10" t="s">
        <v>0</v>
      </c>
      <c r="B11" s="129" t="s">
        <v>44</v>
      </c>
      <c r="C11" s="50"/>
      <c r="D11" s="159">
        <f t="shared" si="0"/>
        <v>1213.6179999999999</v>
      </c>
      <c r="E11" s="173">
        <f>233.037+980.581</f>
        <v>1213.6179999999999</v>
      </c>
      <c r="F11" s="143">
        <f t="shared" si="1"/>
        <v>0</v>
      </c>
      <c r="G11" s="52"/>
      <c r="H11" s="251"/>
      <c r="I11" s="145"/>
      <c r="J11" s="145"/>
      <c r="K11" s="146"/>
      <c r="L11" s="3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3.5" customHeight="1">
      <c r="A12" s="10" t="s">
        <v>20</v>
      </c>
      <c r="B12" s="129" t="s">
        <v>64</v>
      </c>
      <c r="C12" s="50"/>
      <c r="D12" s="159">
        <f t="shared" si="0"/>
        <v>1808.5229999999999</v>
      </c>
      <c r="E12" s="173">
        <v>1808.5229999999999</v>
      </c>
      <c r="F12" s="143">
        <f t="shared" si="1"/>
        <v>0</v>
      </c>
      <c r="G12" s="52"/>
      <c r="H12" s="251"/>
      <c r="I12" s="145"/>
      <c r="J12" s="145"/>
      <c r="K12" s="146"/>
      <c r="L12" s="3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13.5" customHeight="1">
      <c r="A13" s="10" t="s">
        <v>42</v>
      </c>
      <c r="B13" s="129" t="s">
        <v>71</v>
      </c>
      <c r="C13" s="50"/>
      <c r="D13" s="159">
        <f t="shared" si="0"/>
        <v>1802.6479999999999</v>
      </c>
      <c r="E13" s="173">
        <v>1802.6479999999999</v>
      </c>
      <c r="F13" s="143">
        <f t="shared" si="1"/>
        <v>0</v>
      </c>
      <c r="G13" s="52"/>
      <c r="H13" s="251"/>
      <c r="I13" s="145"/>
      <c r="J13" s="145"/>
      <c r="K13" s="146"/>
      <c r="L13" s="3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</row>
    <row r="14" spans="1:37" ht="13.5" customHeight="1">
      <c r="A14" s="10" t="s">
        <v>51</v>
      </c>
      <c r="B14" s="171" t="s">
        <v>50</v>
      </c>
      <c r="C14" s="172"/>
      <c r="D14" s="159">
        <f t="shared" si="0"/>
        <v>3467.386</v>
      </c>
      <c r="E14" s="173">
        <v>3467.386</v>
      </c>
      <c r="F14" s="177">
        <f t="shared" si="1"/>
        <v>0</v>
      </c>
      <c r="G14" s="52"/>
      <c r="H14" s="251"/>
      <c r="I14" s="145"/>
      <c r="J14" s="145"/>
      <c r="K14" s="146"/>
      <c r="L14" s="3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</row>
    <row r="15" spans="1:37" ht="13.5" customHeight="1">
      <c r="B15" s="171" t="s">
        <v>90</v>
      </c>
      <c r="C15" s="172"/>
      <c r="D15" s="159">
        <f t="shared" si="0"/>
        <v>461.70699999999999</v>
      </c>
      <c r="E15" s="173">
        <v>461.70699999999999</v>
      </c>
      <c r="F15" s="177">
        <f t="shared" si="1"/>
        <v>0</v>
      </c>
      <c r="G15" s="52"/>
      <c r="H15" s="251"/>
      <c r="I15" s="145"/>
      <c r="J15" s="145"/>
      <c r="K15" s="146"/>
      <c r="L15" s="3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</row>
    <row r="16" spans="1:37" ht="13.5" customHeight="1">
      <c r="B16" s="171" t="s">
        <v>91</v>
      </c>
      <c r="C16" s="172"/>
      <c r="D16" s="159">
        <f>+E16</f>
        <v>1430.25</v>
      </c>
      <c r="E16" s="173">
        <v>1430.25</v>
      </c>
      <c r="F16" s="177">
        <f>E16-D16</f>
        <v>0</v>
      </c>
      <c r="G16" s="52"/>
      <c r="H16" s="251"/>
      <c r="I16" s="145"/>
      <c r="J16" s="145"/>
      <c r="K16" s="146"/>
      <c r="L16" s="3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</row>
    <row r="17" spans="1:37" ht="13.5" customHeight="1">
      <c r="B17" s="171" t="s">
        <v>92</v>
      </c>
      <c r="C17" s="172"/>
      <c r="D17" s="159">
        <f>+E17</f>
        <v>809.5</v>
      </c>
      <c r="E17" s="173">
        <v>809.5</v>
      </c>
      <c r="F17" s="177">
        <f>E17-D17</f>
        <v>0</v>
      </c>
      <c r="G17" s="52"/>
      <c r="H17" s="251"/>
      <c r="I17" s="145"/>
      <c r="J17" s="145"/>
      <c r="K17" s="146"/>
      <c r="L17" s="3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</row>
    <row r="18" spans="1:37" ht="13.5" customHeight="1">
      <c r="B18" s="171" t="s">
        <v>93</v>
      </c>
      <c r="C18" s="172"/>
      <c r="D18" s="159">
        <f>+E18</f>
        <v>413.92599999999999</v>
      </c>
      <c r="E18" s="173">
        <v>413.92599999999999</v>
      </c>
      <c r="F18" s="177">
        <f>E18-D18</f>
        <v>0</v>
      </c>
      <c r="G18" s="52"/>
      <c r="H18" s="251"/>
      <c r="I18" s="145"/>
      <c r="J18" s="145"/>
      <c r="K18" s="146"/>
      <c r="L18" s="3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</row>
    <row r="19" spans="1:37" ht="13.5" customHeight="1">
      <c r="B19" s="129" t="s">
        <v>2</v>
      </c>
      <c r="C19" s="50"/>
      <c r="D19" s="159">
        <f>+E19+250</f>
        <v>1495.539</v>
      </c>
      <c r="E19" s="142">
        <v>1245.539</v>
      </c>
      <c r="F19" s="143">
        <f>E19-D19</f>
        <v>-250</v>
      </c>
      <c r="G19" s="52"/>
      <c r="H19" s="251" t="s">
        <v>127</v>
      </c>
      <c r="I19" s="145"/>
      <c r="J19" s="145"/>
      <c r="K19" s="146"/>
      <c r="L19" s="3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</row>
    <row r="20" spans="1:37" ht="3" customHeight="1">
      <c r="B20" s="129"/>
      <c r="C20" s="50"/>
      <c r="D20" s="141"/>
      <c r="E20" s="142"/>
      <c r="F20" s="143"/>
      <c r="G20" s="52"/>
      <c r="H20" s="144"/>
      <c r="I20" s="145"/>
      <c r="J20" s="145"/>
      <c r="K20" s="146"/>
      <c r="L20" s="3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</row>
    <row r="21" spans="1:37" ht="11.25" customHeight="1">
      <c r="B21" s="51" t="s">
        <v>96</v>
      </c>
      <c r="C21" s="50"/>
      <c r="D21" s="56">
        <f>SUM(D9:D20)</f>
        <v>23683.96</v>
      </c>
      <c r="E21" s="57">
        <f>SUM(E9:E20)</f>
        <v>23433.96</v>
      </c>
      <c r="F21" s="183">
        <f>SUM(F9:F20)</f>
        <v>-250</v>
      </c>
      <c r="G21" s="52"/>
      <c r="H21" s="53"/>
      <c r="I21" s="54"/>
      <c r="J21" s="54"/>
      <c r="K21" s="55"/>
      <c r="L21" s="3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</row>
    <row r="22" spans="1:37" ht="3" customHeight="1">
      <c r="B22" s="129"/>
      <c r="C22" s="50"/>
      <c r="D22" s="141"/>
      <c r="E22" s="142"/>
      <c r="F22" s="143"/>
      <c r="G22" s="52"/>
      <c r="H22" s="144"/>
      <c r="I22" s="145"/>
      <c r="J22" s="145"/>
      <c r="K22" s="146"/>
      <c r="L22" s="3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</row>
    <row r="23" spans="1:37" ht="13.5" customHeight="1">
      <c r="B23" s="129" t="s">
        <v>23</v>
      </c>
      <c r="C23" s="50"/>
      <c r="D23" s="141">
        <f>+E23</f>
        <v>27654</v>
      </c>
      <c r="E23" s="142">
        <v>27654</v>
      </c>
      <c r="F23" s="143">
        <f>E23-D23</f>
        <v>0</v>
      </c>
      <c r="G23" s="52"/>
      <c r="H23" s="251"/>
      <c r="I23" s="145"/>
      <c r="J23" s="145"/>
      <c r="K23" s="146"/>
      <c r="L23" s="3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</row>
    <row r="24" spans="1:37" ht="13.5" customHeight="1">
      <c r="B24" s="129" t="s">
        <v>10</v>
      </c>
      <c r="C24" s="50"/>
      <c r="D24" s="141">
        <v>0</v>
      </c>
      <c r="E24" s="142">
        <v>0</v>
      </c>
      <c r="F24" s="143">
        <f>E24-D24</f>
        <v>0</v>
      </c>
      <c r="G24" s="52"/>
      <c r="H24" s="144"/>
      <c r="I24" s="145"/>
      <c r="J24" s="145"/>
      <c r="K24" s="146"/>
      <c r="L24" s="3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</row>
    <row r="25" spans="1:37" ht="3" customHeight="1">
      <c r="B25" s="129"/>
      <c r="C25" s="50"/>
      <c r="D25" s="141"/>
      <c r="E25" s="142"/>
      <c r="F25" s="143"/>
      <c r="G25" s="52"/>
      <c r="H25" s="144"/>
      <c r="I25" s="145"/>
      <c r="J25" s="145"/>
      <c r="K25" s="146"/>
      <c r="L25" s="3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</row>
    <row r="26" spans="1:37" s="50" customFormat="1" ht="13.5" customHeight="1">
      <c r="B26" s="51" t="s">
        <v>7</v>
      </c>
      <c r="D26" s="47">
        <f>SUM(D21:D24)</f>
        <v>51337.96</v>
      </c>
      <c r="E26" s="48">
        <f>SUM(E21:E24)</f>
        <v>51087.96</v>
      </c>
      <c r="F26" s="49">
        <f>SUM(F21:F24)</f>
        <v>-250</v>
      </c>
      <c r="G26" s="52"/>
      <c r="H26" s="53"/>
      <c r="I26" s="54"/>
      <c r="J26" s="54"/>
      <c r="K26" s="55"/>
      <c r="L26" s="31"/>
    </row>
    <row r="27" spans="1:37" ht="3" customHeight="1">
      <c r="B27" s="147"/>
      <c r="C27" s="50"/>
      <c r="D27" s="148"/>
      <c r="E27" s="149"/>
      <c r="F27" s="150"/>
      <c r="G27" s="50"/>
      <c r="H27" s="148"/>
      <c r="I27" s="149"/>
      <c r="J27" s="149"/>
      <c r="K27" s="150"/>
      <c r="L27" s="3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</row>
    <row r="28" spans="1:37" s="33" customFormat="1" ht="3" customHeight="1">
      <c r="A28" s="65"/>
      <c r="B28" s="72"/>
      <c r="C28" s="72"/>
      <c r="D28" s="72"/>
      <c r="E28" s="72"/>
      <c r="F28" s="72"/>
      <c r="G28" s="72"/>
      <c r="H28" s="72"/>
      <c r="I28" s="72"/>
      <c r="J28" s="72"/>
      <c r="K28" s="72"/>
      <c r="L28" s="7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</row>
    <row r="29" spans="1:37" hidden="1">
      <c r="B29" s="85"/>
      <c r="C29" s="31"/>
      <c r="D29" s="326" t="s">
        <v>49</v>
      </c>
      <c r="E29" s="327"/>
      <c r="F29" s="328"/>
      <c r="G29" s="31"/>
      <c r="H29" s="91"/>
      <c r="I29" s="92"/>
      <c r="J29" s="92"/>
      <c r="K29" s="93"/>
      <c r="L29" s="3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</row>
    <row r="30" spans="1:37" hidden="1">
      <c r="B30" s="94" t="s">
        <v>9</v>
      </c>
      <c r="C30" s="31"/>
      <c r="D30" s="88" t="s">
        <v>6</v>
      </c>
      <c r="E30" s="89" t="s">
        <v>8</v>
      </c>
      <c r="F30" s="90" t="s">
        <v>12</v>
      </c>
      <c r="G30" s="31"/>
      <c r="H30" s="314" t="s">
        <v>39</v>
      </c>
      <c r="I30" s="315"/>
      <c r="J30" s="315"/>
      <c r="K30" s="316"/>
      <c r="L30" s="3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</row>
    <row r="31" spans="1:37" s="50" customFormat="1" ht="12" hidden="1">
      <c r="B31" s="124"/>
      <c r="D31" s="151">
        <v>0</v>
      </c>
      <c r="E31" s="152">
        <v>0</v>
      </c>
      <c r="F31" s="153">
        <f>E31-D31</f>
        <v>0</v>
      </c>
      <c r="H31" s="125"/>
      <c r="I31" s="126"/>
      <c r="J31" s="126"/>
      <c r="K31" s="127"/>
    </row>
    <row r="32" spans="1:37" s="50" customFormat="1" ht="12" hidden="1">
      <c r="B32" s="129"/>
      <c r="D32" s="141">
        <v>0</v>
      </c>
      <c r="E32" s="142">
        <v>0</v>
      </c>
      <c r="F32" s="143">
        <f>E32-D32</f>
        <v>0</v>
      </c>
      <c r="H32" s="144"/>
      <c r="I32" s="145"/>
      <c r="J32" s="145"/>
      <c r="K32" s="146"/>
    </row>
    <row r="33" spans="2:37" s="50" customFormat="1" ht="12" hidden="1">
      <c r="B33" s="147"/>
      <c r="D33" s="154">
        <v>0</v>
      </c>
      <c r="E33" s="155">
        <v>0</v>
      </c>
      <c r="F33" s="156">
        <f>E33-D33</f>
        <v>0</v>
      </c>
      <c r="H33" s="148"/>
      <c r="I33" s="149"/>
      <c r="J33" s="149"/>
      <c r="K33" s="150"/>
    </row>
    <row r="34" spans="2:37">
      <c r="D34" s="69"/>
      <c r="E34" s="69"/>
      <c r="F34" s="1"/>
      <c r="G34" s="1"/>
      <c r="H34" s="1"/>
      <c r="I34" s="1"/>
      <c r="J34" s="1"/>
      <c r="K34" s="1"/>
      <c r="L34" s="1"/>
      <c r="M34" s="1" t="s">
        <v>63</v>
      </c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</row>
    <row r="35" spans="2:37">
      <c r="D35" s="69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</row>
    <row r="36" spans="2:37">
      <c r="D36" s="69"/>
      <c r="E36" s="1"/>
      <c r="F36" s="26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</row>
    <row r="37" spans="2:37">
      <c r="D37" s="69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</row>
    <row r="38" spans="2:37"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</row>
    <row r="39" spans="2:37"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</row>
    <row r="40" spans="2:37"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</row>
    <row r="41" spans="2:37"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</row>
    <row r="42" spans="2:37"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</row>
    <row r="43" spans="2:37"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</row>
    <row r="44" spans="2:37"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</row>
    <row r="45" spans="2:37">
      <c r="D45" s="1"/>
      <c r="E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</row>
    <row r="46" spans="2:37">
      <c r="D46" s="1"/>
      <c r="E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</row>
    <row r="47" spans="2:37">
      <c r="D47" s="1"/>
      <c r="E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</row>
    <row r="48" spans="2:37">
      <c r="D48" s="1"/>
      <c r="E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</row>
    <row r="49" spans="1:37">
      <c r="D49" s="1"/>
      <c r="E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</row>
    <row r="50" spans="1:37">
      <c r="D50" s="1"/>
      <c r="E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 spans="1:37"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 spans="1:37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spans="1:37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</row>
    <row r="54" spans="1:37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 spans="1:37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1:3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1:37"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1:37"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4:37"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4:37"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4:37"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4:37"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4:37"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4:37"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4:37"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4:37"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4:37"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4:37"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4:37"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4:37"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4:37"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4:37"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4:37"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4:37"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4:37"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4:37"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4:37"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4:37"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4:37"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4:37"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4:37"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4:37"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4:37"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4:37"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4:37"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4:37"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4:37"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4:37"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4:37"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4:37"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4:37"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4:37"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4:37"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4:37"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4:37"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4:37"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4:37"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4:37"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4:37"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4:37"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4:37"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4:37"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4:37"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4:37"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4:37"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4:37"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4:37"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4:37"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4:37"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4:37"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4:37"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4:37"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4:37"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4:37"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4:37"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4:37"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4:37"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4:37"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4:37"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4:37"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4:37"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4:37"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4:37"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</sheetData>
  <mergeCells count="7">
    <mergeCell ref="H30:K30"/>
    <mergeCell ref="D6:F6"/>
    <mergeCell ref="H7:K7"/>
    <mergeCell ref="B2:K2"/>
    <mergeCell ref="B3:K3"/>
    <mergeCell ref="B4:K4"/>
    <mergeCell ref="D29:F29"/>
  </mergeCells>
  <printOptions horizontalCentered="1"/>
  <pageMargins left="0.25" right="0.25" top="0.25" bottom="0.5" header="0.25" footer="0.25"/>
  <pageSetup orientation="landscape" verticalDpi="300" r:id="rId1"/>
  <headerFooter alignWithMargins="0">
    <oddFooter>&amp;L&amp;8&amp;A
&amp;D &amp;T&amp;R&amp;8&amp;F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AG135"/>
  <sheetViews>
    <sheetView topLeftCell="A2" zoomScaleNormal="100" workbookViewId="0">
      <selection activeCell="A4" sqref="A4:J4"/>
    </sheetView>
  </sheetViews>
  <sheetFormatPr defaultRowHeight="12.75"/>
  <cols>
    <col min="1" max="1" width="32.5703125" customWidth="1"/>
    <col min="2" max="2" width="1.7109375" customWidth="1"/>
    <col min="3" max="3" width="10.7109375" customWidth="1"/>
    <col min="4" max="4" width="9.7109375" customWidth="1"/>
    <col min="5" max="5" width="9.28515625" customWidth="1"/>
    <col min="6" max="6" width="1.7109375" customWidth="1"/>
    <col min="7" max="10" width="15.7109375" customWidth="1"/>
  </cols>
  <sheetData>
    <row r="1" spans="1:33" hidden="1"/>
    <row r="2" spans="1:33" ht="15.75">
      <c r="A2" s="323" t="s">
        <v>70</v>
      </c>
      <c r="B2" s="323"/>
      <c r="C2" s="323"/>
      <c r="D2" s="323"/>
      <c r="E2" s="323"/>
      <c r="F2" s="323"/>
      <c r="G2" s="323"/>
      <c r="H2" s="323"/>
      <c r="I2" s="323"/>
      <c r="J2" s="323"/>
    </row>
    <row r="3" spans="1:33" ht="15">
      <c r="A3" s="324" t="s">
        <v>126</v>
      </c>
      <c r="B3" s="324"/>
      <c r="C3" s="324"/>
      <c r="D3" s="324"/>
      <c r="E3" s="324"/>
      <c r="F3" s="324"/>
      <c r="G3" s="324"/>
      <c r="H3" s="324"/>
      <c r="I3" s="324"/>
      <c r="J3" s="324"/>
    </row>
    <row r="4" spans="1:33">
      <c r="A4" s="325" t="str">
        <f>+Expenses!B4</f>
        <v>Results based on activity through January 11, 2001</v>
      </c>
      <c r="B4" s="325"/>
      <c r="C4" s="325"/>
      <c r="D4" s="325"/>
      <c r="E4" s="325"/>
      <c r="F4" s="325"/>
      <c r="G4" s="325"/>
      <c r="H4" s="325"/>
      <c r="I4" s="325"/>
      <c r="J4" s="325"/>
    </row>
    <row r="5" spans="1:33" ht="3" customHeight="1"/>
    <row r="6" spans="1:33" s="31" customFormat="1">
      <c r="A6" s="124"/>
      <c r="B6" s="50"/>
      <c r="C6" s="317" t="s">
        <v>26</v>
      </c>
      <c r="D6" s="318"/>
      <c r="E6" s="319"/>
      <c r="F6" s="50"/>
      <c r="G6" s="125"/>
      <c r="H6" s="126"/>
      <c r="I6" s="126"/>
      <c r="J6" s="127"/>
    </row>
    <row r="7" spans="1:33" s="31" customFormat="1">
      <c r="A7" s="128" t="s">
        <v>9</v>
      </c>
      <c r="B7" s="50"/>
      <c r="C7" s="86" t="s">
        <v>6</v>
      </c>
      <c r="D7" s="87" t="s">
        <v>8</v>
      </c>
      <c r="E7" s="74" t="s">
        <v>12</v>
      </c>
      <c r="F7" s="50"/>
      <c r="G7" s="320" t="s">
        <v>39</v>
      </c>
      <c r="H7" s="321"/>
      <c r="I7" s="321"/>
      <c r="J7" s="322"/>
    </row>
    <row r="8" spans="1:33" ht="3" customHeight="1">
      <c r="A8" s="4"/>
      <c r="C8" s="7"/>
      <c r="D8" s="8"/>
      <c r="E8" s="9"/>
      <c r="F8" s="1"/>
      <c r="G8" s="7"/>
      <c r="H8" s="8"/>
      <c r="I8" s="8"/>
      <c r="J8" s="9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</row>
    <row r="9" spans="1:33" ht="13.5" customHeight="1">
      <c r="A9" s="129" t="s">
        <v>79</v>
      </c>
      <c r="B9" s="50"/>
      <c r="C9" s="141">
        <f>+Expenses!D9-[1]Expenses!D9</f>
        <v>0</v>
      </c>
      <c r="D9" s="142">
        <f>+Expenses!E9-[1]Expenses!E9</f>
        <v>0</v>
      </c>
      <c r="E9" s="143">
        <f t="shared" ref="E9:E15" si="0">D9-C9</f>
        <v>0</v>
      </c>
      <c r="F9" s="52"/>
      <c r="G9" s="251"/>
      <c r="H9" s="145"/>
      <c r="I9" s="145"/>
      <c r="J9" s="146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</row>
    <row r="10" spans="1:33" ht="13.5" customHeight="1">
      <c r="A10" s="129" t="s">
        <v>1</v>
      </c>
      <c r="B10" s="50"/>
      <c r="C10" s="141">
        <f>+Expenses!D10-[1]Expenses!D10</f>
        <v>0</v>
      </c>
      <c r="D10" s="142">
        <f>+Expenses!E10-[1]Expenses!E10</f>
        <v>0</v>
      </c>
      <c r="E10" s="143">
        <f t="shared" si="0"/>
        <v>0</v>
      </c>
      <c r="F10" s="52"/>
      <c r="G10" s="251"/>
      <c r="H10" s="145"/>
      <c r="I10" s="145"/>
      <c r="J10" s="146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</row>
    <row r="11" spans="1:33" ht="13.5" customHeight="1">
      <c r="A11" s="129" t="s">
        <v>44</v>
      </c>
      <c r="B11" s="50"/>
      <c r="C11" s="141">
        <f>+Expenses!D11-[1]Expenses!D11</f>
        <v>0</v>
      </c>
      <c r="D11" s="142">
        <f>+Expenses!E11-[1]Expenses!E11</f>
        <v>0</v>
      </c>
      <c r="E11" s="143">
        <f t="shared" si="0"/>
        <v>0</v>
      </c>
      <c r="F11" s="52"/>
      <c r="G11" s="251"/>
      <c r="H11" s="145"/>
      <c r="I11" s="145"/>
      <c r="J11" s="146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  <row r="12" spans="1:33" ht="13.5" customHeight="1">
      <c r="A12" s="129" t="s">
        <v>64</v>
      </c>
      <c r="B12" s="50"/>
      <c r="C12" s="141">
        <f>+Expenses!D12-[1]Expenses!D12</f>
        <v>0</v>
      </c>
      <c r="D12" s="142">
        <f>+Expenses!E12-[1]Expenses!E12</f>
        <v>0</v>
      </c>
      <c r="E12" s="143">
        <f t="shared" si="0"/>
        <v>0</v>
      </c>
      <c r="F12" s="52"/>
      <c r="G12" s="144"/>
      <c r="H12" s="145"/>
      <c r="I12" s="145"/>
      <c r="J12" s="146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</row>
    <row r="13" spans="1:33" ht="13.5" customHeight="1">
      <c r="A13" s="129" t="s">
        <v>71</v>
      </c>
      <c r="B13" s="50"/>
      <c r="C13" s="141">
        <f>+Expenses!D13-[1]Expenses!D13</f>
        <v>0</v>
      </c>
      <c r="D13" s="142">
        <f>+Expenses!E13-[1]Expenses!E13</f>
        <v>0</v>
      </c>
      <c r="E13" s="143">
        <f t="shared" si="0"/>
        <v>0</v>
      </c>
      <c r="F13" s="52"/>
      <c r="G13" s="251"/>
      <c r="H13" s="145"/>
      <c r="I13" s="145"/>
      <c r="J13" s="146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</row>
    <row r="14" spans="1:33" ht="13.5" customHeight="1">
      <c r="A14" s="129" t="s">
        <v>50</v>
      </c>
      <c r="B14" s="50"/>
      <c r="C14" s="141">
        <f>+Expenses!D14-[1]Expenses!D14</f>
        <v>0</v>
      </c>
      <c r="D14" s="142">
        <f>+Expenses!E14-[1]Expenses!E14</f>
        <v>0</v>
      </c>
      <c r="E14" s="143">
        <f t="shared" si="0"/>
        <v>0</v>
      </c>
      <c r="F14" s="52"/>
      <c r="G14" s="251"/>
      <c r="H14" s="145"/>
      <c r="I14" s="145"/>
      <c r="J14" s="146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</row>
    <row r="15" spans="1:33" ht="13.5" customHeight="1">
      <c r="A15" s="129" t="s">
        <v>90</v>
      </c>
      <c r="B15" s="50"/>
      <c r="C15" s="141">
        <f>+Expenses!D15-[1]Expenses!D15</f>
        <v>0</v>
      </c>
      <c r="D15" s="142">
        <f>+Expenses!E15-[1]Expenses!E15</f>
        <v>0</v>
      </c>
      <c r="E15" s="143">
        <f t="shared" si="0"/>
        <v>0</v>
      </c>
      <c r="F15" s="52"/>
      <c r="G15" s="251"/>
      <c r="H15" s="145"/>
      <c r="I15" s="145"/>
      <c r="J15" s="146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</row>
    <row r="16" spans="1:33" ht="13.5" customHeight="1">
      <c r="A16" s="129" t="s">
        <v>2</v>
      </c>
      <c r="B16" s="50"/>
      <c r="C16" s="141">
        <f>+Expenses!D19-[1]Expenses!D19</f>
        <v>0</v>
      </c>
      <c r="D16" s="142">
        <f>+Expenses!E19-[1]Expenses!E19</f>
        <v>0</v>
      </c>
      <c r="E16" s="143">
        <f>D16-C16</f>
        <v>0</v>
      </c>
      <c r="F16" s="52"/>
      <c r="G16" s="251"/>
      <c r="H16" s="145"/>
      <c r="I16" s="145"/>
      <c r="J16" s="146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</row>
    <row r="17" spans="1:33" ht="3" customHeight="1">
      <c r="A17" s="129"/>
      <c r="B17" s="50"/>
      <c r="C17" s="141"/>
      <c r="D17" s="142"/>
      <c r="E17" s="143"/>
      <c r="F17" s="52"/>
      <c r="G17" s="144"/>
      <c r="H17" s="145"/>
      <c r="I17" s="145"/>
      <c r="J17" s="146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</row>
    <row r="18" spans="1:33" ht="11.25" customHeight="1">
      <c r="A18" s="262" t="s">
        <v>101</v>
      </c>
      <c r="B18" s="50"/>
      <c r="C18" s="47">
        <f>SUM(C9:C17)</f>
        <v>0</v>
      </c>
      <c r="D18" s="48">
        <f>SUM(D9:D17)</f>
        <v>0</v>
      </c>
      <c r="E18" s="49">
        <f>SUM(E9:E17)</f>
        <v>0</v>
      </c>
      <c r="F18" s="52"/>
      <c r="G18" s="144"/>
      <c r="H18" s="145"/>
      <c r="I18" s="145"/>
      <c r="J18" s="146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</row>
    <row r="19" spans="1:33" ht="3" customHeight="1">
      <c r="A19" s="129"/>
      <c r="B19" s="50"/>
      <c r="C19" s="141"/>
      <c r="D19" s="142"/>
      <c r="E19" s="143"/>
      <c r="F19" s="52"/>
      <c r="G19" s="144"/>
      <c r="H19" s="145"/>
      <c r="I19" s="145"/>
      <c r="J19" s="146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</row>
    <row r="20" spans="1:33" ht="13.5" customHeight="1">
      <c r="A20" s="129" t="s">
        <v>91</v>
      </c>
      <c r="B20" s="50"/>
      <c r="C20" s="141">
        <f>+Expenses!D16-[1]Expenses!D16</f>
        <v>0</v>
      </c>
      <c r="D20" s="142">
        <f>+Expenses!E16-[1]Expenses!E16</f>
        <v>0</v>
      </c>
      <c r="E20" s="143">
        <f>D20-C20</f>
        <v>0</v>
      </c>
      <c r="F20" s="52"/>
      <c r="G20" s="251"/>
      <c r="H20" s="145"/>
      <c r="I20" s="145"/>
      <c r="J20" s="146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</row>
    <row r="21" spans="1:33" ht="13.5" customHeight="1">
      <c r="A21" s="129" t="s">
        <v>92</v>
      </c>
      <c r="B21" s="50"/>
      <c r="C21" s="141">
        <f>+Expenses!D17-[1]Expenses!D17</f>
        <v>0</v>
      </c>
      <c r="D21" s="142">
        <f>+Expenses!E17-[1]Expenses!E17</f>
        <v>0</v>
      </c>
      <c r="E21" s="143">
        <f>D21-C21</f>
        <v>0</v>
      </c>
      <c r="F21" s="52"/>
      <c r="G21" s="251"/>
      <c r="H21" s="145"/>
      <c r="I21" s="145"/>
      <c r="J21" s="146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</row>
    <row r="22" spans="1:33" ht="13.5" customHeight="1">
      <c r="A22" s="129" t="s">
        <v>93</v>
      </c>
      <c r="B22" s="50"/>
      <c r="C22" s="141">
        <f>+Expenses!D18-[1]Expenses!D18</f>
        <v>0</v>
      </c>
      <c r="D22" s="142">
        <f>+Expenses!E18-[1]Expenses!E18</f>
        <v>0</v>
      </c>
      <c r="E22" s="143">
        <f>D22-C22</f>
        <v>0</v>
      </c>
      <c r="F22" s="52"/>
      <c r="G22" s="251"/>
      <c r="H22" s="145"/>
      <c r="I22" s="145"/>
      <c r="J22" s="146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</row>
    <row r="23" spans="1:33" ht="3" customHeight="1">
      <c r="A23" s="129"/>
      <c r="B23" s="50"/>
      <c r="C23" s="141"/>
      <c r="D23" s="142"/>
      <c r="E23" s="143"/>
      <c r="F23" s="52"/>
      <c r="G23" s="144"/>
      <c r="H23" s="145"/>
      <c r="I23" s="145"/>
      <c r="J23" s="146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</row>
    <row r="24" spans="1:33" ht="11.25" customHeight="1">
      <c r="A24" s="262" t="s">
        <v>96</v>
      </c>
      <c r="B24" s="50"/>
      <c r="C24" s="47">
        <f>SUM(C20:C23)</f>
        <v>0</v>
      </c>
      <c r="D24" s="48">
        <f>SUM(D20:D23)</f>
        <v>0</v>
      </c>
      <c r="E24" s="49">
        <f>SUM(E20:E23)</f>
        <v>0</v>
      </c>
      <c r="F24" s="52"/>
      <c r="G24" s="144"/>
      <c r="H24" s="145"/>
      <c r="I24" s="145"/>
      <c r="J24" s="146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</row>
    <row r="25" spans="1:33" ht="3" customHeight="1">
      <c r="A25" s="129"/>
      <c r="B25" s="50"/>
      <c r="C25" s="141"/>
      <c r="D25" s="142"/>
      <c r="E25" s="143"/>
      <c r="F25" s="52"/>
      <c r="G25" s="144"/>
      <c r="H25" s="145"/>
      <c r="I25" s="145"/>
      <c r="J25" s="146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</row>
    <row r="26" spans="1:33" ht="3" customHeight="1">
      <c r="A26" s="129"/>
      <c r="B26" s="50"/>
      <c r="C26" s="141"/>
      <c r="D26" s="142"/>
      <c r="E26" s="143"/>
      <c r="F26" s="52"/>
      <c r="G26" s="144"/>
      <c r="H26" s="145"/>
      <c r="I26" s="145"/>
      <c r="J26" s="146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</row>
    <row r="27" spans="1:33" ht="11.25" customHeight="1">
      <c r="A27" s="51" t="s">
        <v>7</v>
      </c>
      <c r="B27" s="50"/>
      <c r="C27" s="47">
        <f>+C18+C24</f>
        <v>0</v>
      </c>
      <c r="D27" s="48">
        <f>+D18+D24</f>
        <v>0</v>
      </c>
      <c r="E27" s="49">
        <f>+E18+E24</f>
        <v>0</v>
      </c>
      <c r="F27" s="52"/>
      <c r="G27" s="144"/>
      <c r="H27" s="145"/>
      <c r="I27" s="145"/>
      <c r="J27" s="146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</row>
    <row r="28" spans="1:33" ht="3" customHeight="1">
      <c r="A28" s="129"/>
      <c r="B28" s="50"/>
      <c r="C28" s="141"/>
      <c r="D28" s="142"/>
      <c r="E28" s="143"/>
      <c r="F28" s="52"/>
      <c r="G28" s="144"/>
      <c r="H28" s="145"/>
      <c r="I28" s="145"/>
      <c r="J28" s="146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</row>
    <row r="29" spans="1:33" ht="13.5" customHeight="1">
      <c r="A29" s="129" t="s">
        <v>23</v>
      </c>
      <c r="B29" s="50"/>
      <c r="C29" s="141">
        <f>+Expenses!D23-[1]Expenses!D23</f>
        <v>0</v>
      </c>
      <c r="D29" s="142">
        <f>+Expenses!E23-[1]Expenses!E23</f>
        <v>0</v>
      </c>
      <c r="E29" s="143">
        <f>D29-C29</f>
        <v>0</v>
      </c>
      <c r="F29" s="52"/>
      <c r="G29" s="251"/>
      <c r="H29" s="145"/>
      <c r="I29" s="145"/>
      <c r="J29" s="146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</row>
    <row r="30" spans="1:33" ht="13.5" customHeight="1">
      <c r="A30" s="129" t="s">
        <v>10</v>
      </c>
      <c r="B30" s="50"/>
      <c r="C30" s="141">
        <f>+Expenses!D24-[1]Expenses!D24</f>
        <v>0</v>
      </c>
      <c r="D30" s="142">
        <f>+Expenses!E24-[1]Expenses!E24</f>
        <v>0</v>
      </c>
      <c r="E30" s="143">
        <f>D30-C30</f>
        <v>0</v>
      </c>
      <c r="F30" s="52"/>
      <c r="G30" s="144"/>
      <c r="H30" s="145"/>
      <c r="I30" s="145"/>
      <c r="J30" s="146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</row>
    <row r="31" spans="1:33" ht="3" customHeight="1">
      <c r="A31" s="129"/>
      <c r="B31" s="50"/>
      <c r="C31" s="141"/>
      <c r="D31" s="142"/>
      <c r="E31" s="143"/>
      <c r="F31" s="52"/>
      <c r="G31" s="144"/>
      <c r="H31" s="145"/>
      <c r="I31" s="145"/>
      <c r="J31" s="146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</row>
    <row r="32" spans="1:33" s="50" customFormat="1" ht="11.25" customHeight="1">
      <c r="A32" s="51" t="s">
        <v>7</v>
      </c>
      <c r="C32" s="47">
        <f>SUM(C27:C30)</f>
        <v>0</v>
      </c>
      <c r="D32" s="48">
        <f>SUM(D27:D30)</f>
        <v>0</v>
      </c>
      <c r="E32" s="49">
        <f>SUM(E27:E30)</f>
        <v>0</v>
      </c>
      <c r="F32" s="52"/>
      <c r="G32" s="53"/>
      <c r="H32" s="54"/>
      <c r="I32" s="54"/>
      <c r="J32" s="55"/>
    </row>
    <row r="33" spans="1:33" ht="3" customHeight="1">
      <c r="A33" s="83"/>
      <c r="B33" s="31"/>
      <c r="C33" s="84"/>
      <c r="D33" s="81"/>
      <c r="E33" s="82"/>
      <c r="F33" s="31"/>
      <c r="G33" s="84"/>
      <c r="H33" s="81"/>
      <c r="I33" s="81"/>
      <c r="J33" s="82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</row>
    <row r="34" spans="1:33" s="33" customFormat="1" ht="3" customHeight="1">
      <c r="A34" s="72"/>
      <c r="B34" s="72"/>
      <c r="C34" s="72"/>
      <c r="D34" s="72"/>
      <c r="E34" s="72"/>
      <c r="F34" s="72"/>
      <c r="G34" s="72"/>
      <c r="H34" s="72"/>
      <c r="I34" s="72"/>
      <c r="J34" s="7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</row>
    <row r="35" spans="1:33" s="50" customFormat="1" ht="12" hidden="1">
      <c r="A35" s="124"/>
      <c r="C35" s="317" t="s">
        <v>49</v>
      </c>
      <c r="D35" s="318"/>
      <c r="E35" s="319"/>
      <c r="G35" s="125"/>
      <c r="H35" s="126"/>
      <c r="I35" s="126"/>
      <c r="J35" s="127"/>
    </row>
    <row r="36" spans="1:33" s="50" customFormat="1" ht="12" hidden="1">
      <c r="A36" s="157" t="s">
        <v>9</v>
      </c>
      <c r="C36" s="86" t="s">
        <v>6</v>
      </c>
      <c r="D36" s="87" t="s">
        <v>8</v>
      </c>
      <c r="E36" s="74" t="s">
        <v>12</v>
      </c>
      <c r="G36" s="320" t="s">
        <v>39</v>
      </c>
      <c r="H36" s="321"/>
      <c r="I36" s="321"/>
      <c r="J36" s="322"/>
    </row>
    <row r="37" spans="1:33" s="50" customFormat="1" ht="12" hidden="1">
      <c r="A37" s="124"/>
      <c r="C37" s="141" t="e">
        <f>Expenses!D31-[1]Expenses!D29</f>
        <v>#VALUE!</v>
      </c>
      <c r="D37" s="142">
        <f>Expenses!E31-[1]Expenses!E29</f>
        <v>0</v>
      </c>
      <c r="E37" s="143" t="e">
        <f>D37-C37</f>
        <v>#VALUE!</v>
      </c>
      <c r="G37" s="125"/>
      <c r="H37" s="126"/>
      <c r="I37" s="126"/>
      <c r="J37" s="127"/>
    </row>
    <row r="38" spans="1:33" s="50" customFormat="1" ht="12" hidden="1">
      <c r="A38" s="129"/>
      <c r="C38" s="141" t="e">
        <f>Expenses!D32-[1]Expenses!D30</f>
        <v>#VALUE!</v>
      </c>
      <c r="D38" s="142" t="e">
        <f>Expenses!E32-[1]Expenses!E30</f>
        <v>#VALUE!</v>
      </c>
      <c r="E38" s="143" t="e">
        <f>D38-C38</f>
        <v>#VALUE!</v>
      </c>
      <c r="G38" s="144"/>
      <c r="H38" s="145"/>
      <c r="I38" s="145"/>
      <c r="J38" s="146"/>
    </row>
    <row r="39" spans="1:33" s="50" customFormat="1" ht="12" hidden="1">
      <c r="A39" s="147"/>
      <c r="C39" s="154">
        <f>Expenses!D33-[1]Expenses!D31</f>
        <v>0</v>
      </c>
      <c r="D39" s="155">
        <f>Expenses!E33-[1]Expenses!E31</f>
        <v>0</v>
      </c>
      <c r="E39" s="156">
        <f>D39-C39</f>
        <v>0</v>
      </c>
      <c r="G39" s="148"/>
      <c r="H39" s="149"/>
      <c r="I39" s="149"/>
      <c r="J39" s="150"/>
    </row>
    <row r="40" spans="1:33">
      <c r="A40" s="31"/>
      <c r="B40" s="31"/>
      <c r="C40" s="73"/>
      <c r="D40" s="73"/>
      <c r="E40" s="31"/>
      <c r="F40" s="31"/>
      <c r="G40" s="31"/>
      <c r="H40" s="31"/>
      <c r="I40" s="31"/>
      <c r="J40" s="31"/>
      <c r="K40" s="1"/>
      <c r="L40" s="1" t="s">
        <v>63</v>
      </c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</row>
    <row r="41" spans="1:33">
      <c r="C41" s="1"/>
      <c r="D41" s="1"/>
      <c r="E41" s="26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</row>
    <row r="42" spans="1:33"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</row>
    <row r="43" spans="1:33" ht="15.75">
      <c r="C43" s="165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</row>
    <row r="44" spans="1:33"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</row>
    <row r="45" spans="1:33"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</row>
    <row r="46" spans="1:33"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</row>
    <row r="47" spans="1:33"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</row>
    <row r="48" spans="1:33"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</row>
    <row r="49" spans="1:33"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</row>
    <row r="50" spans="1:33"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</row>
    <row r="51" spans="1:33">
      <c r="C51" s="1"/>
      <c r="D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</row>
    <row r="52" spans="1:33">
      <c r="C52" s="1"/>
      <c r="D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</row>
    <row r="53" spans="1:33">
      <c r="C53" s="1"/>
      <c r="D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</row>
    <row r="54" spans="1:33">
      <c r="C54" s="1"/>
      <c r="D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</row>
    <row r="55" spans="1:33">
      <c r="C55" s="1"/>
      <c r="D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</row>
    <row r="56" spans="1:33">
      <c r="C56" s="1"/>
      <c r="D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</row>
    <row r="57" spans="1:33"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</row>
    <row r="58" spans="1:3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</row>
    <row r="59" spans="1:3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</row>
    <row r="60" spans="1:3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</row>
    <row r="61" spans="1:3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</row>
    <row r="62" spans="1:3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</row>
    <row r="63" spans="1:3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</row>
    <row r="64" spans="1:33"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</row>
    <row r="65" spans="3:33"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</row>
    <row r="66" spans="3:33"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</row>
    <row r="67" spans="3:33"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</row>
    <row r="68" spans="3:33"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</row>
    <row r="69" spans="3:33"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</row>
    <row r="70" spans="3:33"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</row>
    <row r="71" spans="3:33"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</row>
    <row r="72" spans="3:33"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</row>
    <row r="73" spans="3:33"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</row>
    <row r="74" spans="3:33"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</row>
    <row r="75" spans="3:33"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</row>
    <row r="76" spans="3:33"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</row>
    <row r="77" spans="3:33"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</row>
    <row r="78" spans="3:33"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</row>
    <row r="79" spans="3:33"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</row>
    <row r="80" spans="3:33"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</row>
    <row r="81" spans="3:33"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</row>
    <row r="82" spans="3:33"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</row>
    <row r="83" spans="3:33"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</row>
    <row r="84" spans="3:33"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</row>
    <row r="85" spans="3:33"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</row>
    <row r="86" spans="3:33"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</row>
    <row r="87" spans="3:33"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</row>
    <row r="88" spans="3:33"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</row>
    <row r="89" spans="3:33"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</row>
    <row r="90" spans="3:33"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</row>
    <row r="91" spans="3:33"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</row>
    <row r="92" spans="3:33"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</row>
    <row r="93" spans="3:33"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</row>
    <row r="94" spans="3:33"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</row>
    <row r="95" spans="3:33"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</row>
    <row r="96" spans="3:33"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</row>
    <row r="97" spans="3:33"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</row>
    <row r="98" spans="3:33"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</row>
    <row r="99" spans="3:33"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</row>
    <row r="100" spans="3:33"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</row>
    <row r="101" spans="3:33"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</row>
    <row r="102" spans="3:33"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</row>
    <row r="103" spans="3:33"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</row>
    <row r="104" spans="3:33"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</row>
    <row r="105" spans="3:33"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</row>
    <row r="106" spans="3:33"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</row>
    <row r="107" spans="3:33"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</row>
    <row r="108" spans="3:33"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</row>
    <row r="109" spans="3:33"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</row>
    <row r="110" spans="3:33"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</row>
    <row r="111" spans="3:33"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</row>
    <row r="112" spans="3:33"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</row>
    <row r="113" spans="3:33"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</row>
    <row r="114" spans="3:33"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</row>
    <row r="115" spans="3:33"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</row>
    <row r="116" spans="3:33"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</row>
    <row r="117" spans="3:33"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</row>
    <row r="118" spans="3:33"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</row>
    <row r="119" spans="3:33"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</row>
    <row r="120" spans="3:33"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</row>
    <row r="121" spans="3:33"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</row>
    <row r="122" spans="3:33"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</row>
    <row r="123" spans="3:33"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</row>
    <row r="124" spans="3:33"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</row>
    <row r="125" spans="3:33"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</row>
    <row r="126" spans="3:33"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</row>
    <row r="127" spans="3:33"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</row>
    <row r="128" spans="3:33"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</row>
    <row r="129" spans="3:33"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</row>
    <row r="130" spans="3:33"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</row>
    <row r="131" spans="3:33"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</row>
    <row r="132" spans="3:33"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</row>
    <row r="133" spans="3:33"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</row>
    <row r="134" spans="3:33"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</row>
    <row r="135" spans="3:33"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</row>
  </sheetData>
  <mergeCells count="7">
    <mergeCell ref="C35:E35"/>
    <mergeCell ref="G36:J36"/>
    <mergeCell ref="G7:J7"/>
    <mergeCell ref="A2:J2"/>
    <mergeCell ref="A3:J3"/>
    <mergeCell ref="A4:J4"/>
    <mergeCell ref="C6:E6"/>
  </mergeCells>
  <printOptions horizontalCentered="1"/>
  <pageMargins left="0.17" right="0.17" top="0.22" bottom="0.17" header="0.18" footer="0.17"/>
  <pageSetup orientation="landscape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T197"/>
  <sheetViews>
    <sheetView topLeftCell="B2" zoomScaleNormal="100" workbookViewId="0">
      <selection activeCell="I19" sqref="I19"/>
    </sheetView>
  </sheetViews>
  <sheetFormatPr defaultRowHeight="12.75"/>
  <cols>
    <col min="1" max="1" width="16.85546875" style="10" hidden="1" customWidth="1"/>
    <col min="2" max="2" width="34" customWidth="1"/>
    <col min="3" max="3" width="1.7109375" customWidth="1"/>
    <col min="4" max="6" width="8.7109375" customWidth="1"/>
    <col min="7" max="8" width="7.7109375" customWidth="1"/>
    <col min="9" max="9" width="8.5703125" customWidth="1"/>
    <col min="10" max="10" width="1.85546875" customWidth="1"/>
    <col min="11" max="13" width="8.7109375" customWidth="1"/>
    <col min="14" max="16" width="7.7109375" customWidth="1"/>
  </cols>
  <sheetData>
    <row r="1" spans="1:20" hidden="1">
      <c r="A1" s="10" t="s">
        <v>43</v>
      </c>
    </row>
    <row r="2" spans="1:20" ht="15.75">
      <c r="A2" s="10" t="s">
        <v>30</v>
      </c>
      <c r="B2" s="323" t="s">
        <v>70</v>
      </c>
      <c r="C2" s="323"/>
      <c r="D2" s="323"/>
      <c r="E2" s="323"/>
      <c r="F2" s="323"/>
      <c r="G2" s="323"/>
      <c r="H2" s="323"/>
      <c r="I2" s="323"/>
      <c r="J2" s="323"/>
      <c r="K2" s="323"/>
      <c r="L2" s="323"/>
      <c r="M2" s="323"/>
      <c r="N2" s="323"/>
      <c r="O2" s="323"/>
      <c r="P2" s="323"/>
      <c r="Q2" t="s">
        <v>59</v>
      </c>
    </row>
    <row r="3" spans="1:20" ht="15">
      <c r="A3" s="10" t="s">
        <v>31</v>
      </c>
      <c r="B3" s="324" t="s">
        <v>122</v>
      </c>
      <c r="C3" s="324"/>
      <c r="D3" s="324"/>
      <c r="E3" s="324"/>
      <c r="F3" s="324"/>
      <c r="G3" s="324"/>
      <c r="H3" s="324"/>
      <c r="I3" s="324"/>
      <c r="J3" s="324"/>
      <c r="K3" s="324"/>
      <c r="L3" s="324"/>
      <c r="M3" s="324"/>
      <c r="N3" s="324"/>
      <c r="O3" s="324"/>
      <c r="P3" s="324"/>
    </row>
    <row r="4" spans="1:20">
      <c r="A4" s="11">
        <v>36861</v>
      </c>
      <c r="B4" s="325" t="str">
        <f>'Mgmt Summary'!A3</f>
        <v>Results based on activity through January 11, 2001</v>
      </c>
      <c r="C4" s="325"/>
      <c r="D4" s="325"/>
      <c r="E4" s="325"/>
      <c r="F4" s="325"/>
      <c r="G4" s="325"/>
      <c r="H4" s="325"/>
      <c r="I4" s="325"/>
      <c r="J4" s="325"/>
      <c r="K4" s="325"/>
      <c r="L4" s="325"/>
      <c r="M4" s="325"/>
      <c r="N4" s="325"/>
      <c r="O4" s="325"/>
      <c r="P4" s="325"/>
    </row>
    <row r="5" spans="1:20" ht="3" customHeight="1">
      <c r="A5" s="10" t="s">
        <v>22</v>
      </c>
    </row>
    <row r="6" spans="1:20">
      <c r="A6" s="10" t="s">
        <v>47</v>
      </c>
      <c r="B6" s="124"/>
      <c r="C6" s="50"/>
      <c r="D6" s="125"/>
      <c r="E6" s="126"/>
      <c r="F6" s="126"/>
      <c r="G6" s="126"/>
      <c r="H6" s="126"/>
      <c r="I6" s="127"/>
      <c r="J6" s="50"/>
      <c r="K6" s="125"/>
      <c r="L6" s="126"/>
      <c r="M6" s="126"/>
      <c r="N6" s="126"/>
      <c r="O6" s="126"/>
      <c r="P6" s="127"/>
      <c r="Q6" s="50"/>
      <c r="R6" s="1"/>
      <c r="S6" s="1"/>
      <c r="T6" s="1"/>
    </row>
    <row r="7" spans="1:20">
      <c r="B7" s="129"/>
      <c r="C7" s="50"/>
      <c r="D7" s="320" t="s">
        <v>32</v>
      </c>
      <c r="E7" s="321"/>
      <c r="F7" s="321"/>
      <c r="G7" s="321"/>
      <c r="H7" s="321"/>
      <c r="I7" s="322"/>
      <c r="J7" s="50"/>
      <c r="K7" s="320" t="s">
        <v>55</v>
      </c>
      <c r="L7" s="321"/>
      <c r="M7" s="321"/>
      <c r="N7" s="321"/>
      <c r="O7" s="321"/>
      <c r="P7" s="322"/>
      <c r="Q7" s="50"/>
      <c r="R7" s="1"/>
      <c r="S7" s="1"/>
      <c r="T7" s="1"/>
    </row>
    <row r="8" spans="1:20">
      <c r="B8" s="128" t="s">
        <v>9</v>
      </c>
      <c r="C8" s="50"/>
      <c r="D8" s="130" t="s">
        <v>6</v>
      </c>
      <c r="E8" s="131" t="s">
        <v>8</v>
      </c>
      <c r="F8" s="132" t="s">
        <v>12</v>
      </c>
      <c r="G8" s="329" t="s">
        <v>33</v>
      </c>
      <c r="H8" s="330"/>
      <c r="I8" s="331"/>
      <c r="J8" s="50"/>
      <c r="K8" s="86" t="s">
        <v>6</v>
      </c>
      <c r="L8" s="87" t="s">
        <v>8</v>
      </c>
      <c r="M8" s="74" t="s">
        <v>12</v>
      </c>
      <c r="N8" s="317" t="s">
        <v>33</v>
      </c>
      <c r="O8" s="318"/>
      <c r="P8" s="319"/>
      <c r="Q8" s="50"/>
      <c r="R8" s="1"/>
      <c r="S8" s="1"/>
      <c r="T8" s="1"/>
    </row>
    <row r="9" spans="1:20" ht="8.25" customHeight="1">
      <c r="B9" s="124"/>
      <c r="C9" s="50"/>
      <c r="D9" s="125"/>
      <c r="E9" s="126"/>
      <c r="F9" s="126"/>
      <c r="G9" s="126"/>
      <c r="H9" s="126"/>
      <c r="I9" s="127"/>
      <c r="J9" s="50"/>
      <c r="K9" s="125"/>
      <c r="L9" s="126"/>
      <c r="M9" s="126"/>
      <c r="N9" s="126"/>
      <c r="O9" s="126"/>
      <c r="P9" s="127"/>
      <c r="Q9" s="50"/>
      <c r="R9" s="1"/>
      <c r="S9" s="1"/>
      <c r="T9" s="1"/>
    </row>
    <row r="10" spans="1:20" ht="13.5" customHeight="1">
      <c r="B10" s="171" t="s">
        <v>79</v>
      </c>
      <c r="C10" s="172"/>
      <c r="D10" s="159">
        <v>0</v>
      </c>
      <c r="E10" s="173">
        <v>0</v>
      </c>
      <c r="F10" s="174">
        <f t="shared" ref="F10:F15" si="0">E10-D10</f>
        <v>0</v>
      </c>
      <c r="G10" s="175"/>
      <c r="H10" s="175"/>
      <c r="I10" s="176"/>
      <c r="J10" s="172"/>
      <c r="K10" s="159">
        <f>+L10</f>
        <v>10361</v>
      </c>
      <c r="L10" s="173">
        <v>10361</v>
      </c>
      <c r="M10" s="174">
        <f>L10-K10</f>
        <v>0</v>
      </c>
      <c r="N10" s="2"/>
      <c r="O10" s="145"/>
      <c r="P10" s="79"/>
      <c r="Q10" s="1"/>
      <c r="R10" s="1"/>
      <c r="S10" s="1"/>
      <c r="T10" s="1"/>
    </row>
    <row r="11" spans="1:20" ht="13.5" customHeight="1">
      <c r="A11" s="10" t="s">
        <v>18</v>
      </c>
      <c r="B11" s="129" t="s">
        <v>1</v>
      </c>
      <c r="C11" s="50"/>
      <c r="D11" s="159">
        <f>+E11</f>
        <v>753.42399999999998</v>
      </c>
      <c r="E11" s="173">
        <v>753.42399999999998</v>
      </c>
      <c r="F11" s="158">
        <f t="shared" si="0"/>
        <v>0</v>
      </c>
      <c r="G11" s="145"/>
      <c r="H11" s="145"/>
      <c r="I11" s="146"/>
      <c r="J11" s="50"/>
      <c r="K11" s="159">
        <f>L11</f>
        <v>3055</v>
      </c>
      <c r="L11" s="173">
        <v>3055</v>
      </c>
      <c r="M11" s="158">
        <f>ROUND(L11-K11,0)</f>
        <v>0</v>
      </c>
      <c r="N11" s="145"/>
      <c r="O11" s="145"/>
      <c r="P11" s="79"/>
      <c r="Q11" s="1"/>
      <c r="R11" s="1"/>
      <c r="S11" s="1"/>
      <c r="T11" s="1"/>
    </row>
    <row r="12" spans="1:20" ht="13.5" customHeight="1">
      <c r="A12" s="10" t="s">
        <v>0</v>
      </c>
      <c r="B12" s="129" t="s">
        <v>44</v>
      </c>
      <c r="C12" s="50"/>
      <c r="D12" s="141">
        <f>E12</f>
        <v>39.063000000000002</v>
      </c>
      <c r="E12" s="142">
        <v>39.063000000000002</v>
      </c>
      <c r="F12" s="158">
        <f t="shared" si="0"/>
        <v>0</v>
      </c>
      <c r="G12" s="145"/>
      <c r="H12" s="145"/>
      <c r="I12" s="146"/>
      <c r="J12" s="50"/>
      <c r="K12" s="159">
        <f>L12</f>
        <v>804</v>
      </c>
      <c r="L12" s="173">
        <v>804</v>
      </c>
      <c r="M12" s="158">
        <f>ROUND(L12-K12,0)</f>
        <v>0</v>
      </c>
      <c r="N12" s="145"/>
      <c r="O12" s="145"/>
      <c r="P12" s="79"/>
      <c r="Q12" s="1"/>
      <c r="R12" s="1"/>
      <c r="S12" s="1"/>
      <c r="T12" s="1"/>
    </row>
    <row r="13" spans="1:20" ht="13.5" customHeight="1">
      <c r="A13" s="10" t="s">
        <v>20</v>
      </c>
      <c r="B13" s="129" t="s">
        <v>64</v>
      </c>
      <c r="C13" s="50"/>
      <c r="D13" s="141">
        <f>E13</f>
        <v>0</v>
      </c>
      <c r="E13" s="142">
        <v>0</v>
      </c>
      <c r="F13" s="158">
        <f t="shared" si="0"/>
        <v>0</v>
      </c>
      <c r="G13" s="145"/>
      <c r="H13" s="145"/>
      <c r="I13" s="146"/>
      <c r="J13" s="50"/>
      <c r="K13" s="159">
        <f>L13</f>
        <v>1923</v>
      </c>
      <c r="L13" s="173">
        <v>1923</v>
      </c>
      <c r="M13" s="158">
        <f>ROUND(L13-K13,0)</f>
        <v>0</v>
      </c>
      <c r="N13" s="145"/>
      <c r="O13" s="145"/>
      <c r="P13" s="79"/>
      <c r="Q13" s="1"/>
      <c r="R13" s="1"/>
      <c r="S13" s="1"/>
      <c r="T13" s="1"/>
    </row>
    <row r="14" spans="1:20" ht="13.5" customHeight="1">
      <c r="A14" s="10" t="s">
        <v>42</v>
      </c>
      <c r="B14" s="129" t="s">
        <v>71</v>
      </c>
      <c r="C14" s="50"/>
      <c r="D14" s="159">
        <v>0</v>
      </c>
      <c r="E14" s="142">
        <v>0</v>
      </c>
      <c r="F14" s="158">
        <f t="shared" si="0"/>
        <v>0</v>
      </c>
      <c r="G14" s="145"/>
      <c r="H14" s="145"/>
      <c r="I14" s="146"/>
      <c r="J14" s="50"/>
      <c r="K14" s="159">
        <f>L14</f>
        <v>732</v>
      </c>
      <c r="L14" s="173">
        <v>732</v>
      </c>
      <c r="M14" s="158">
        <f>ROUND(L14-K14,0)</f>
        <v>0</v>
      </c>
      <c r="N14" s="145"/>
      <c r="O14" s="145"/>
      <c r="P14" s="79"/>
      <c r="Q14" s="1"/>
      <c r="R14" s="1"/>
      <c r="S14" s="1"/>
      <c r="T14" s="1"/>
    </row>
    <row r="15" spans="1:20" ht="13.5" customHeight="1">
      <c r="A15" s="10" t="s">
        <v>51</v>
      </c>
      <c r="B15" s="171" t="s">
        <v>50</v>
      </c>
      <c r="C15" s="172"/>
      <c r="D15" s="159">
        <f>E15</f>
        <v>0</v>
      </c>
      <c r="E15" s="173">
        <v>0</v>
      </c>
      <c r="F15" s="174">
        <f t="shared" si="0"/>
        <v>0</v>
      </c>
      <c r="G15" s="175"/>
      <c r="H15" s="175"/>
      <c r="I15" s="176"/>
      <c r="J15" s="172"/>
      <c r="K15" s="159">
        <f>L15</f>
        <v>2315</v>
      </c>
      <c r="L15" s="173">
        <v>2315</v>
      </c>
      <c r="M15" s="174">
        <f>ROUND(L15-K15,0)</f>
        <v>0</v>
      </c>
      <c r="N15" s="145"/>
      <c r="O15" s="145"/>
      <c r="P15" s="79"/>
      <c r="Q15" s="1"/>
      <c r="R15" s="1"/>
      <c r="S15" s="1"/>
      <c r="T15" s="1"/>
    </row>
    <row r="16" spans="1:20" ht="13.5" customHeight="1">
      <c r="B16" s="171" t="s">
        <v>90</v>
      </c>
      <c r="C16" s="172"/>
      <c r="D16" s="159">
        <v>0</v>
      </c>
      <c r="E16" s="173">
        <v>0</v>
      </c>
      <c r="F16" s="174">
        <f>E16-D16</f>
        <v>0</v>
      </c>
      <c r="G16" s="175"/>
      <c r="H16" s="175"/>
      <c r="I16" s="176"/>
      <c r="J16" s="172"/>
      <c r="K16" s="159">
        <f>+L16</f>
        <v>153</v>
      </c>
      <c r="L16" s="173">
        <v>153</v>
      </c>
      <c r="M16" s="174">
        <f>L16-K16</f>
        <v>0</v>
      </c>
      <c r="N16" s="145"/>
      <c r="O16" s="145"/>
      <c r="P16" s="79"/>
      <c r="Q16" s="1"/>
      <c r="R16" s="1"/>
      <c r="S16" s="1"/>
      <c r="T16" s="1"/>
    </row>
    <row r="17" spans="2:20" ht="13.5" customHeight="1">
      <c r="B17" s="171" t="s">
        <v>91</v>
      </c>
      <c r="C17" s="172"/>
      <c r="D17" s="159">
        <f>+E17</f>
        <v>0</v>
      </c>
      <c r="E17" s="173">
        <v>0</v>
      </c>
      <c r="F17" s="174">
        <f>E17-D17</f>
        <v>0</v>
      </c>
      <c r="G17" s="175"/>
      <c r="H17" s="175"/>
      <c r="I17" s="176"/>
      <c r="J17" s="172"/>
      <c r="K17" s="159">
        <f>+L17</f>
        <v>1145</v>
      </c>
      <c r="L17" s="173">
        <v>1145</v>
      </c>
      <c r="M17" s="174">
        <f>L17-K17</f>
        <v>0</v>
      </c>
      <c r="N17" s="145"/>
      <c r="O17" s="145"/>
      <c r="P17" s="79"/>
      <c r="Q17" s="1"/>
      <c r="R17" s="1"/>
      <c r="S17" s="1"/>
      <c r="T17" s="1"/>
    </row>
    <row r="18" spans="2:20" ht="13.5" customHeight="1">
      <c r="B18" s="171" t="s">
        <v>92</v>
      </c>
      <c r="C18" s="172"/>
      <c r="D18" s="159">
        <f>+E18</f>
        <v>0</v>
      </c>
      <c r="E18" s="173">
        <v>0</v>
      </c>
      <c r="F18" s="174">
        <f>E18-D18</f>
        <v>0</v>
      </c>
      <c r="G18" s="175"/>
      <c r="H18" s="175"/>
      <c r="I18" s="176"/>
      <c r="J18" s="172"/>
      <c r="K18" s="159">
        <f>+L18</f>
        <v>779</v>
      </c>
      <c r="L18" s="173">
        <v>779</v>
      </c>
      <c r="M18" s="174">
        <f>L18-K18</f>
        <v>0</v>
      </c>
      <c r="N18" s="145"/>
      <c r="O18" s="145"/>
      <c r="P18" s="79"/>
      <c r="Q18" s="1"/>
      <c r="R18" s="1"/>
      <c r="S18" s="1"/>
      <c r="T18" s="1"/>
    </row>
    <row r="19" spans="2:20" ht="13.5" customHeight="1">
      <c r="B19" s="171" t="s">
        <v>93</v>
      </c>
      <c r="C19" s="172"/>
      <c r="D19" s="159">
        <f>+E19</f>
        <v>591</v>
      </c>
      <c r="E19" s="173">
        <v>591</v>
      </c>
      <c r="F19" s="174">
        <f>E19-D19</f>
        <v>0</v>
      </c>
      <c r="G19" s="175"/>
      <c r="H19" s="175"/>
      <c r="I19" s="176"/>
      <c r="J19" s="172"/>
      <c r="K19" s="159">
        <f>+L19</f>
        <v>561</v>
      </c>
      <c r="L19" s="173">
        <v>561</v>
      </c>
      <c r="M19" s="174">
        <f>L19-K19</f>
        <v>0</v>
      </c>
      <c r="N19" s="145"/>
      <c r="O19" s="145"/>
      <c r="P19" s="79"/>
      <c r="Q19" s="1"/>
      <c r="R19" s="1"/>
      <c r="S19" s="1"/>
      <c r="T19" s="1"/>
    </row>
    <row r="20" spans="2:20" ht="13.5" customHeight="1">
      <c r="B20" s="129" t="s">
        <v>2</v>
      </c>
      <c r="C20" s="50"/>
      <c r="D20" s="141">
        <v>0</v>
      </c>
      <c r="E20" s="142">
        <v>0</v>
      </c>
      <c r="F20" s="158">
        <f>E20-D20</f>
        <v>0</v>
      </c>
      <c r="G20" s="145"/>
      <c r="H20" s="145"/>
      <c r="I20" s="146"/>
      <c r="J20" s="50"/>
      <c r="K20" s="159">
        <f>L20</f>
        <v>520</v>
      </c>
      <c r="L20" s="142">
        <v>520</v>
      </c>
      <c r="M20" s="158">
        <f>L20-K20</f>
        <v>0</v>
      </c>
      <c r="N20" s="145"/>
      <c r="O20" s="145"/>
      <c r="P20" s="79"/>
      <c r="Q20" s="1"/>
      <c r="R20" s="1"/>
      <c r="S20" s="1"/>
      <c r="T20" s="1"/>
    </row>
    <row r="21" spans="2:20" ht="3" customHeight="1">
      <c r="B21" s="129"/>
      <c r="C21" s="50"/>
      <c r="D21" s="141"/>
      <c r="E21" s="142"/>
      <c r="F21" s="158"/>
      <c r="G21" s="145"/>
      <c r="H21" s="145"/>
      <c r="I21" s="146"/>
      <c r="J21" s="50"/>
      <c r="K21" s="141"/>
      <c r="L21" s="142"/>
      <c r="M21" s="158"/>
      <c r="N21" s="145"/>
      <c r="O21" s="145"/>
      <c r="P21" s="79"/>
      <c r="Q21" s="1"/>
      <c r="R21" s="1"/>
      <c r="S21" s="1"/>
      <c r="T21" s="1"/>
    </row>
    <row r="22" spans="2:20" ht="11.25" customHeight="1">
      <c r="B22" s="262" t="s">
        <v>96</v>
      </c>
      <c r="C22" s="50"/>
      <c r="D22" s="56">
        <f>SUM(D10:D21)</f>
        <v>1383.4870000000001</v>
      </c>
      <c r="E22" s="57">
        <f>SUM(E10:E21)</f>
        <v>1383.4870000000001</v>
      </c>
      <c r="F22" s="57">
        <f>SUM(F10:F21)</f>
        <v>0</v>
      </c>
      <c r="G22" s="54"/>
      <c r="H22" s="54"/>
      <c r="I22" s="55"/>
      <c r="J22" s="50"/>
      <c r="K22" s="56">
        <f>SUM(K10:K21)</f>
        <v>22348</v>
      </c>
      <c r="L22" s="57">
        <f>SUM(L10:L21)</f>
        <v>22348</v>
      </c>
      <c r="M22" s="57">
        <f>SUM(M10:M21)</f>
        <v>0</v>
      </c>
      <c r="N22" s="54"/>
      <c r="O22" s="54"/>
      <c r="P22" s="80"/>
      <c r="Q22" s="1"/>
      <c r="R22" s="1"/>
      <c r="S22" s="1"/>
      <c r="T22" s="1"/>
    </row>
    <row r="23" spans="2:20" ht="3" customHeight="1">
      <c r="B23" s="129"/>
      <c r="C23" s="50"/>
      <c r="D23" s="141"/>
      <c r="E23" s="142"/>
      <c r="F23" s="158"/>
      <c r="G23" s="145"/>
      <c r="H23" s="145"/>
      <c r="I23" s="146"/>
      <c r="J23" s="50"/>
      <c r="K23" s="141"/>
      <c r="L23" s="142"/>
      <c r="M23" s="158"/>
      <c r="N23" s="145"/>
      <c r="O23" s="145"/>
      <c r="P23" s="79"/>
      <c r="Q23" s="1"/>
      <c r="R23" s="1"/>
      <c r="S23" s="1"/>
      <c r="T23" s="1"/>
    </row>
    <row r="24" spans="2:20" ht="13.5" customHeight="1">
      <c r="B24" s="129" t="s">
        <v>69</v>
      </c>
      <c r="C24" s="50"/>
      <c r="D24" s="141">
        <f>-(D22)</f>
        <v>-1383.4870000000001</v>
      </c>
      <c r="E24" s="142">
        <f>-(E22)</f>
        <v>-1383.4870000000001</v>
      </c>
      <c r="F24" s="158">
        <f>E24-D24</f>
        <v>0</v>
      </c>
      <c r="G24" s="145"/>
      <c r="H24" s="145"/>
      <c r="I24" s="146"/>
      <c r="J24" s="50"/>
      <c r="K24" s="141">
        <v>0</v>
      </c>
      <c r="L24" s="142">
        <v>0</v>
      </c>
      <c r="M24" s="158">
        <f>L24-K24</f>
        <v>0</v>
      </c>
      <c r="N24" s="145"/>
      <c r="O24" s="145"/>
      <c r="P24" s="79"/>
      <c r="Q24" s="1"/>
      <c r="R24" s="1"/>
      <c r="S24" s="1"/>
      <c r="T24" s="1"/>
    </row>
    <row r="25" spans="2:20" ht="13.5" customHeight="1">
      <c r="B25" s="129" t="s">
        <v>94</v>
      </c>
      <c r="C25" s="50"/>
      <c r="D25" s="141">
        <v>0</v>
      </c>
      <c r="E25" s="142">
        <v>0</v>
      </c>
      <c r="F25" s="158">
        <f>E25-D25</f>
        <v>0</v>
      </c>
      <c r="G25" s="145"/>
      <c r="H25" s="145"/>
      <c r="I25" s="146"/>
      <c r="J25" s="50"/>
      <c r="K25" s="141">
        <f>-K22</f>
        <v>-22348</v>
      </c>
      <c r="L25" s="142">
        <f>-L22</f>
        <v>-22348</v>
      </c>
      <c r="M25" s="158">
        <f>L25-K25</f>
        <v>0</v>
      </c>
      <c r="N25" s="145"/>
      <c r="O25" s="145"/>
      <c r="P25" s="79"/>
      <c r="Q25" s="1"/>
      <c r="R25" s="1"/>
      <c r="S25" s="1"/>
      <c r="T25" s="1"/>
    </row>
    <row r="26" spans="2:20" ht="3" customHeight="1">
      <c r="B26" s="129"/>
      <c r="C26" s="50"/>
      <c r="D26" s="141"/>
      <c r="E26" s="142"/>
      <c r="F26" s="158"/>
      <c r="G26" s="145"/>
      <c r="H26" s="145"/>
      <c r="I26" s="146"/>
      <c r="J26" s="50"/>
      <c r="K26" s="141"/>
      <c r="L26" s="142"/>
      <c r="M26" s="158"/>
      <c r="N26" s="145"/>
      <c r="O26" s="145"/>
      <c r="P26" s="79"/>
      <c r="Q26" s="1"/>
      <c r="R26" s="1"/>
      <c r="S26" s="1"/>
      <c r="T26" s="1"/>
    </row>
    <row r="27" spans="2:20" s="50" customFormat="1" ht="11.25" customHeight="1">
      <c r="B27" s="51" t="s">
        <v>7</v>
      </c>
      <c r="D27" s="47">
        <f>SUM(D22:D25)</f>
        <v>0</v>
      </c>
      <c r="E27" s="48">
        <f>SUM(E22:E25)</f>
        <v>0</v>
      </c>
      <c r="F27" s="48">
        <f>SUM(F22:F25)</f>
        <v>0</v>
      </c>
      <c r="G27" s="54"/>
      <c r="H27" s="54"/>
      <c r="I27" s="55"/>
      <c r="K27" s="47">
        <f>SUM(K22:K25)</f>
        <v>0</v>
      </c>
      <c r="L27" s="48">
        <f>SUM(L22:L25)</f>
        <v>0</v>
      </c>
      <c r="M27" s="48">
        <f>SUM(M22:M25)</f>
        <v>0</v>
      </c>
      <c r="N27" s="54"/>
      <c r="O27" s="54"/>
      <c r="P27" s="80"/>
    </row>
    <row r="28" spans="2:20" ht="3" customHeight="1">
      <c r="B28" s="147"/>
      <c r="C28" s="50"/>
      <c r="D28" s="154"/>
      <c r="E28" s="155"/>
      <c r="F28" s="155"/>
      <c r="G28" s="149"/>
      <c r="H28" s="149"/>
      <c r="I28" s="150"/>
      <c r="J28" s="50"/>
      <c r="K28" s="154"/>
      <c r="L28" s="155"/>
      <c r="M28" s="155"/>
      <c r="N28" s="149"/>
      <c r="O28" s="149"/>
      <c r="P28" s="82"/>
      <c r="Q28" s="1"/>
      <c r="R28" s="1"/>
      <c r="S28" s="1"/>
      <c r="T28" s="1"/>
    </row>
    <row r="29" spans="2:20">
      <c r="D29" s="3"/>
      <c r="E29" s="3"/>
      <c r="F29" s="3"/>
      <c r="G29" s="1"/>
      <c r="H29" s="1"/>
      <c r="I29" s="1"/>
      <c r="J29" s="1"/>
      <c r="K29" s="3"/>
      <c r="L29" s="3"/>
      <c r="M29" s="3"/>
      <c r="N29" s="1"/>
      <c r="O29" s="1"/>
      <c r="P29" s="1"/>
      <c r="Q29" s="1"/>
      <c r="R29" s="1"/>
      <c r="S29" s="1"/>
      <c r="T29" s="1"/>
    </row>
    <row r="30" spans="2:20">
      <c r="D30" s="3"/>
      <c r="E30" s="3"/>
      <c r="F30" s="3"/>
      <c r="G30" s="1"/>
      <c r="H30" s="1"/>
      <c r="I30" s="1"/>
      <c r="J30" s="1"/>
      <c r="K30" s="3"/>
      <c r="L30" s="3"/>
      <c r="M30" s="3"/>
      <c r="N30" s="1"/>
      <c r="O30" s="1"/>
      <c r="P30" s="1"/>
      <c r="Q30" s="1"/>
      <c r="R30" s="1"/>
      <c r="S30" s="1"/>
      <c r="T30" s="1"/>
    </row>
    <row r="31" spans="2:20">
      <c r="D31" s="3"/>
      <c r="E31" s="3"/>
      <c r="F31" s="3"/>
      <c r="G31" s="1"/>
      <c r="H31" s="1"/>
      <c r="I31" s="1"/>
      <c r="J31" s="1"/>
      <c r="K31" s="3"/>
      <c r="L31" s="3"/>
      <c r="M31" s="3"/>
      <c r="N31" s="1"/>
      <c r="O31" s="1"/>
      <c r="P31" s="1"/>
      <c r="Q31" s="1"/>
      <c r="R31" s="1"/>
      <c r="S31" s="1"/>
      <c r="T31" s="1"/>
    </row>
    <row r="32" spans="2:20">
      <c r="D32" s="3"/>
      <c r="E32" s="3"/>
      <c r="F32" s="3"/>
      <c r="G32" s="1"/>
      <c r="H32" s="1"/>
      <c r="I32" s="1"/>
      <c r="J32" s="1"/>
      <c r="K32" s="3"/>
      <c r="L32" s="3"/>
      <c r="M32" s="3"/>
      <c r="N32" s="1"/>
      <c r="O32" s="1"/>
      <c r="P32" s="1"/>
      <c r="Q32" s="1"/>
      <c r="R32" s="1"/>
      <c r="S32" s="1"/>
      <c r="T32" s="1"/>
    </row>
    <row r="33" spans="4:20">
      <c r="D33" s="3"/>
      <c r="E33" s="3"/>
      <c r="F33" s="3"/>
      <c r="G33" s="1"/>
      <c r="H33" s="1"/>
      <c r="I33" s="1"/>
      <c r="J33" s="1"/>
      <c r="K33" s="3"/>
      <c r="L33" s="3"/>
      <c r="M33" s="3" t="s">
        <v>63</v>
      </c>
      <c r="N33" s="1"/>
      <c r="O33" s="1"/>
      <c r="P33" s="1"/>
      <c r="Q33" s="1"/>
      <c r="R33" s="1"/>
      <c r="S33" s="1"/>
      <c r="T33" s="1"/>
    </row>
    <row r="34" spans="4:20">
      <c r="D34" s="3"/>
      <c r="E34" s="3"/>
      <c r="F34" s="3"/>
      <c r="G34" s="1"/>
      <c r="H34" s="1"/>
      <c r="I34" s="1"/>
      <c r="J34" s="1"/>
      <c r="K34" s="3"/>
      <c r="L34" s="3"/>
      <c r="M34" s="3"/>
      <c r="N34" s="1"/>
      <c r="O34" s="1"/>
      <c r="P34" s="1"/>
      <c r="Q34" s="1"/>
      <c r="R34" s="1"/>
      <c r="S34" s="1"/>
      <c r="T34" s="1"/>
    </row>
    <row r="35" spans="4:20">
      <c r="D35" s="3"/>
      <c r="E35" s="3"/>
      <c r="F35" s="3"/>
      <c r="G35" s="1"/>
      <c r="H35" s="1"/>
      <c r="I35" s="1"/>
      <c r="J35" s="1"/>
      <c r="K35" s="3"/>
      <c r="L35" s="3"/>
      <c r="M35" s="3"/>
      <c r="N35" s="1"/>
      <c r="O35" s="1"/>
      <c r="P35" s="1"/>
      <c r="Q35" s="1"/>
      <c r="R35" s="1"/>
      <c r="S35" s="1"/>
      <c r="T35" s="1"/>
    </row>
    <row r="36" spans="4:20">
      <c r="D36" s="3"/>
      <c r="E36" s="3"/>
      <c r="F36" s="3"/>
      <c r="G36" s="1"/>
      <c r="H36" s="1"/>
      <c r="I36" s="1"/>
      <c r="J36" s="1"/>
      <c r="K36" s="3"/>
      <c r="L36" s="3"/>
      <c r="M36" s="3"/>
      <c r="N36" s="1"/>
      <c r="O36" s="1"/>
      <c r="P36" s="1"/>
      <c r="Q36" s="1"/>
      <c r="R36" s="1"/>
      <c r="S36" s="1"/>
      <c r="T36" s="1"/>
    </row>
    <row r="37" spans="4:20">
      <c r="D37" s="3"/>
      <c r="E37" s="3"/>
      <c r="F37" s="3"/>
      <c r="G37" s="1"/>
      <c r="H37" s="1"/>
      <c r="I37" s="1"/>
      <c r="J37" s="1"/>
      <c r="K37" s="3"/>
      <c r="L37" s="3"/>
      <c r="M37" s="3"/>
      <c r="N37" s="1"/>
      <c r="O37" s="1"/>
      <c r="P37" s="1"/>
      <c r="Q37" s="1"/>
      <c r="R37" s="1"/>
      <c r="S37" s="1"/>
      <c r="T37" s="1"/>
    </row>
    <row r="38" spans="4:20">
      <c r="D38" s="3"/>
      <c r="E38" s="3"/>
      <c r="F38" s="3"/>
      <c r="G38" s="1"/>
      <c r="H38" s="1"/>
      <c r="I38" s="1"/>
      <c r="J38" s="1"/>
      <c r="K38" s="3"/>
      <c r="L38" s="3"/>
      <c r="M38" s="3"/>
      <c r="N38" s="1"/>
      <c r="O38" s="1"/>
      <c r="P38" s="1"/>
      <c r="Q38" s="1"/>
      <c r="R38" s="1"/>
      <c r="S38" s="1"/>
      <c r="T38" s="1"/>
    </row>
    <row r="39" spans="4:20">
      <c r="D39" s="3"/>
      <c r="E39" s="3"/>
      <c r="F39" s="3"/>
      <c r="G39" s="1"/>
      <c r="H39" s="1"/>
      <c r="I39" s="1"/>
      <c r="J39" s="1"/>
      <c r="K39" s="3"/>
      <c r="L39" s="3"/>
      <c r="M39" s="3"/>
      <c r="N39" s="1"/>
      <c r="O39" s="1"/>
      <c r="P39" s="1"/>
      <c r="Q39" s="1"/>
      <c r="R39" s="1"/>
      <c r="S39" s="1"/>
      <c r="T39" s="1"/>
    </row>
    <row r="40" spans="4:20">
      <c r="D40" s="3"/>
      <c r="E40" s="3"/>
      <c r="F40" s="3"/>
      <c r="G40" s="1"/>
      <c r="H40" s="1"/>
      <c r="I40" s="1"/>
      <c r="J40" s="1"/>
      <c r="K40" s="3"/>
      <c r="L40" s="3"/>
      <c r="M40" s="3"/>
      <c r="N40" s="1"/>
      <c r="O40" s="1"/>
      <c r="P40" s="1"/>
      <c r="Q40" s="1"/>
      <c r="R40" s="1"/>
      <c r="S40" s="1"/>
      <c r="T40" s="1"/>
    </row>
    <row r="41" spans="4:20">
      <c r="D41" s="3"/>
      <c r="E41" s="3"/>
      <c r="F41" s="3"/>
      <c r="G41" s="1"/>
      <c r="H41" s="1"/>
      <c r="I41" s="1"/>
      <c r="J41" s="1"/>
      <c r="K41" s="3"/>
      <c r="L41" s="3"/>
      <c r="M41" s="3"/>
      <c r="N41" s="1"/>
      <c r="O41" s="1"/>
      <c r="P41" s="1"/>
      <c r="Q41" s="1"/>
      <c r="R41" s="1"/>
      <c r="S41" s="1"/>
      <c r="T41" s="1"/>
    </row>
    <row r="42" spans="4:20">
      <c r="D42" s="3"/>
      <c r="E42" s="3"/>
      <c r="F42" s="3"/>
      <c r="G42" s="1"/>
      <c r="H42" s="1"/>
      <c r="I42" s="1"/>
      <c r="J42" s="1"/>
      <c r="K42" s="3"/>
      <c r="L42" s="3"/>
      <c r="M42" s="3"/>
      <c r="N42" s="1"/>
      <c r="O42" s="1"/>
      <c r="P42" s="1"/>
      <c r="Q42" s="1"/>
      <c r="R42" s="1"/>
      <c r="S42" s="1"/>
      <c r="T42" s="1"/>
    </row>
    <row r="43" spans="4:20">
      <c r="D43" s="3"/>
      <c r="E43" s="3"/>
      <c r="F43" s="3"/>
      <c r="G43" s="1"/>
      <c r="H43" s="1"/>
      <c r="I43" s="1"/>
      <c r="J43" s="1"/>
      <c r="K43" s="3"/>
      <c r="L43" s="3"/>
      <c r="M43" s="3"/>
      <c r="N43" s="1"/>
      <c r="O43" s="1"/>
      <c r="P43" s="1"/>
      <c r="Q43" s="1"/>
      <c r="R43" s="1"/>
      <c r="S43" s="1"/>
      <c r="T43" s="1"/>
    </row>
    <row r="44" spans="4:20">
      <c r="D44" s="3"/>
      <c r="E44" s="3"/>
      <c r="L44" s="3"/>
      <c r="M44" s="3"/>
      <c r="N44" s="1"/>
      <c r="O44" s="1"/>
      <c r="P44" s="1"/>
      <c r="Q44" s="1"/>
      <c r="R44" s="1"/>
      <c r="S44" s="1"/>
      <c r="T44" s="1"/>
    </row>
    <row r="45" spans="4:20">
      <c r="D45" s="3"/>
      <c r="E45" s="3"/>
      <c r="L45" s="3"/>
      <c r="M45" s="3"/>
      <c r="N45" s="1"/>
      <c r="O45" s="1"/>
      <c r="P45" s="1"/>
      <c r="Q45" s="1"/>
      <c r="R45" s="1"/>
      <c r="S45" s="1"/>
      <c r="T45" s="1"/>
    </row>
    <row r="46" spans="4:20">
      <c r="D46" s="3"/>
      <c r="E46" s="3"/>
      <c r="L46" s="3"/>
      <c r="M46" s="3"/>
      <c r="N46" s="1"/>
      <c r="O46" s="1"/>
      <c r="P46" s="1"/>
      <c r="Q46" s="1"/>
      <c r="R46" s="1"/>
      <c r="S46" s="1"/>
      <c r="T46" s="1"/>
    </row>
    <row r="47" spans="4:20">
      <c r="D47" s="3"/>
      <c r="E47" s="3"/>
      <c r="L47" s="3"/>
      <c r="M47" s="3"/>
      <c r="N47" s="1"/>
      <c r="O47" s="1"/>
      <c r="P47" s="1"/>
      <c r="Q47" s="1"/>
      <c r="R47" s="1"/>
      <c r="S47" s="1"/>
      <c r="T47" s="1"/>
    </row>
    <row r="48" spans="4:20">
      <c r="D48" s="3"/>
      <c r="E48" s="3"/>
      <c r="L48" s="3"/>
      <c r="M48" s="3"/>
      <c r="N48" s="1"/>
      <c r="O48" s="1"/>
      <c r="P48" s="1"/>
      <c r="Q48" s="1"/>
      <c r="R48" s="1"/>
      <c r="S48" s="1"/>
      <c r="T48" s="1"/>
    </row>
    <row r="49" spans="1:20">
      <c r="D49" s="3"/>
      <c r="E49" s="3"/>
      <c r="L49" s="3"/>
      <c r="M49" s="3"/>
      <c r="N49" s="1"/>
      <c r="O49" s="1"/>
      <c r="P49" s="1"/>
      <c r="Q49" s="1"/>
      <c r="R49" s="1"/>
      <c r="S49" s="1"/>
      <c r="T49" s="1"/>
    </row>
    <row r="50" spans="1:20">
      <c r="D50" s="3"/>
      <c r="E50" s="3"/>
      <c r="F50" s="3"/>
      <c r="G50" s="1"/>
      <c r="H50" s="1"/>
      <c r="I50" s="1"/>
      <c r="J50" s="1"/>
      <c r="K50" s="3"/>
      <c r="L50" s="3"/>
      <c r="M50" s="3"/>
      <c r="N50" s="1"/>
      <c r="O50" s="1"/>
      <c r="P50" s="1"/>
      <c r="Q50" s="1"/>
      <c r="R50" s="1"/>
      <c r="S50" s="1"/>
      <c r="T50" s="1"/>
    </row>
    <row r="51" spans="1:20">
      <c r="A51" s="3"/>
      <c r="B51" s="1"/>
      <c r="C51" s="1"/>
      <c r="D51" s="1"/>
      <c r="E51" s="1"/>
      <c r="F51" s="3"/>
      <c r="G51" s="1"/>
      <c r="H51" s="1"/>
      <c r="I51" s="1"/>
      <c r="J51" s="1"/>
      <c r="K51" s="3"/>
      <c r="L51" s="3"/>
      <c r="M51" s="3"/>
      <c r="N51" s="1"/>
      <c r="O51" s="1"/>
      <c r="P51" s="1"/>
      <c r="Q51" s="1"/>
      <c r="R51" s="1"/>
      <c r="S51" s="1"/>
      <c r="T51" s="1"/>
    </row>
    <row r="52" spans="1:20">
      <c r="A52" s="3"/>
      <c r="B52" s="1"/>
      <c r="C52" s="1"/>
      <c r="D52" s="1"/>
      <c r="E52" s="1"/>
      <c r="F52" s="3"/>
      <c r="G52" s="1"/>
      <c r="H52" s="1"/>
      <c r="I52" s="1"/>
      <c r="J52" s="1"/>
      <c r="K52" s="3"/>
      <c r="L52" s="3"/>
      <c r="M52" s="3"/>
      <c r="N52" s="1"/>
      <c r="O52" s="1"/>
      <c r="P52" s="1"/>
      <c r="Q52" s="1"/>
      <c r="R52" s="1"/>
      <c r="S52" s="1"/>
      <c r="T52" s="1"/>
    </row>
    <row r="53" spans="1:20">
      <c r="A53" s="3"/>
      <c r="B53" s="1"/>
      <c r="C53" s="1"/>
      <c r="D53" s="1"/>
      <c r="E53" s="1"/>
      <c r="F53" s="3"/>
      <c r="G53" s="1"/>
      <c r="H53" s="1"/>
      <c r="I53" s="1"/>
      <c r="J53" s="1"/>
      <c r="K53" s="3"/>
      <c r="L53" s="3"/>
      <c r="M53" s="3"/>
      <c r="N53" s="1"/>
      <c r="O53" s="1"/>
      <c r="P53" s="1"/>
      <c r="Q53" s="1"/>
      <c r="R53" s="1"/>
      <c r="S53" s="1"/>
      <c r="T53" s="1"/>
    </row>
    <row r="54" spans="1:20">
      <c r="A54" s="3"/>
      <c r="B54" s="1"/>
      <c r="C54" s="1"/>
      <c r="D54" s="1"/>
      <c r="E54" s="1"/>
      <c r="F54" s="3"/>
      <c r="G54" s="1"/>
      <c r="H54" s="1"/>
      <c r="I54" s="1"/>
      <c r="J54" s="1"/>
      <c r="K54" s="3"/>
      <c r="L54" s="3"/>
      <c r="M54" s="3"/>
      <c r="N54" s="1"/>
      <c r="O54" s="1"/>
      <c r="P54" s="1"/>
      <c r="Q54" s="1"/>
      <c r="R54" s="1"/>
      <c r="S54" s="1"/>
      <c r="T54" s="1"/>
    </row>
    <row r="55" spans="1:20">
      <c r="A55" s="3"/>
      <c r="B55" s="1"/>
      <c r="C55" s="1"/>
      <c r="D55" s="1"/>
      <c r="E55" s="1"/>
      <c r="F55" s="3"/>
      <c r="G55" s="1"/>
      <c r="H55" s="1"/>
      <c r="I55" s="1"/>
      <c r="J55" s="1"/>
      <c r="K55" s="3"/>
      <c r="L55" s="3"/>
      <c r="M55" s="3"/>
      <c r="N55" s="1"/>
      <c r="O55" s="1"/>
      <c r="P55" s="1"/>
      <c r="Q55" s="1"/>
      <c r="R55" s="1"/>
      <c r="S55" s="1"/>
      <c r="T55" s="1"/>
    </row>
    <row r="56" spans="1:20">
      <c r="A56" s="3"/>
      <c r="B56" s="1"/>
      <c r="C56" s="1"/>
      <c r="D56" s="1"/>
      <c r="E56" s="1"/>
      <c r="F56" s="3"/>
      <c r="G56" s="1"/>
      <c r="H56" s="1"/>
      <c r="I56" s="1"/>
      <c r="J56" s="1"/>
      <c r="K56" s="3"/>
      <c r="L56" s="3"/>
      <c r="M56" s="3"/>
      <c r="N56" s="1"/>
      <c r="O56" s="1"/>
      <c r="P56" s="1"/>
      <c r="Q56" s="1"/>
      <c r="R56" s="1"/>
      <c r="S56" s="1"/>
      <c r="T56" s="1"/>
    </row>
    <row r="57" spans="1:20">
      <c r="D57" s="1"/>
      <c r="E57" s="1"/>
      <c r="F57" s="1"/>
      <c r="G57" s="1"/>
      <c r="H57" s="1"/>
      <c r="I57" s="1"/>
      <c r="J57" s="1"/>
      <c r="K57" s="3"/>
      <c r="L57" s="3"/>
      <c r="M57" s="3"/>
      <c r="N57" s="1"/>
      <c r="O57" s="1"/>
      <c r="P57" s="1"/>
      <c r="Q57" s="1"/>
      <c r="R57" s="1"/>
      <c r="S57" s="1"/>
      <c r="T57" s="1"/>
    </row>
    <row r="58" spans="1:20">
      <c r="D58" s="1"/>
      <c r="E58" s="1"/>
      <c r="F58" s="1"/>
      <c r="G58" s="1"/>
      <c r="H58" s="1"/>
      <c r="I58" s="1"/>
      <c r="J58" s="1"/>
      <c r="K58" s="3"/>
      <c r="L58" s="3"/>
      <c r="M58" s="3"/>
      <c r="N58" s="1"/>
      <c r="O58" s="1"/>
      <c r="P58" s="1"/>
      <c r="Q58" s="1"/>
      <c r="R58" s="1"/>
      <c r="S58" s="1"/>
      <c r="T58" s="1"/>
    </row>
    <row r="59" spans="1:20">
      <c r="D59" s="1"/>
      <c r="E59" s="1"/>
      <c r="F59" s="1"/>
      <c r="G59" s="1"/>
      <c r="H59" s="1"/>
      <c r="I59" s="1"/>
      <c r="J59" s="1"/>
      <c r="K59" s="3"/>
      <c r="L59" s="3"/>
      <c r="M59" s="3"/>
      <c r="N59" s="1"/>
      <c r="O59" s="1"/>
      <c r="P59" s="1"/>
      <c r="Q59" s="1"/>
      <c r="R59" s="1"/>
      <c r="S59" s="1"/>
      <c r="T59" s="1"/>
    </row>
    <row r="60" spans="1:20">
      <c r="D60" s="1"/>
      <c r="E60" s="1"/>
      <c r="F60" s="1"/>
      <c r="G60" s="1"/>
      <c r="H60" s="1"/>
      <c r="I60" s="1"/>
      <c r="J60" s="1"/>
      <c r="K60" s="3"/>
      <c r="L60" s="3"/>
      <c r="M60" s="3"/>
      <c r="N60" s="1"/>
      <c r="O60" s="1"/>
      <c r="P60" s="1"/>
      <c r="Q60" s="1"/>
      <c r="R60" s="1"/>
      <c r="S60" s="1"/>
      <c r="T60" s="1"/>
    </row>
    <row r="61" spans="1:20">
      <c r="D61" s="1"/>
      <c r="E61" s="1"/>
      <c r="F61" s="1"/>
      <c r="G61" s="1"/>
      <c r="H61" s="1"/>
      <c r="I61" s="1"/>
      <c r="J61" s="1"/>
      <c r="K61" s="3"/>
      <c r="L61" s="3"/>
      <c r="M61" s="3"/>
      <c r="N61" s="1"/>
      <c r="O61" s="1"/>
      <c r="P61" s="1"/>
      <c r="Q61" s="1"/>
      <c r="R61" s="1"/>
      <c r="S61" s="1"/>
      <c r="T61" s="1"/>
    </row>
    <row r="62" spans="1:20">
      <c r="D62" s="1"/>
      <c r="E62" s="1"/>
      <c r="F62" s="1"/>
      <c r="G62" s="1"/>
      <c r="H62" s="1"/>
      <c r="I62" s="1"/>
      <c r="J62" s="1"/>
      <c r="K62" s="3"/>
      <c r="L62" s="3"/>
      <c r="M62" s="3"/>
      <c r="N62" s="1"/>
      <c r="O62" s="1"/>
      <c r="P62" s="1"/>
      <c r="Q62" s="1"/>
      <c r="R62" s="1"/>
      <c r="S62" s="1"/>
      <c r="T62" s="1"/>
    </row>
    <row r="63" spans="1:20">
      <c r="D63" s="1"/>
      <c r="E63" s="1"/>
      <c r="F63" s="1"/>
      <c r="G63" s="1"/>
      <c r="H63" s="1"/>
      <c r="I63" s="1"/>
      <c r="J63" s="1"/>
      <c r="K63" s="3"/>
      <c r="L63" s="3"/>
      <c r="M63" s="3"/>
      <c r="N63" s="1"/>
      <c r="O63" s="1"/>
      <c r="P63" s="1"/>
      <c r="Q63" s="1"/>
      <c r="R63" s="1"/>
      <c r="S63" s="1"/>
      <c r="T63" s="1"/>
    </row>
    <row r="64" spans="1:20">
      <c r="D64" s="1"/>
      <c r="E64" s="1"/>
      <c r="F64" s="1"/>
      <c r="G64" s="1"/>
      <c r="H64" s="1"/>
      <c r="I64" s="1"/>
      <c r="J64" s="1"/>
      <c r="K64" s="3"/>
      <c r="L64" s="3"/>
      <c r="M64" s="3"/>
      <c r="N64" s="1"/>
      <c r="O64" s="1"/>
      <c r="P64" s="1"/>
      <c r="Q64" s="1"/>
      <c r="R64" s="1"/>
      <c r="S64" s="1"/>
      <c r="T64" s="1"/>
    </row>
    <row r="65" spans="4:20">
      <c r="D65" s="1"/>
      <c r="E65" s="1"/>
      <c r="F65" s="1"/>
      <c r="G65" s="1"/>
      <c r="H65" s="1"/>
      <c r="I65" s="1"/>
      <c r="J65" s="1"/>
      <c r="K65" s="3"/>
      <c r="L65" s="3"/>
      <c r="M65" s="3"/>
      <c r="N65" s="1"/>
      <c r="O65" s="1"/>
      <c r="P65" s="1"/>
      <c r="Q65" s="1"/>
      <c r="R65" s="1"/>
      <c r="S65" s="1"/>
      <c r="T65" s="1"/>
    </row>
    <row r="66" spans="4:20">
      <c r="D66" s="1"/>
      <c r="E66" s="1"/>
      <c r="F66" s="1"/>
      <c r="G66" s="1"/>
      <c r="H66" s="1"/>
      <c r="I66" s="1"/>
      <c r="J66" s="1"/>
      <c r="K66" s="3"/>
      <c r="L66" s="3"/>
      <c r="M66" s="3"/>
      <c r="N66" s="1"/>
      <c r="O66" s="1"/>
      <c r="P66" s="1"/>
      <c r="Q66" s="1"/>
      <c r="R66" s="1"/>
      <c r="S66" s="1"/>
      <c r="T66" s="1"/>
    </row>
    <row r="67" spans="4:20">
      <c r="D67" s="1"/>
      <c r="E67" s="1"/>
      <c r="F67" s="1"/>
      <c r="G67" s="1"/>
      <c r="H67" s="1"/>
      <c r="I67" s="1"/>
      <c r="J67" s="1"/>
      <c r="K67" s="3"/>
      <c r="L67" s="3"/>
      <c r="M67" s="3"/>
      <c r="N67" s="1"/>
      <c r="O67" s="1"/>
      <c r="P67" s="1"/>
      <c r="Q67" s="1"/>
      <c r="R67" s="1"/>
      <c r="S67" s="1"/>
      <c r="T67" s="1"/>
    </row>
    <row r="68" spans="4:20">
      <c r="D68" s="1"/>
      <c r="E68" s="1"/>
      <c r="F68" s="1"/>
      <c r="G68" s="1"/>
      <c r="H68" s="1"/>
      <c r="I68" s="1"/>
      <c r="J68" s="1"/>
      <c r="K68" s="3"/>
      <c r="L68" s="3"/>
      <c r="M68" s="3"/>
      <c r="N68" s="1"/>
      <c r="O68" s="1"/>
      <c r="P68" s="1"/>
      <c r="Q68" s="1"/>
      <c r="R68" s="1"/>
      <c r="S68" s="1"/>
      <c r="T68" s="1"/>
    </row>
    <row r="69" spans="4:20">
      <c r="D69" s="1"/>
      <c r="E69" s="1"/>
      <c r="F69" s="1"/>
      <c r="G69" s="1"/>
      <c r="H69" s="1"/>
      <c r="I69" s="1"/>
      <c r="J69" s="1"/>
      <c r="K69" s="3"/>
      <c r="L69" s="3"/>
      <c r="M69" s="3"/>
      <c r="N69" s="1"/>
      <c r="O69" s="1"/>
      <c r="P69" s="1"/>
      <c r="Q69" s="1"/>
      <c r="R69" s="1"/>
      <c r="S69" s="1"/>
      <c r="T69" s="1"/>
    </row>
    <row r="70" spans="4:20">
      <c r="D70" s="1"/>
      <c r="E70" s="1"/>
      <c r="F70" s="1"/>
      <c r="G70" s="1"/>
      <c r="H70" s="1"/>
      <c r="I70" s="1"/>
      <c r="J70" s="1"/>
      <c r="K70" s="3"/>
      <c r="L70" s="3"/>
      <c r="M70" s="3"/>
      <c r="N70" s="1"/>
      <c r="O70" s="1"/>
      <c r="P70" s="1"/>
      <c r="Q70" s="1"/>
      <c r="R70" s="1"/>
      <c r="S70" s="1"/>
      <c r="T70" s="1"/>
    </row>
    <row r="71" spans="4:20">
      <c r="D71" s="1"/>
      <c r="E71" s="1"/>
      <c r="F71" s="1"/>
      <c r="G71" s="1"/>
      <c r="H71" s="1"/>
      <c r="I71" s="1"/>
      <c r="J71" s="1"/>
      <c r="K71" s="3"/>
      <c r="L71" s="3"/>
      <c r="M71" s="3"/>
      <c r="N71" s="1"/>
      <c r="O71" s="1"/>
      <c r="P71" s="1"/>
      <c r="Q71" s="1"/>
      <c r="R71" s="1"/>
      <c r="S71" s="1"/>
      <c r="T71" s="1"/>
    </row>
    <row r="72" spans="4:20">
      <c r="D72" s="1"/>
      <c r="E72" s="1"/>
      <c r="F72" s="1"/>
      <c r="G72" s="1"/>
      <c r="H72" s="1"/>
      <c r="I72" s="1"/>
      <c r="J72" s="1"/>
      <c r="K72" s="3"/>
      <c r="L72" s="3"/>
      <c r="M72" s="3"/>
      <c r="N72" s="1"/>
      <c r="O72" s="1"/>
      <c r="P72" s="1"/>
      <c r="Q72" s="1"/>
      <c r="R72" s="1"/>
      <c r="S72" s="1"/>
      <c r="T72" s="1"/>
    </row>
    <row r="73" spans="4:20">
      <c r="D73" s="1"/>
      <c r="E73" s="1"/>
      <c r="F73" s="1"/>
      <c r="G73" s="1"/>
      <c r="H73" s="1"/>
      <c r="I73" s="1"/>
      <c r="J73" s="1"/>
      <c r="K73" s="3"/>
      <c r="L73" s="3"/>
      <c r="M73" s="3"/>
      <c r="N73" s="1"/>
      <c r="O73" s="1"/>
      <c r="P73" s="1"/>
      <c r="Q73" s="1"/>
      <c r="R73" s="1"/>
      <c r="S73" s="1"/>
      <c r="T73" s="1"/>
    </row>
    <row r="74" spans="4:20">
      <c r="D74" s="1"/>
      <c r="E74" s="1"/>
      <c r="F74" s="1"/>
      <c r="G74" s="1"/>
      <c r="H74" s="1"/>
      <c r="I74" s="1"/>
      <c r="J74" s="1"/>
      <c r="K74" s="3"/>
      <c r="L74" s="3"/>
      <c r="M74" s="3"/>
      <c r="N74" s="1"/>
      <c r="O74" s="1"/>
      <c r="P74" s="1"/>
      <c r="Q74" s="1"/>
      <c r="R74" s="1"/>
      <c r="S74" s="1"/>
      <c r="T74" s="1"/>
    </row>
    <row r="75" spans="4:20">
      <c r="D75" s="1"/>
      <c r="E75" s="1"/>
      <c r="F75" s="1"/>
      <c r="G75" s="1"/>
      <c r="H75" s="1"/>
      <c r="I75" s="1"/>
      <c r="J75" s="1"/>
      <c r="K75" s="3"/>
      <c r="L75" s="3"/>
      <c r="M75" s="3"/>
      <c r="N75" s="1"/>
      <c r="O75" s="1"/>
      <c r="P75" s="1"/>
      <c r="Q75" s="1"/>
      <c r="R75" s="1"/>
      <c r="S75" s="1"/>
      <c r="T75" s="1"/>
    </row>
    <row r="76" spans="4:20">
      <c r="D76" s="1"/>
      <c r="E76" s="1"/>
      <c r="F76" s="1"/>
      <c r="G76" s="1"/>
      <c r="H76" s="1"/>
      <c r="I76" s="1"/>
      <c r="J76" s="1"/>
      <c r="K76" s="3"/>
      <c r="L76" s="3"/>
      <c r="M76" s="3"/>
      <c r="N76" s="1"/>
      <c r="O76" s="1"/>
      <c r="P76" s="1"/>
      <c r="Q76" s="1"/>
      <c r="R76" s="1"/>
      <c r="S76" s="1"/>
      <c r="T76" s="1"/>
    </row>
    <row r="77" spans="4:20">
      <c r="D77" s="1"/>
      <c r="E77" s="1"/>
      <c r="F77" s="1"/>
      <c r="G77" s="1"/>
      <c r="H77" s="1"/>
      <c r="I77" s="1"/>
      <c r="J77" s="1"/>
      <c r="K77" s="3"/>
      <c r="L77" s="3"/>
      <c r="M77" s="3"/>
      <c r="N77" s="1"/>
      <c r="O77" s="1"/>
      <c r="P77" s="1"/>
      <c r="Q77" s="1"/>
      <c r="R77" s="1"/>
      <c r="S77" s="1"/>
      <c r="T77" s="1"/>
    </row>
    <row r="78" spans="4:20">
      <c r="D78" s="1"/>
      <c r="E78" s="1"/>
      <c r="F78" s="1"/>
      <c r="G78" s="1"/>
      <c r="H78" s="1"/>
      <c r="I78" s="1"/>
      <c r="J78" s="1"/>
      <c r="K78" s="3"/>
      <c r="L78" s="3"/>
      <c r="M78" s="3"/>
      <c r="N78" s="1"/>
      <c r="O78" s="1"/>
      <c r="P78" s="1"/>
      <c r="Q78" s="1"/>
      <c r="R78" s="1"/>
      <c r="S78" s="1"/>
      <c r="T78" s="1"/>
    </row>
    <row r="79" spans="4:20">
      <c r="D79" s="1"/>
      <c r="E79" s="1"/>
      <c r="F79" s="1"/>
      <c r="G79" s="1"/>
      <c r="H79" s="1"/>
      <c r="I79" s="1"/>
      <c r="J79" s="1"/>
      <c r="K79" s="3"/>
      <c r="L79" s="3"/>
      <c r="M79" s="3"/>
      <c r="N79" s="1"/>
      <c r="O79" s="1"/>
      <c r="P79" s="1"/>
      <c r="Q79" s="1"/>
      <c r="R79" s="1"/>
      <c r="S79" s="1"/>
      <c r="T79" s="1"/>
    </row>
    <row r="80" spans="4:20">
      <c r="D80" s="1"/>
      <c r="E80" s="1"/>
      <c r="F80" s="1"/>
      <c r="G80" s="1"/>
      <c r="H80" s="1"/>
      <c r="I80" s="1"/>
      <c r="J80" s="1"/>
      <c r="K80" s="3"/>
      <c r="L80" s="3"/>
      <c r="M80" s="3"/>
      <c r="N80" s="1"/>
      <c r="O80" s="1"/>
      <c r="P80" s="1"/>
      <c r="Q80" s="1"/>
      <c r="R80" s="1"/>
      <c r="S80" s="1"/>
      <c r="T80" s="1"/>
    </row>
    <row r="81" spans="4:20">
      <c r="D81" s="1"/>
      <c r="E81" s="1"/>
      <c r="F81" s="1"/>
      <c r="G81" s="1"/>
      <c r="H81" s="1"/>
      <c r="I81" s="1"/>
      <c r="J81" s="1"/>
      <c r="K81" s="3"/>
      <c r="L81" s="3"/>
      <c r="M81" s="3"/>
      <c r="N81" s="1"/>
      <c r="O81" s="1"/>
      <c r="P81" s="1"/>
      <c r="Q81" s="1"/>
      <c r="R81" s="1"/>
      <c r="S81" s="1"/>
      <c r="T81" s="1"/>
    </row>
    <row r="82" spans="4:20">
      <c r="D82" s="1"/>
      <c r="E82" s="1"/>
      <c r="F82" s="1"/>
      <c r="G82" s="1"/>
      <c r="H82" s="1"/>
      <c r="I82" s="1"/>
      <c r="J82" s="1"/>
      <c r="K82" s="3"/>
      <c r="L82" s="3"/>
      <c r="M82" s="3"/>
      <c r="N82" s="1"/>
      <c r="O82" s="1"/>
      <c r="P82" s="1"/>
      <c r="Q82" s="1"/>
      <c r="R82" s="1"/>
      <c r="S82" s="1"/>
      <c r="T82" s="1"/>
    </row>
    <row r="83" spans="4:20">
      <c r="D83" s="1"/>
      <c r="E83" s="1"/>
      <c r="F83" s="1"/>
      <c r="G83" s="1"/>
      <c r="H83" s="1"/>
      <c r="I83" s="1"/>
      <c r="J83" s="1"/>
      <c r="K83" s="3"/>
      <c r="L83" s="3"/>
      <c r="M83" s="3"/>
      <c r="N83" s="1"/>
      <c r="O83" s="1"/>
      <c r="P83" s="1"/>
      <c r="Q83" s="1"/>
      <c r="R83" s="1"/>
      <c r="S83" s="1"/>
      <c r="T83" s="1"/>
    </row>
    <row r="84" spans="4:20">
      <c r="D84" s="1"/>
      <c r="E84" s="1"/>
      <c r="F84" s="1"/>
      <c r="G84" s="1"/>
      <c r="H84" s="1"/>
      <c r="I84" s="1"/>
      <c r="J84" s="1"/>
      <c r="K84" s="3"/>
      <c r="L84" s="3"/>
      <c r="M84" s="3"/>
      <c r="N84" s="1"/>
      <c r="O84" s="1"/>
      <c r="P84" s="1"/>
      <c r="Q84" s="1"/>
      <c r="R84" s="1"/>
      <c r="S84" s="1"/>
      <c r="T84" s="1"/>
    </row>
    <row r="85" spans="4:20">
      <c r="D85" s="1"/>
      <c r="E85" s="1"/>
      <c r="F85" s="1"/>
      <c r="G85" s="1"/>
      <c r="H85" s="1"/>
      <c r="I85" s="1"/>
      <c r="J85" s="1"/>
      <c r="K85" s="3"/>
      <c r="L85" s="3"/>
      <c r="M85" s="3"/>
      <c r="N85" s="1"/>
      <c r="O85" s="1"/>
      <c r="P85" s="1"/>
      <c r="Q85" s="1"/>
      <c r="R85" s="1"/>
      <c r="S85" s="1"/>
      <c r="T85" s="1"/>
    </row>
    <row r="86" spans="4:20">
      <c r="D86" s="1"/>
      <c r="E86" s="1"/>
      <c r="F86" s="1"/>
      <c r="G86" s="1"/>
      <c r="H86" s="1"/>
      <c r="I86" s="1"/>
      <c r="J86" s="1"/>
      <c r="K86" s="3"/>
      <c r="L86" s="3"/>
      <c r="M86" s="3"/>
      <c r="N86" s="1"/>
      <c r="O86" s="1"/>
      <c r="P86" s="1"/>
      <c r="Q86" s="1"/>
      <c r="R86" s="1"/>
      <c r="S86" s="1"/>
      <c r="T86" s="1"/>
    </row>
    <row r="87" spans="4:20">
      <c r="D87" s="1"/>
      <c r="E87" s="1"/>
      <c r="F87" s="1"/>
      <c r="G87" s="1"/>
      <c r="H87" s="1"/>
      <c r="I87" s="1"/>
      <c r="J87" s="1"/>
      <c r="K87" s="3"/>
      <c r="L87" s="3"/>
      <c r="M87" s="3"/>
      <c r="N87" s="1"/>
      <c r="O87" s="1"/>
      <c r="P87" s="1"/>
      <c r="Q87" s="1"/>
      <c r="R87" s="1"/>
      <c r="S87" s="1"/>
      <c r="T87" s="1"/>
    </row>
    <row r="88" spans="4:20">
      <c r="D88" s="1"/>
      <c r="E88" s="1"/>
      <c r="F88" s="1"/>
      <c r="G88" s="1"/>
      <c r="H88" s="1"/>
      <c r="I88" s="1"/>
      <c r="J88" s="1"/>
      <c r="K88" s="3"/>
      <c r="L88" s="3"/>
      <c r="M88" s="3"/>
      <c r="N88" s="1"/>
      <c r="O88" s="1"/>
      <c r="P88" s="1"/>
      <c r="Q88" s="1"/>
      <c r="R88" s="1"/>
      <c r="S88" s="1"/>
      <c r="T88" s="1"/>
    </row>
    <row r="89" spans="4:20">
      <c r="D89" s="1"/>
      <c r="E89" s="1"/>
      <c r="F89" s="1"/>
      <c r="G89" s="1"/>
      <c r="H89" s="1"/>
      <c r="I89" s="1"/>
      <c r="J89" s="1"/>
      <c r="K89" s="3"/>
      <c r="L89" s="3"/>
      <c r="M89" s="3"/>
      <c r="N89" s="1"/>
      <c r="O89" s="1"/>
      <c r="P89" s="1"/>
      <c r="Q89" s="1"/>
      <c r="R89" s="1"/>
      <c r="S89" s="1"/>
      <c r="T89" s="1"/>
    </row>
    <row r="90" spans="4:20">
      <c r="D90" s="1"/>
      <c r="E90" s="1"/>
      <c r="F90" s="1"/>
      <c r="G90" s="1"/>
      <c r="H90" s="1"/>
      <c r="I90" s="1"/>
      <c r="J90" s="1"/>
      <c r="K90" s="3"/>
      <c r="L90" s="3"/>
      <c r="M90" s="3"/>
      <c r="N90" s="1"/>
      <c r="O90" s="1"/>
      <c r="P90" s="1"/>
      <c r="Q90" s="1"/>
      <c r="R90" s="1"/>
      <c r="S90" s="1"/>
      <c r="T90" s="1"/>
    </row>
    <row r="91" spans="4:20">
      <c r="D91" s="1"/>
      <c r="E91" s="1"/>
      <c r="F91" s="1"/>
      <c r="G91" s="1"/>
      <c r="H91" s="1"/>
      <c r="I91" s="1"/>
      <c r="J91" s="1"/>
      <c r="K91" s="3"/>
      <c r="L91" s="3"/>
      <c r="M91" s="3"/>
      <c r="N91" s="1"/>
      <c r="O91" s="1"/>
      <c r="P91" s="1"/>
      <c r="Q91" s="1"/>
      <c r="R91" s="1"/>
      <c r="S91" s="1"/>
      <c r="T91" s="1"/>
    </row>
    <row r="92" spans="4:20">
      <c r="D92" s="1"/>
      <c r="E92" s="1"/>
      <c r="F92" s="1"/>
      <c r="G92" s="1"/>
      <c r="H92" s="1"/>
      <c r="I92" s="1"/>
      <c r="J92" s="1"/>
      <c r="K92" s="3"/>
      <c r="L92" s="3"/>
      <c r="M92" s="3"/>
      <c r="N92" s="1"/>
      <c r="O92" s="1"/>
      <c r="P92" s="1"/>
      <c r="Q92" s="1"/>
      <c r="R92" s="1"/>
      <c r="S92" s="1"/>
      <c r="T92" s="1"/>
    </row>
    <row r="93" spans="4:20">
      <c r="D93" s="1"/>
      <c r="E93" s="1"/>
      <c r="F93" s="1"/>
      <c r="G93" s="1"/>
      <c r="H93" s="1"/>
      <c r="I93" s="1"/>
      <c r="J93" s="1"/>
      <c r="K93" s="3"/>
      <c r="L93" s="3"/>
      <c r="M93" s="3"/>
      <c r="N93" s="1"/>
      <c r="O93" s="1"/>
      <c r="P93" s="1"/>
      <c r="Q93" s="1"/>
      <c r="R93" s="1"/>
      <c r="S93" s="1"/>
      <c r="T93" s="1"/>
    </row>
    <row r="94" spans="4:20">
      <c r="D94" s="1"/>
      <c r="E94" s="1"/>
      <c r="F94" s="1"/>
      <c r="G94" s="1"/>
      <c r="H94" s="1"/>
      <c r="I94" s="1"/>
      <c r="J94" s="1"/>
      <c r="K94" s="3"/>
      <c r="L94" s="3"/>
      <c r="M94" s="3"/>
      <c r="N94" s="1"/>
      <c r="O94" s="1"/>
      <c r="P94" s="1"/>
      <c r="Q94" s="1"/>
      <c r="R94" s="1"/>
      <c r="S94" s="1"/>
      <c r="T94" s="1"/>
    </row>
    <row r="95" spans="4:20">
      <c r="D95" s="1"/>
      <c r="E95" s="1"/>
      <c r="F95" s="1"/>
      <c r="G95" s="1"/>
      <c r="H95" s="1"/>
      <c r="I95" s="1"/>
      <c r="J95" s="1"/>
      <c r="K95" s="3"/>
      <c r="L95" s="3"/>
      <c r="M95" s="3"/>
      <c r="N95" s="1"/>
      <c r="O95" s="1"/>
      <c r="P95" s="1"/>
      <c r="Q95" s="1"/>
      <c r="R95" s="1"/>
      <c r="S95" s="1"/>
      <c r="T95" s="1"/>
    </row>
    <row r="96" spans="4:20">
      <c r="D96" s="1"/>
      <c r="E96" s="1"/>
      <c r="F96" s="1"/>
      <c r="G96" s="1"/>
      <c r="H96" s="1"/>
      <c r="I96" s="1"/>
      <c r="J96" s="1"/>
      <c r="K96" s="3"/>
      <c r="L96" s="3"/>
      <c r="M96" s="3"/>
      <c r="N96" s="1"/>
      <c r="O96" s="1"/>
      <c r="P96" s="1"/>
      <c r="Q96" s="1"/>
      <c r="R96" s="1"/>
      <c r="S96" s="1"/>
      <c r="T96" s="1"/>
    </row>
    <row r="97" spans="4:20">
      <c r="D97" s="1"/>
      <c r="E97" s="1"/>
      <c r="F97" s="1"/>
      <c r="G97" s="1"/>
      <c r="H97" s="1"/>
      <c r="I97" s="1"/>
      <c r="J97" s="1"/>
      <c r="K97" s="3"/>
      <c r="L97" s="3"/>
      <c r="M97" s="3"/>
      <c r="N97" s="1"/>
      <c r="O97" s="1"/>
      <c r="P97" s="1"/>
      <c r="Q97" s="1"/>
      <c r="R97" s="1"/>
      <c r="S97" s="1"/>
      <c r="T97" s="1"/>
    </row>
    <row r="98" spans="4:20">
      <c r="D98" s="1"/>
      <c r="E98" s="1"/>
      <c r="F98" s="1"/>
      <c r="G98" s="1"/>
      <c r="H98" s="1"/>
      <c r="I98" s="1"/>
      <c r="J98" s="1"/>
      <c r="K98" s="3"/>
      <c r="L98" s="3"/>
      <c r="M98" s="3"/>
      <c r="N98" s="1"/>
      <c r="O98" s="1"/>
      <c r="P98" s="1"/>
      <c r="Q98" s="1"/>
      <c r="R98" s="1"/>
      <c r="S98" s="1"/>
      <c r="T98" s="1"/>
    </row>
    <row r="99" spans="4:20">
      <c r="D99" s="1"/>
      <c r="E99" s="1"/>
      <c r="F99" s="1"/>
      <c r="G99" s="1"/>
      <c r="H99" s="1"/>
      <c r="I99" s="1"/>
      <c r="J99" s="1"/>
      <c r="K99" s="3"/>
      <c r="L99" s="3"/>
      <c r="M99" s="3"/>
      <c r="N99" s="1"/>
      <c r="O99" s="1"/>
      <c r="P99" s="1"/>
      <c r="Q99" s="1"/>
      <c r="R99" s="1"/>
      <c r="S99" s="1"/>
      <c r="T99" s="1"/>
    </row>
    <row r="100" spans="4:20">
      <c r="D100" s="1"/>
      <c r="E100" s="1"/>
      <c r="F100" s="1"/>
      <c r="G100" s="1"/>
      <c r="H100" s="1"/>
      <c r="I100" s="1"/>
      <c r="J100" s="1"/>
      <c r="K100" s="3"/>
      <c r="L100" s="3"/>
      <c r="M100" s="3"/>
      <c r="N100" s="1"/>
      <c r="O100" s="1"/>
      <c r="P100" s="1"/>
      <c r="Q100" s="1"/>
      <c r="R100" s="1"/>
      <c r="S100" s="1"/>
      <c r="T100" s="1"/>
    </row>
    <row r="101" spans="4:20">
      <c r="D101" s="1"/>
      <c r="E101" s="1"/>
      <c r="F101" s="1"/>
      <c r="G101" s="1"/>
      <c r="H101" s="1"/>
      <c r="I101" s="1"/>
      <c r="J101" s="1"/>
      <c r="K101" s="3"/>
      <c r="L101" s="3"/>
      <c r="M101" s="3"/>
      <c r="N101" s="1"/>
      <c r="O101" s="1"/>
      <c r="P101" s="1"/>
      <c r="Q101" s="1"/>
      <c r="R101" s="1"/>
      <c r="S101" s="1"/>
      <c r="T101" s="1"/>
    </row>
    <row r="102" spans="4:20">
      <c r="D102" s="1"/>
      <c r="E102" s="1"/>
      <c r="F102" s="1"/>
      <c r="G102" s="1"/>
      <c r="H102" s="1"/>
      <c r="I102" s="1"/>
      <c r="J102" s="1"/>
      <c r="K102" s="3"/>
      <c r="L102" s="3"/>
      <c r="M102" s="3"/>
      <c r="N102" s="1"/>
      <c r="O102" s="1"/>
      <c r="P102" s="1"/>
      <c r="Q102" s="1"/>
      <c r="R102" s="1"/>
      <c r="S102" s="1"/>
      <c r="T102" s="1"/>
    </row>
    <row r="103" spans="4:20">
      <c r="D103" s="1"/>
      <c r="E103" s="1"/>
      <c r="F103" s="1"/>
      <c r="G103" s="1"/>
      <c r="H103" s="1"/>
      <c r="I103" s="1"/>
      <c r="J103" s="1"/>
      <c r="K103" s="3"/>
      <c r="L103" s="3"/>
      <c r="M103" s="3"/>
      <c r="N103" s="1"/>
      <c r="O103" s="1"/>
      <c r="P103" s="1"/>
      <c r="Q103" s="1"/>
      <c r="R103" s="1"/>
      <c r="S103" s="1"/>
      <c r="T103" s="1"/>
    </row>
    <row r="104" spans="4:20">
      <c r="D104" s="1"/>
      <c r="E104" s="1"/>
      <c r="F104" s="1"/>
      <c r="G104" s="1"/>
      <c r="H104" s="1"/>
      <c r="I104" s="1"/>
      <c r="J104" s="1"/>
      <c r="K104" s="3"/>
      <c r="L104" s="3"/>
      <c r="M104" s="3"/>
      <c r="N104" s="1"/>
      <c r="O104" s="1"/>
      <c r="P104" s="1"/>
      <c r="Q104" s="1"/>
      <c r="R104" s="1"/>
      <c r="S104" s="1"/>
      <c r="T104" s="1"/>
    </row>
    <row r="105" spans="4:20">
      <c r="D105" s="1"/>
      <c r="E105" s="1"/>
      <c r="F105" s="1"/>
      <c r="G105" s="1"/>
      <c r="H105" s="1"/>
      <c r="I105" s="1"/>
      <c r="J105" s="1"/>
      <c r="K105" s="3"/>
      <c r="L105" s="3"/>
      <c r="M105" s="3"/>
      <c r="N105" s="1"/>
      <c r="O105" s="1"/>
      <c r="P105" s="1"/>
      <c r="Q105" s="1"/>
      <c r="R105" s="1"/>
      <c r="S105" s="1"/>
      <c r="T105" s="1"/>
    </row>
    <row r="106" spans="4:20">
      <c r="D106" s="1"/>
      <c r="E106" s="1"/>
      <c r="F106" s="1"/>
      <c r="G106" s="1"/>
      <c r="H106" s="1"/>
      <c r="I106" s="1"/>
      <c r="J106" s="1"/>
      <c r="K106" s="3"/>
      <c r="L106" s="3"/>
      <c r="M106" s="3"/>
      <c r="N106" s="1"/>
      <c r="O106" s="1"/>
      <c r="P106" s="1"/>
      <c r="Q106" s="1"/>
      <c r="R106" s="1"/>
      <c r="S106" s="1"/>
      <c r="T106" s="1"/>
    </row>
    <row r="107" spans="4:20">
      <c r="D107" s="1"/>
      <c r="E107" s="1"/>
      <c r="F107" s="1"/>
      <c r="G107" s="1"/>
      <c r="H107" s="1"/>
      <c r="I107" s="1"/>
      <c r="J107" s="1"/>
      <c r="K107" s="3"/>
      <c r="L107" s="3"/>
      <c r="M107" s="3"/>
      <c r="N107" s="1"/>
      <c r="O107" s="1"/>
      <c r="P107" s="1"/>
      <c r="Q107" s="1"/>
      <c r="R107" s="1"/>
      <c r="S107" s="1"/>
      <c r="T107" s="1"/>
    </row>
    <row r="108" spans="4:20">
      <c r="D108" s="1"/>
      <c r="E108" s="1"/>
      <c r="F108" s="1"/>
      <c r="G108" s="1"/>
      <c r="H108" s="1"/>
      <c r="I108" s="1"/>
      <c r="J108" s="1"/>
      <c r="K108" s="3"/>
      <c r="L108" s="3"/>
      <c r="M108" s="3"/>
      <c r="N108" s="1"/>
      <c r="O108" s="1"/>
      <c r="P108" s="1"/>
      <c r="Q108" s="1"/>
      <c r="R108" s="1"/>
      <c r="S108" s="1"/>
      <c r="T108" s="1"/>
    </row>
    <row r="109" spans="4:20">
      <c r="D109" s="1"/>
      <c r="E109" s="1"/>
      <c r="F109" s="1"/>
      <c r="G109" s="1"/>
      <c r="H109" s="1"/>
      <c r="I109" s="1"/>
      <c r="J109" s="1"/>
      <c r="K109" s="3"/>
      <c r="L109" s="3"/>
      <c r="M109" s="3"/>
      <c r="N109" s="1"/>
      <c r="O109" s="1"/>
      <c r="P109" s="1"/>
      <c r="Q109" s="1"/>
      <c r="R109" s="1"/>
      <c r="S109" s="1"/>
      <c r="T109" s="1"/>
    </row>
    <row r="110" spans="4:20">
      <c r="D110" s="1"/>
      <c r="E110" s="1"/>
      <c r="F110" s="1"/>
      <c r="G110" s="1"/>
      <c r="H110" s="1"/>
      <c r="I110" s="1"/>
      <c r="J110" s="1"/>
      <c r="K110" s="3"/>
      <c r="L110" s="3"/>
      <c r="M110" s="3"/>
      <c r="N110" s="1"/>
      <c r="O110" s="1"/>
      <c r="P110" s="1"/>
      <c r="Q110" s="1"/>
      <c r="R110" s="1"/>
      <c r="S110" s="1"/>
      <c r="T110" s="1"/>
    </row>
    <row r="111" spans="4:20">
      <c r="D111" s="1"/>
      <c r="E111" s="1"/>
      <c r="F111" s="1"/>
      <c r="G111" s="1"/>
      <c r="H111" s="1"/>
      <c r="I111" s="1"/>
      <c r="J111" s="1"/>
      <c r="K111" s="3"/>
      <c r="L111" s="3"/>
      <c r="M111" s="3"/>
      <c r="N111" s="1"/>
      <c r="O111" s="1"/>
      <c r="P111" s="1"/>
      <c r="Q111" s="1"/>
      <c r="R111" s="1"/>
      <c r="S111" s="1"/>
      <c r="T111" s="1"/>
    </row>
    <row r="112" spans="4:20">
      <c r="D112" s="1"/>
      <c r="E112" s="1"/>
      <c r="F112" s="1"/>
      <c r="G112" s="1"/>
      <c r="H112" s="1"/>
      <c r="I112" s="1"/>
      <c r="J112" s="1"/>
      <c r="K112" s="3"/>
      <c r="L112" s="3"/>
      <c r="M112" s="3"/>
      <c r="N112" s="1"/>
      <c r="O112" s="1"/>
      <c r="P112" s="1"/>
      <c r="Q112" s="1"/>
      <c r="R112" s="1"/>
      <c r="S112" s="1"/>
      <c r="T112" s="1"/>
    </row>
    <row r="113" spans="4:20">
      <c r="D113" s="1"/>
      <c r="E113" s="1"/>
      <c r="F113" s="1"/>
      <c r="G113" s="1"/>
      <c r="H113" s="1"/>
      <c r="I113" s="1"/>
      <c r="J113" s="1"/>
      <c r="K113" s="3"/>
      <c r="L113" s="3"/>
      <c r="M113" s="3"/>
      <c r="N113" s="1"/>
      <c r="O113" s="1"/>
      <c r="P113" s="1"/>
      <c r="Q113" s="1"/>
      <c r="R113" s="1"/>
      <c r="S113" s="1"/>
      <c r="T113" s="1"/>
    </row>
    <row r="114" spans="4:20">
      <c r="D114" s="1"/>
      <c r="E114" s="1"/>
      <c r="F114" s="1"/>
      <c r="G114" s="1"/>
      <c r="H114" s="1"/>
      <c r="I114" s="1"/>
      <c r="J114" s="1"/>
      <c r="K114" s="3"/>
      <c r="L114" s="3"/>
      <c r="M114" s="3"/>
      <c r="N114" s="1"/>
      <c r="O114" s="1"/>
      <c r="P114" s="1"/>
      <c r="Q114" s="1"/>
      <c r="R114" s="1"/>
      <c r="S114" s="1"/>
      <c r="T114" s="1"/>
    </row>
    <row r="115" spans="4:20">
      <c r="D115" s="1"/>
      <c r="E115" s="1"/>
      <c r="F115" s="1"/>
      <c r="G115" s="1"/>
      <c r="H115" s="1"/>
      <c r="I115" s="1"/>
      <c r="J115" s="1"/>
      <c r="K115" s="3"/>
      <c r="L115" s="3"/>
      <c r="M115" s="3"/>
      <c r="N115" s="1"/>
      <c r="O115" s="1"/>
      <c r="P115" s="1"/>
      <c r="Q115" s="1"/>
      <c r="R115" s="1"/>
      <c r="S115" s="1"/>
      <c r="T115" s="1"/>
    </row>
    <row r="116" spans="4:20"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</row>
    <row r="117" spans="4:20"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</row>
    <row r="118" spans="4:20"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</row>
    <row r="119" spans="4:20"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</row>
    <row r="120" spans="4:20"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</row>
    <row r="121" spans="4:20"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</row>
    <row r="122" spans="4:20"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</row>
    <row r="123" spans="4:20"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</row>
    <row r="124" spans="4:20"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</row>
    <row r="125" spans="4:20"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</row>
    <row r="126" spans="4:20"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</row>
    <row r="127" spans="4:20"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</row>
    <row r="128" spans="4:20"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</row>
    <row r="129" spans="4:20"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</row>
    <row r="130" spans="4:20"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</row>
    <row r="131" spans="4:20"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</row>
    <row r="132" spans="4:20"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</row>
    <row r="133" spans="4:20"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</row>
    <row r="134" spans="4:20"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</row>
    <row r="135" spans="4:20"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</row>
    <row r="136" spans="4:20"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</row>
    <row r="137" spans="4:20"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</row>
    <row r="138" spans="4:20"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</row>
    <row r="139" spans="4:20"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</row>
    <row r="140" spans="4:20"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</row>
    <row r="141" spans="4:20"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</row>
    <row r="142" spans="4:20"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</row>
    <row r="143" spans="4:20"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</row>
    <row r="144" spans="4:20"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</row>
    <row r="145" spans="4:20"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</row>
    <row r="146" spans="4:20"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</row>
    <row r="147" spans="4:20"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</row>
    <row r="148" spans="4:20"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</row>
    <row r="149" spans="4:20"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</row>
    <row r="150" spans="4:20"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</row>
    <row r="151" spans="4:20"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</row>
    <row r="152" spans="4:20"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</row>
    <row r="153" spans="4:20"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</row>
    <row r="154" spans="4:20"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</row>
    <row r="155" spans="4:20"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</row>
    <row r="156" spans="4:20"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</row>
    <row r="157" spans="4:20"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</row>
    <row r="158" spans="4:20"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</row>
    <row r="159" spans="4:20"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</row>
    <row r="160" spans="4:20"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</row>
    <row r="161" spans="4:20"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</row>
    <row r="162" spans="4:20"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</row>
    <row r="163" spans="4:20"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</row>
    <row r="164" spans="4:20"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</row>
    <row r="165" spans="4:20"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</row>
    <row r="166" spans="4:20"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</row>
    <row r="167" spans="4:20"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</row>
    <row r="168" spans="4:20"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</row>
    <row r="169" spans="4:20"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</row>
    <row r="170" spans="4:20"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</row>
    <row r="171" spans="4:20"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</row>
    <row r="172" spans="4:20"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</row>
    <row r="173" spans="4:20"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</row>
    <row r="174" spans="4:20"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</row>
    <row r="175" spans="4:20"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</row>
    <row r="176" spans="4:20"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</row>
    <row r="177" spans="4:20"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</row>
    <row r="178" spans="4:20"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</row>
    <row r="179" spans="4:20"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</row>
    <row r="180" spans="4:20"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</row>
    <row r="181" spans="4:20"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</row>
    <row r="182" spans="4:20"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</row>
    <row r="183" spans="4:20"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</row>
    <row r="184" spans="4:20"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</row>
    <row r="185" spans="4:20"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</row>
    <row r="186" spans="4:20"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</row>
    <row r="187" spans="4:20"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</row>
    <row r="188" spans="4:20"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</row>
    <row r="189" spans="4:20"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</row>
    <row r="190" spans="4:20"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</row>
    <row r="191" spans="4:20"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</row>
    <row r="192" spans="4:20"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</row>
    <row r="193" spans="4:20"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</row>
    <row r="194" spans="4:20"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</row>
    <row r="195" spans="4:20"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</row>
    <row r="196" spans="4:20"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</row>
    <row r="197" spans="4:20"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</row>
  </sheetData>
  <mergeCells count="7">
    <mergeCell ref="B2:P2"/>
    <mergeCell ref="B3:P3"/>
    <mergeCell ref="B4:P4"/>
    <mergeCell ref="G8:I8"/>
    <mergeCell ref="D7:I7"/>
    <mergeCell ref="K7:P7"/>
    <mergeCell ref="N8:P8"/>
  </mergeCells>
  <printOptions horizontalCentered="1"/>
  <pageMargins left="0.1" right="0.1" top="0.5" bottom="0.5" header="0.5" footer="0.25"/>
  <pageSetup orientation="landscape" verticalDpi="300" r:id="rId1"/>
  <headerFooter alignWithMargins="0">
    <oddFooter>&amp;L&amp;8Capital Charge / Allocated Expenses
&amp;D &amp;T&amp;R&amp;8&amp;F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AN119"/>
  <sheetViews>
    <sheetView workbookViewId="0">
      <selection activeCell="D13" sqref="D13"/>
    </sheetView>
  </sheetViews>
  <sheetFormatPr defaultRowHeight="12.75"/>
  <cols>
    <col min="1" max="1" width="16.85546875" style="10" customWidth="1"/>
    <col min="2" max="2" width="31.85546875" bestFit="1" customWidth="1"/>
    <col min="3" max="3" width="1.7109375" customWidth="1"/>
    <col min="4" max="6" width="10.7109375" customWidth="1"/>
    <col min="7" max="7" width="1.7109375" customWidth="1"/>
    <col min="8" max="10" width="10.7109375" customWidth="1"/>
    <col min="11" max="11" width="1.7109375" customWidth="1"/>
    <col min="12" max="14" width="10.7109375" customWidth="1"/>
  </cols>
  <sheetData>
    <row r="1" spans="1:40" ht="15.75">
      <c r="A1" s="10" t="s">
        <v>43</v>
      </c>
      <c r="B1" s="335" t="s">
        <v>70</v>
      </c>
      <c r="C1" s="335"/>
      <c r="D1" s="335"/>
      <c r="E1" s="335"/>
      <c r="F1" s="335"/>
      <c r="G1" s="335"/>
      <c r="H1" s="335"/>
      <c r="I1" s="335"/>
      <c r="J1" s="335"/>
      <c r="K1" s="335"/>
      <c r="L1" s="335"/>
      <c r="M1" s="335"/>
      <c r="N1" s="335"/>
    </row>
    <row r="2" spans="1:40" ht="15">
      <c r="A2" s="10" t="s">
        <v>45</v>
      </c>
      <c r="B2" s="336" t="s">
        <v>67</v>
      </c>
      <c r="C2" s="336"/>
      <c r="D2" s="336"/>
      <c r="E2" s="336"/>
      <c r="F2" s="336"/>
      <c r="G2" s="336"/>
      <c r="H2" s="336"/>
      <c r="I2" s="336"/>
      <c r="J2" s="336"/>
      <c r="K2" s="336"/>
      <c r="L2" s="336"/>
      <c r="M2" s="336"/>
      <c r="N2" s="336"/>
    </row>
    <row r="3" spans="1:40">
      <c r="A3" s="10" t="s">
        <v>46</v>
      </c>
      <c r="B3" s="337"/>
      <c r="C3" s="337"/>
      <c r="D3" s="337"/>
      <c r="E3" s="337"/>
      <c r="F3" s="337"/>
      <c r="G3" s="337"/>
      <c r="H3" s="337"/>
      <c r="I3" s="337"/>
      <c r="J3" s="337"/>
      <c r="K3" s="337"/>
      <c r="L3" s="337"/>
      <c r="M3" s="337"/>
      <c r="N3" s="337"/>
    </row>
    <row r="4" spans="1:40" ht="3" customHeight="1">
      <c r="A4" s="11">
        <v>36586</v>
      </c>
    </row>
    <row r="5" spans="1:40">
      <c r="A5" s="11">
        <v>36770</v>
      </c>
      <c r="B5" s="4"/>
      <c r="D5" s="7"/>
      <c r="E5" s="8"/>
      <c r="F5" s="9"/>
      <c r="G5" s="1"/>
      <c r="H5" s="7"/>
      <c r="I5" s="8"/>
      <c r="J5" s="9"/>
      <c r="K5" s="1"/>
      <c r="L5" s="7"/>
      <c r="M5" s="8"/>
      <c r="N5" s="9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</row>
    <row r="6" spans="1:40">
      <c r="A6" s="10" t="s">
        <v>22</v>
      </c>
      <c r="B6" s="5"/>
      <c r="D6" s="332" t="s">
        <v>65</v>
      </c>
      <c r="E6" s="333"/>
      <c r="F6" s="334"/>
      <c r="G6" s="1"/>
      <c r="H6" s="332" t="s">
        <v>66</v>
      </c>
      <c r="I6" s="333"/>
      <c r="J6" s="334"/>
      <c r="K6" s="1"/>
      <c r="L6" s="332" t="s">
        <v>38</v>
      </c>
      <c r="M6" s="333"/>
      <c r="N6" s="334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</row>
    <row r="7" spans="1:40">
      <c r="A7" s="10" t="s">
        <v>47</v>
      </c>
      <c r="B7" s="6" t="s">
        <v>9</v>
      </c>
      <c r="D7" s="75" t="s">
        <v>27</v>
      </c>
      <c r="E7" s="75" t="s">
        <v>28</v>
      </c>
      <c r="F7" s="75" t="s">
        <v>7</v>
      </c>
      <c r="G7" s="1"/>
      <c r="H7" s="58" t="s">
        <v>27</v>
      </c>
      <c r="I7" s="58" t="s">
        <v>28</v>
      </c>
      <c r="J7" s="58" t="s">
        <v>7</v>
      </c>
      <c r="K7" s="1"/>
      <c r="L7" s="58" t="s">
        <v>27</v>
      </c>
      <c r="M7" s="58" t="s">
        <v>28</v>
      </c>
      <c r="N7" s="58" t="s">
        <v>7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</row>
    <row r="8" spans="1:40" ht="3" customHeight="1">
      <c r="B8" s="4"/>
      <c r="D8" s="7"/>
      <c r="E8" s="8"/>
      <c r="F8" s="9"/>
      <c r="G8" s="1"/>
      <c r="H8" s="7"/>
      <c r="I8" s="8"/>
      <c r="J8" s="9"/>
      <c r="K8" s="1"/>
      <c r="L8" s="7"/>
      <c r="M8" s="8"/>
      <c r="N8" s="9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</row>
    <row r="9" spans="1:40" ht="13.5" customHeight="1">
      <c r="B9" s="129" t="s">
        <v>68</v>
      </c>
      <c r="C9" s="50"/>
      <c r="D9" s="160">
        <v>0</v>
      </c>
      <c r="E9" s="161">
        <v>0</v>
      </c>
      <c r="F9" s="162">
        <f t="shared" ref="F9:F16" si="0">+D9+E9</f>
        <v>0</v>
      </c>
      <c r="G9" s="52"/>
      <c r="H9" s="160">
        <v>0</v>
      </c>
      <c r="I9" s="161">
        <v>0</v>
      </c>
      <c r="J9" s="162">
        <f t="shared" ref="J9:J16" si="1">+H9+I9</f>
        <v>0</v>
      </c>
      <c r="K9" s="50"/>
      <c r="L9" s="160">
        <f t="shared" ref="L9:L16" si="2">+D9-H9</f>
        <v>0</v>
      </c>
      <c r="M9" s="161">
        <f t="shared" ref="M9:M16" si="3">+E9-I9</f>
        <v>0</v>
      </c>
      <c r="N9" s="162">
        <f t="shared" ref="N9:N16" si="4">+L9+M9</f>
        <v>0</v>
      </c>
      <c r="O9" s="50"/>
      <c r="P9" s="31"/>
      <c r="Q9" s="31"/>
      <c r="R9" s="3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</row>
    <row r="10" spans="1:40" ht="13.5" customHeight="1">
      <c r="A10" s="10" t="s">
        <v>18</v>
      </c>
      <c r="B10" s="129" t="s">
        <v>1</v>
      </c>
      <c r="C10" s="50"/>
      <c r="D10" s="160" t="e">
        <f ca="1">_xll.HPVAL($A10,$A$18,$A$2,$A$5,$A$6,$A$7)</f>
        <v>#NAME?</v>
      </c>
      <c r="E10" s="161" t="e">
        <f ca="1">_xll.HPVAL($A10,$A$18,$A$3,$A$5,$A$6,$A$7)</f>
        <v>#NAME?</v>
      </c>
      <c r="F10" s="162" t="e">
        <f t="shared" ca="1" si="0"/>
        <v>#NAME?</v>
      </c>
      <c r="G10" s="52"/>
      <c r="H10" s="160" t="e">
        <f ca="1">_xll.HPVAL($A10,$A$1,$A$2,$A$5,$A$6,$A$7)</f>
        <v>#NAME?</v>
      </c>
      <c r="I10" s="161" t="e">
        <f ca="1">_xll.HPVAL($A10,$A$1,$A$3,$A$5,$A$6,$A$7)</f>
        <v>#NAME?</v>
      </c>
      <c r="J10" s="162" t="e">
        <f t="shared" ca="1" si="1"/>
        <v>#NAME?</v>
      </c>
      <c r="K10" s="50"/>
      <c r="L10" s="160" t="e">
        <f t="shared" ca="1" si="2"/>
        <v>#NAME?</v>
      </c>
      <c r="M10" s="161" t="e">
        <f t="shared" ca="1" si="3"/>
        <v>#NAME?</v>
      </c>
      <c r="N10" s="162" t="e">
        <f t="shared" ca="1" si="4"/>
        <v>#NAME?</v>
      </c>
      <c r="O10" s="50"/>
      <c r="P10" s="31"/>
      <c r="Q10" s="31"/>
      <c r="R10" s="3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</row>
    <row r="11" spans="1:40" ht="13.5" customHeight="1">
      <c r="A11" s="10" t="s">
        <v>0</v>
      </c>
      <c r="B11" s="129" t="s">
        <v>44</v>
      </c>
      <c r="C11" s="50"/>
      <c r="D11" s="160" t="e">
        <f ca="1">_xll.HPVAL($A11,$A$18,$A$2,$A$5,$A$6,$A$7)</f>
        <v>#NAME?</v>
      </c>
      <c r="E11" s="161" t="e">
        <f ca="1">_xll.HPVAL($A11,$A$18,$A$3,$A$5,$A$6,$A$7)</f>
        <v>#NAME?</v>
      </c>
      <c r="F11" s="162" t="e">
        <f t="shared" ca="1" si="0"/>
        <v>#NAME?</v>
      </c>
      <c r="G11" s="52"/>
      <c r="H11" s="160" t="e">
        <f ca="1">_xll.HPVAL($A11,$A$1,$A$2,$A$5,$A$6,$A$7)</f>
        <v>#NAME?</v>
      </c>
      <c r="I11" s="161" t="e">
        <f ca="1">_xll.HPVAL($A11,$A$1,$A$3,$A$5,$A$6,$A$7)</f>
        <v>#NAME?</v>
      </c>
      <c r="J11" s="162" t="e">
        <f t="shared" ca="1" si="1"/>
        <v>#NAME?</v>
      </c>
      <c r="K11" s="50"/>
      <c r="L11" s="160" t="e">
        <f t="shared" ca="1" si="2"/>
        <v>#NAME?</v>
      </c>
      <c r="M11" s="161" t="e">
        <f t="shared" ca="1" si="3"/>
        <v>#NAME?</v>
      </c>
      <c r="N11" s="162" t="e">
        <f t="shared" ca="1" si="4"/>
        <v>#NAME?</v>
      </c>
      <c r="O11" s="50"/>
      <c r="P11" s="31"/>
      <c r="Q11" s="31"/>
      <c r="R11" s="3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</row>
    <row r="12" spans="1:40" ht="13.5" customHeight="1">
      <c r="A12" s="10" t="s">
        <v>20</v>
      </c>
      <c r="B12" s="129" t="s">
        <v>64</v>
      </c>
      <c r="C12" s="50"/>
      <c r="D12" s="160" t="e">
        <f ca="1">_xll.HPVAL($A12,$A$18,$A$2,$A$5,$A$6,$A$7)</f>
        <v>#NAME?</v>
      </c>
      <c r="E12" s="161" t="e">
        <f ca="1">_xll.HPVAL($A12,$A$18,$A$3,$A$5,$A$6,$A$7)</f>
        <v>#NAME?</v>
      </c>
      <c r="F12" s="162" t="e">
        <f t="shared" ca="1" si="0"/>
        <v>#NAME?</v>
      </c>
      <c r="G12" s="52"/>
      <c r="H12" s="160" t="e">
        <f ca="1">_xll.HPVAL($A12,$A$1,$A$2,$A$5,$A$6,$A$7)</f>
        <v>#NAME?</v>
      </c>
      <c r="I12" s="161" t="e">
        <f ca="1">_xll.HPVAL($A12,$A$1,$A$3,$A$5,$A$6,$A$7)</f>
        <v>#NAME?</v>
      </c>
      <c r="J12" s="162" t="e">
        <f t="shared" ca="1" si="1"/>
        <v>#NAME?</v>
      </c>
      <c r="K12" s="50"/>
      <c r="L12" s="160" t="e">
        <f t="shared" ca="1" si="2"/>
        <v>#NAME?</v>
      </c>
      <c r="M12" s="161" t="e">
        <f t="shared" ca="1" si="3"/>
        <v>#NAME?</v>
      </c>
      <c r="N12" s="162" t="e">
        <f t="shared" ca="1" si="4"/>
        <v>#NAME?</v>
      </c>
      <c r="O12" s="50"/>
      <c r="P12" s="31"/>
      <c r="Q12" s="31"/>
      <c r="R12" s="3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</row>
    <row r="13" spans="1:40" ht="13.5" customHeight="1">
      <c r="A13" s="10" t="s">
        <v>42</v>
      </c>
      <c r="B13" s="129" t="s">
        <v>58</v>
      </c>
      <c r="C13" s="50"/>
      <c r="D13" s="160" t="e">
        <f ca="1">_xll.HPVAL($A13,$A$18,$A$2,$A$5,$A$6,$A$7)</f>
        <v>#NAME?</v>
      </c>
      <c r="E13" s="161" t="e">
        <f ca="1">_xll.HPVAL($A13,$A$18,$A$3,$A$5,$A$6,$A$7)</f>
        <v>#NAME?</v>
      </c>
      <c r="F13" s="162" t="e">
        <f t="shared" ca="1" si="0"/>
        <v>#NAME?</v>
      </c>
      <c r="G13" s="52"/>
      <c r="H13" s="160" t="e">
        <f ca="1">_xll.HPVAL($A13,$A$1,$A$2,$A$5,$A$6,$A$7)</f>
        <v>#NAME?</v>
      </c>
      <c r="I13" s="161" t="e">
        <f ca="1">_xll.HPVAL($A13,$A$1,$A$3,$A$5,$A$6,$A$7)</f>
        <v>#NAME?</v>
      </c>
      <c r="J13" s="162" t="e">
        <f t="shared" ca="1" si="1"/>
        <v>#NAME?</v>
      </c>
      <c r="K13" s="50"/>
      <c r="L13" s="160" t="e">
        <f t="shared" ca="1" si="2"/>
        <v>#NAME?</v>
      </c>
      <c r="M13" s="161" t="e">
        <f t="shared" ca="1" si="3"/>
        <v>#NAME?</v>
      </c>
      <c r="N13" s="162" t="e">
        <f t="shared" ca="1" si="4"/>
        <v>#NAME?</v>
      </c>
      <c r="O13" s="50"/>
      <c r="P13" s="31"/>
      <c r="Q13" s="31"/>
      <c r="R13" s="3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</row>
    <row r="14" spans="1:40" ht="13.5" customHeight="1">
      <c r="A14" s="10" t="s">
        <v>19</v>
      </c>
      <c r="B14" s="129" t="s">
        <v>50</v>
      </c>
      <c r="C14" s="50"/>
      <c r="D14" s="160" t="e">
        <f ca="1">_xll.HPVAL($A14,$A$18,$A$2,$A$5,$A$6,$A$7)</f>
        <v>#NAME?</v>
      </c>
      <c r="E14" s="161" t="e">
        <f ca="1">_xll.HPVAL($A14,$A$18,$A$3,$A$5,$A$6,$A$7)</f>
        <v>#NAME?</v>
      </c>
      <c r="F14" s="162" t="e">
        <f t="shared" ca="1" si="0"/>
        <v>#NAME?</v>
      </c>
      <c r="G14" s="52"/>
      <c r="H14" s="160" t="e">
        <f ca="1">_xll.HPVAL($A14,$A$1,$A$2,$A$5,$A$6,$A$7)</f>
        <v>#NAME?</v>
      </c>
      <c r="I14" s="161" t="e">
        <f ca="1">_xll.HPVAL($A14,$A$1,$A$3,$A$5,$A$6,$A$7)</f>
        <v>#NAME?</v>
      </c>
      <c r="J14" s="162" t="e">
        <f t="shared" ca="1" si="1"/>
        <v>#NAME?</v>
      </c>
      <c r="K14" s="50"/>
      <c r="L14" s="160" t="e">
        <f t="shared" ca="1" si="2"/>
        <v>#NAME?</v>
      </c>
      <c r="M14" s="161" t="e">
        <f t="shared" ca="1" si="3"/>
        <v>#NAME?</v>
      </c>
      <c r="N14" s="162" t="e">
        <f t="shared" ca="1" si="4"/>
        <v>#NAME?</v>
      </c>
      <c r="O14" s="50"/>
      <c r="P14" s="31"/>
      <c r="Q14" s="31"/>
      <c r="R14" s="3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</row>
    <row r="15" spans="1:40" ht="13.5" customHeight="1">
      <c r="A15" s="50"/>
      <c r="B15" s="129" t="s">
        <v>2</v>
      </c>
      <c r="C15" s="50"/>
      <c r="D15" s="160">
        <v>0</v>
      </c>
      <c r="E15" s="161">
        <v>0</v>
      </c>
      <c r="F15" s="162">
        <f t="shared" si="0"/>
        <v>0</v>
      </c>
      <c r="G15" s="52"/>
      <c r="H15" s="160">
        <v>0</v>
      </c>
      <c r="I15" s="161">
        <v>0</v>
      </c>
      <c r="J15" s="162">
        <f t="shared" si="1"/>
        <v>0</v>
      </c>
      <c r="K15" s="50"/>
      <c r="L15" s="160">
        <f t="shared" si="2"/>
        <v>0</v>
      </c>
      <c r="M15" s="161">
        <f t="shared" si="3"/>
        <v>0</v>
      </c>
      <c r="N15" s="162">
        <f t="shared" si="4"/>
        <v>0</v>
      </c>
      <c r="O15" s="50"/>
      <c r="P15" s="31"/>
      <c r="Q15" s="31"/>
      <c r="R15" s="3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</row>
    <row r="16" spans="1:40" ht="13.5" customHeight="1">
      <c r="A16" s="10" t="s">
        <v>21</v>
      </c>
      <c r="B16" s="129" t="s">
        <v>23</v>
      </c>
      <c r="C16" s="50"/>
      <c r="D16" s="160">
        <v>0</v>
      </c>
      <c r="E16" s="161">
        <v>0</v>
      </c>
      <c r="F16" s="162">
        <f t="shared" si="0"/>
        <v>0</v>
      </c>
      <c r="G16" s="52"/>
      <c r="H16" s="160">
        <v>0</v>
      </c>
      <c r="I16" s="161">
        <v>0</v>
      </c>
      <c r="J16" s="162">
        <f t="shared" si="1"/>
        <v>0</v>
      </c>
      <c r="K16" s="50"/>
      <c r="L16" s="160">
        <f t="shared" si="2"/>
        <v>0</v>
      </c>
      <c r="M16" s="161">
        <f t="shared" si="3"/>
        <v>0</v>
      </c>
      <c r="N16" s="162">
        <f t="shared" si="4"/>
        <v>0</v>
      </c>
      <c r="O16" s="50"/>
      <c r="P16" s="31"/>
      <c r="Q16" s="31"/>
      <c r="R16" s="3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</row>
    <row r="17" spans="1:40" ht="3" customHeight="1">
      <c r="A17" s="10" t="s">
        <v>21</v>
      </c>
      <c r="B17" s="129"/>
      <c r="C17" s="50"/>
      <c r="D17" s="160"/>
      <c r="E17" s="161"/>
      <c r="F17" s="162"/>
      <c r="G17" s="52"/>
      <c r="H17" s="160"/>
      <c r="I17" s="161"/>
      <c r="J17" s="162"/>
      <c r="K17" s="50"/>
      <c r="L17" s="160"/>
      <c r="M17" s="161"/>
      <c r="N17" s="162"/>
      <c r="O17" s="50"/>
      <c r="P17" s="31"/>
      <c r="Q17" s="31"/>
      <c r="R17" s="3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</row>
    <row r="18" spans="1:40" s="31" customFormat="1" ht="11.25" customHeight="1">
      <c r="A18" s="10" t="s">
        <v>37</v>
      </c>
      <c r="B18" s="51" t="s">
        <v>78</v>
      </c>
      <c r="C18" s="50"/>
      <c r="D18" s="76" t="e">
        <f ca="1">SUM(D9:D17)</f>
        <v>#NAME?</v>
      </c>
      <c r="E18" s="77" t="e">
        <f ca="1">SUM(E9:E17)</f>
        <v>#NAME?</v>
      </c>
      <c r="F18" s="78" t="e">
        <f ca="1">SUM(F9:F16)</f>
        <v>#NAME?</v>
      </c>
      <c r="G18" s="52"/>
      <c r="H18" s="76" t="e">
        <f ca="1">SUM(H9:H17)</f>
        <v>#NAME?</v>
      </c>
      <c r="I18" s="77" t="e">
        <f ca="1">SUM(I9:I17)</f>
        <v>#NAME?</v>
      </c>
      <c r="J18" s="78" t="e">
        <f ca="1">SUM(J9:J16)</f>
        <v>#NAME?</v>
      </c>
      <c r="K18" s="50"/>
      <c r="L18" s="76" t="e">
        <f ca="1">SUM(L9:L17)</f>
        <v>#NAME?</v>
      </c>
      <c r="M18" s="77" t="e">
        <f ca="1">SUM(M9:M17)</f>
        <v>#NAME?</v>
      </c>
      <c r="N18" s="78" t="e">
        <f ca="1">SUM(N9:N16)</f>
        <v>#NAME?</v>
      </c>
      <c r="O18" s="50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</row>
    <row r="19" spans="1:40" ht="3" customHeight="1">
      <c r="A19" s="50"/>
      <c r="B19" s="147"/>
      <c r="C19" s="50"/>
      <c r="D19" s="148"/>
      <c r="E19" s="149"/>
      <c r="F19" s="150"/>
      <c r="G19" s="50"/>
      <c r="H19" s="148"/>
      <c r="I19" s="149"/>
      <c r="J19" s="150"/>
      <c r="K19" s="50"/>
      <c r="L19" s="148"/>
      <c r="M19" s="149"/>
      <c r="N19" s="150"/>
      <c r="O19" s="50"/>
      <c r="P19" s="31"/>
      <c r="Q19" s="31"/>
      <c r="R19" s="3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</row>
    <row r="20" spans="1:40">
      <c r="B20" s="50"/>
      <c r="C20" s="50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31"/>
      <c r="Q20" s="31"/>
      <c r="R20" s="3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</row>
    <row r="21" spans="1:40"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</row>
    <row r="22" spans="1:40"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</row>
    <row r="23" spans="1:40"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</row>
    <row r="24" spans="1:40"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</row>
    <row r="25" spans="1:40"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</row>
    <row r="26" spans="1:40"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</row>
    <row r="27" spans="1:40"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</row>
    <row r="28" spans="1:40"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</row>
    <row r="29" spans="1:40"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</row>
    <row r="30" spans="1:40"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</row>
    <row r="31" spans="1:40"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</row>
    <row r="32" spans="1:40"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</row>
    <row r="33" spans="4:40"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</row>
    <row r="34" spans="4:40"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</row>
    <row r="35" spans="4:40"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</row>
    <row r="36" spans="4:40"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</row>
    <row r="37" spans="4:40"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</row>
    <row r="38" spans="4:40"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</row>
    <row r="39" spans="4:40"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</row>
    <row r="40" spans="4:40"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</row>
    <row r="41" spans="4:40"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</row>
    <row r="42" spans="4:40"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</row>
    <row r="43" spans="4:40"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</row>
    <row r="44" spans="4:40"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</row>
    <row r="45" spans="4:40"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</row>
    <row r="46" spans="4:40"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</row>
    <row r="47" spans="4:40"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</row>
    <row r="48" spans="4:40"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</row>
    <row r="49" spans="4:40"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</row>
    <row r="50" spans="4:40"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</row>
    <row r="51" spans="4:40"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</row>
    <row r="52" spans="4:40"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</row>
    <row r="53" spans="4:40"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</row>
    <row r="54" spans="4:40"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</row>
    <row r="55" spans="4:40"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</row>
    <row r="56" spans="4:40"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</row>
    <row r="57" spans="4:40"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</row>
    <row r="58" spans="4:40"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</row>
    <row r="59" spans="4:40"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</row>
    <row r="60" spans="4:40"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</row>
    <row r="61" spans="4:40"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</row>
    <row r="62" spans="4:40"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</row>
    <row r="63" spans="4:40"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</row>
    <row r="64" spans="4:40"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</row>
    <row r="65" spans="4:40"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</row>
    <row r="66" spans="4:40"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</row>
    <row r="67" spans="4:40"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</row>
    <row r="68" spans="4:40"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</row>
    <row r="69" spans="4:40"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</row>
    <row r="70" spans="4:40"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</row>
    <row r="71" spans="4:40"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</row>
    <row r="72" spans="4:40"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</row>
    <row r="73" spans="4:40"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</row>
    <row r="74" spans="4:40"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</row>
    <row r="75" spans="4:40"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</row>
    <row r="76" spans="4:40"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</row>
    <row r="77" spans="4:40"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</row>
    <row r="78" spans="4:40"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</row>
    <row r="79" spans="4:40"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</row>
    <row r="80" spans="4:40"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</row>
    <row r="81" spans="4:40"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</row>
    <row r="82" spans="4:40"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</row>
    <row r="83" spans="4:40"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</row>
    <row r="84" spans="4:40"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</row>
    <row r="85" spans="4:40"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</row>
    <row r="86" spans="4:40"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</row>
    <row r="87" spans="4:40"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</row>
    <row r="88" spans="4:40"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</row>
    <row r="89" spans="4:40"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</row>
    <row r="90" spans="4:40"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</row>
    <row r="91" spans="4:40"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</row>
    <row r="92" spans="4:40"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</row>
    <row r="93" spans="4:40"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</row>
    <row r="94" spans="4:40"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</row>
    <row r="95" spans="4:40"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</row>
    <row r="96" spans="4:40"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</row>
    <row r="97" spans="4:40"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</row>
    <row r="98" spans="4:40"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</row>
    <row r="99" spans="4:40"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</row>
    <row r="100" spans="4:40"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</row>
    <row r="101" spans="4:40"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</row>
    <row r="102" spans="4:40"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</row>
    <row r="103" spans="4:40"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</row>
    <row r="104" spans="4:40"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</row>
    <row r="105" spans="4:40"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</row>
    <row r="106" spans="4:40"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</row>
    <row r="107" spans="4:40"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</row>
    <row r="108" spans="4:40"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</row>
    <row r="109" spans="4:40"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</row>
    <row r="110" spans="4:40"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</row>
    <row r="111" spans="4:40"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</row>
    <row r="112" spans="4:40"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</row>
    <row r="113" spans="4:40"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</row>
    <row r="114" spans="4:40"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</row>
    <row r="115" spans="4:40"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</row>
    <row r="116" spans="4:40"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</row>
    <row r="117" spans="4:40"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</row>
    <row r="118" spans="4:40"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</row>
    <row r="119" spans="4:40"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</row>
  </sheetData>
  <mergeCells count="6">
    <mergeCell ref="D6:F6"/>
    <mergeCell ref="H6:J6"/>
    <mergeCell ref="B1:N1"/>
    <mergeCell ref="B2:N2"/>
    <mergeCell ref="B3:N3"/>
    <mergeCell ref="L6:N6"/>
  </mergeCells>
  <printOptions horizontalCentered="1"/>
  <pageMargins left="0.25" right="0.25" top="0.5" bottom="0.5" header="0.25" footer="0.25"/>
  <pageSetup orientation="landscape" verticalDpi="300" r:id="rId1"/>
  <headerFooter alignWithMargins="0">
    <oddFooter>&amp;L&amp;8&amp;A
&amp;D &amp;T&amp;R&amp;8&amp;F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9</vt:i4>
      </vt:variant>
    </vt:vector>
  </HeadingPairs>
  <TitlesOfParts>
    <vt:vector size="18" baseType="lpstr">
      <vt:lpstr>YTD Mgmt Summary</vt:lpstr>
      <vt:lpstr>QTD Mgmt Summary</vt:lpstr>
      <vt:lpstr>Mgmt Summary</vt:lpstr>
      <vt:lpstr>GM-WeeklyChnge</vt:lpstr>
      <vt:lpstr>GrossMargin</vt:lpstr>
      <vt:lpstr>Expenses</vt:lpstr>
      <vt:lpstr>Expense Weekly Change</vt:lpstr>
      <vt:lpstr>CapChrg-AllocExp</vt:lpstr>
      <vt:lpstr>Headcount</vt:lpstr>
      <vt:lpstr>nr_Mgmt_Summary</vt:lpstr>
      <vt:lpstr>'CapChrg-AllocExp'!Print_Area</vt:lpstr>
      <vt:lpstr>'Expense Weekly Change'!Print_Area</vt:lpstr>
      <vt:lpstr>Expenses!Print_Area</vt:lpstr>
      <vt:lpstr>'GM-WeeklyChnge'!Print_Area</vt:lpstr>
      <vt:lpstr>GrossMargin!Print_Area</vt:lpstr>
      <vt:lpstr>Headcount!Print_Area</vt:lpstr>
      <vt:lpstr>'Mgmt Summary'!Print_Area</vt:lpstr>
      <vt:lpstr>'QTD Mgmt Summary'!Print_Area</vt:lpstr>
    </vt:vector>
  </TitlesOfParts>
  <Company>EGM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Patricia Anderson</dc:creator>
  <cp:lastModifiedBy>Felienne</cp:lastModifiedBy>
  <cp:lastPrinted>2001-01-12T20:10:26Z</cp:lastPrinted>
  <dcterms:created xsi:type="dcterms:W3CDTF">1999-10-18T12:36:30Z</dcterms:created>
  <dcterms:modified xsi:type="dcterms:W3CDTF">2014-09-05T10:49:32Z</dcterms:modified>
</cp:coreProperties>
</file>