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152511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 s="1"/>
  <c r="K11" i="4"/>
  <c r="K12" i="4"/>
  <c r="M12" i="4" s="1"/>
  <c r="U11" i="1" s="1"/>
  <c r="D13" i="4"/>
  <c r="F13" i="4" s="1"/>
  <c r="K13" i="4"/>
  <c r="M13" i="4" s="1"/>
  <c r="U12" i="1" s="1"/>
  <c r="D14" i="4"/>
  <c r="K14" i="4"/>
  <c r="L14" i="4"/>
  <c r="M14" i="4" s="1"/>
  <c r="U13" i="1" s="1"/>
  <c r="F15" i="4"/>
  <c r="K15" i="4"/>
  <c r="M15" i="4" s="1"/>
  <c r="U14" i="1" s="1"/>
  <c r="D16" i="4"/>
  <c r="F16" i="4" s="1"/>
  <c r="K16" i="4"/>
  <c r="M16" i="4" s="1"/>
  <c r="U15" i="1" s="1"/>
  <c r="U15" i="36" s="1"/>
  <c r="F17" i="4"/>
  <c r="L17" i="4"/>
  <c r="K17" i="4" s="1"/>
  <c r="N16" i="1" s="1"/>
  <c r="D18" i="4"/>
  <c r="F18" i="4" s="1"/>
  <c r="K18" i="4"/>
  <c r="M18" i="4" s="1"/>
  <c r="U17" i="1" s="1"/>
  <c r="D19" i="4"/>
  <c r="F19" i="4" s="1"/>
  <c r="K19" i="4"/>
  <c r="M19" i="4" s="1"/>
  <c r="U18" i="1" s="1"/>
  <c r="D20" i="4"/>
  <c r="F20" i="4" s="1"/>
  <c r="K20" i="4"/>
  <c r="M20" i="4" s="1"/>
  <c r="F21" i="4"/>
  <c r="K21" i="4"/>
  <c r="M21" i="4"/>
  <c r="E23" i="4"/>
  <c r="L23" i="4"/>
  <c r="L28" i="4" s="1"/>
  <c r="M25" i="4"/>
  <c r="F26" i="4"/>
  <c r="L26" i="4"/>
  <c r="D9" i="19"/>
  <c r="D10" i="19"/>
  <c r="D11" i="19"/>
  <c r="D14" i="19"/>
  <c r="D15" i="19"/>
  <c r="E15" i="19"/>
  <c r="D17" i="19"/>
  <c r="D18" i="19"/>
  <c r="D19" i="19"/>
  <c r="E19" i="19" s="1"/>
  <c r="D20" i="19"/>
  <c r="C21" i="19"/>
  <c r="E21" i="19" s="1"/>
  <c r="D21" i="19"/>
  <c r="C25" i="19"/>
  <c r="D25" i="19"/>
  <c r="E25" i="19"/>
  <c r="C26" i="19"/>
  <c r="D26" i="19"/>
  <c r="E26" i="19"/>
  <c r="C33" i="19"/>
  <c r="D33" i="19"/>
  <c r="E33" i="19" s="1"/>
  <c r="C34" i="19"/>
  <c r="D34" i="19"/>
  <c r="E34" i="19" s="1"/>
  <c r="C35" i="19"/>
  <c r="E35" i="19" s="1"/>
  <c r="D35" i="19"/>
  <c r="B4" i="3"/>
  <c r="A4" i="19" s="1"/>
  <c r="D9" i="3"/>
  <c r="C9" i="19" s="1"/>
  <c r="F9" i="3"/>
  <c r="D10" i="3"/>
  <c r="F10" i="3" s="1"/>
  <c r="D11" i="3"/>
  <c r="C11" i="19" s="1"/>
  <c r="E12" i="3"/>
  <c r="E13" i="3"/>
  <c r="D13" i="3" s="1"/>
  <c r="M13" i="1" s="1"/>
  <c r="G13" i="37" s="1"/>
  <c r="D14" i="3"/>
  <c r="C14" i="19" s="1"/>
  <c r="E14" i="19" s="1"/>
  <c r="D15" i="3"/>
  <c r="C15" i="19" s="1"/>
  <c r="F15" i="3"/>
  <c r="E16" i="3"/>
  <c r="D16" i="19" s="1"/>
  <c r="D17" i="3"/>
  <c r="C17" i="19" s="1"/>
  <c r="F17" i="3"/>
  <c r="E18" i="3"/>
  <c r="D18" i="3" s="1"/>
  <c r="F18" i="3" s="1"/>
  <c r="T18" i="1" s="1"/>
  <c r="T19" i="36" s="1"/>
  <c r="D19" i="3"/>
  <c r="C19" i="19" s="1"/>
  <c r="F19" i="3"/>
  <c r="D20" i="3"/>
  <c r="F20" i="3" s="1"/>
  <c r="T20" i="1" s="1"/>
  <c r="D24" i="3"/>
  <c r="E24" i="3"/>
  <c r="F25" i="3"/>
  <c r="F32" i="3"/>
  <c r="F33" i="3"/>
  <c r="F34" i="3"/>
  <c r="A3" i="9"/>
  <c r="C9" i="9"/>
  <c r="D9" i="9"/>
  <c r="F9" i="9"/>
  <c r="H9" i="9" s="1"/>
  <c r="J9" i="9"/>
  <c r="K9" i="9"/>
  <c r="C10" i="9"/>
  <c r="D10" i="9"/>
  <c r="F10" i="9"/>
  <c r="H10" i="9"/>
  <c r="J10" i="9"/>
  <c r="K10" i="9" s="1"/>
  <c r="C11" i="9"/>
  <c r="D11" i="9"/>
  <c r="F11" i="9"/>
  <c r="J11" i="9"/>
  <c r="C12" i="9"/>
  <c r="D12" i="9"/>
  <c r="F12" i="9"/>
  <c r="H12" i="9"/>
  <c r="K12" i="9" s="1"/>
  <c r="J12" i="9"/>
  <c r="C13" i="9"/>
  <c r="D13" i="9"/>
  <c r="F13" i="9"/>
  <c r="H13" i="9" s="1"/>
  <c r="J13" i="9"/>
  <c r="K13" i="9"/>
  <c r="C14" i="9"/>
  <c r="D14" i="9"/>
  <c r="F14" i="9"/>
  <c r="H14" i="9"/>
  <c r="J14" i="9"/>
  <c r="K14" i="9" s="1"/>
  <c r="C15" i="9"/>
  <c r="D15" i="9"/>
  <c r="F15" i="9"/>
  <c r="J15" i="9"/>
  <c r="C16" i="9"/>
  <c r="C21" i="9" s="1"/>
  <c r="C28" i="9" s="1"/>
  <c r="C32" i="9" s="1"/>
  <c r="D16" i="9"/>
  <c r="F16" i="9"/>
  <c r="H16" i="9"/>
  <c r="K16" i="9" s="1"/>
  <c r="J16" i="9"/>
  <c r="C17" i="9"/>
  <c r="D17" i="9"/>
  <c r="F17" i="9"/>
  <c r="H17" i="9" s="1"/>
  <c r="K17" i="9" s="1"/>
  <c r="J17" i="9"/>
  <c r="C18" i="9"/>
  <c r="D18" i="9"/>
  <c r="F18" i="9"/>
  <c r="H18" i="9"/>
  <c r="J18" i="9"/>
  <c r="J21" i="9" s="1"/>
  <c r="C19" i="9"/>
  <c r="D19" i="9"/>
  <c r="H19" i="9" s="1"/>
  <c r="K19" i="9" s="1"/>
  <c r="F19" i="9"/>
  <c r="J19" i="9"/>
  <c r="C20" i="9"/>
  <c r="D20" i="9"/>
  <c r="F20" i="9"/>
  <c r="H20" i="9"/>
  <c r="K20" i="9" s="1"/>
  <c r="J20" i="9"/>
  <c r="E21" i="9"/>
  <c r="E28" i="9" s="1"/>
  <c r="E32" i="9" s="1"/>
  <c r="G21" i="9"/>
  <c r="I21" i="9"/>
  <c r="C22" i="9"/>
  <c r="D22" i="9"/>
  <c r="H22" i="9" s="1"/>
  <c r="F22" i="9"/>
  <c r="J22" i="9"/>
  <c r="C23" i="9"/>
  <c r="D23" i="9"/>
  <c r="F23" i="9"/>
  <c r="H23" i="9"/>
  <c r="K23" i="9" s="1"/>
  <c r="J23" i="9"/>
  <c r="C24" i="9"/>
  <c r="H24" i="9" s="1"/>
  <c r="K24" i="9" s="1"/>
  <c r="D24" i="9"/>
  <c r="F24" i="9"/>
  <c r="J24" i="9"/>
  <c r="C25" i="9"/>
  <c r="D25" i="9"/>
  <c r="F25" i="9"/>
  <c r="H25" i="9" s="1"/>
  <c r="K25" i="9" s="1"/>
  <c r="J25" i="9"/>
  <c r="C26" i="9"/>
  <c r="H26" i="9" s="1"/>
  <c r="D26" i="9"/>
  <c r="F26" i="9"/>
  <c r="J26" i="9"/>
  <c r="G28" i="9"/>
  <c r="I28" i="9"/>
  <c r="I32" i="9" s="1"/>
  <c r="C30" i="9"/>
  <c r="D30" i="9"/>
  <c r="F30" i="9"/>
  <c r="H30" i="9" s="1"/>
  <c r="J30" i="9"/>
  <c r="K30" i="9"/>
  <c r="G32" i="9"/>
  <c r="B4" i="2"/>
  <c r="I10" i="2"/>
  <c r="L10" i="2" s="1"/>
  <c r="I11" i="2"/>
  <c r="L11" i="2" s="1"/>
  <c r="N11" i="2" s="1"/>
  <c r="M11" i="2"/>
  <c r="I12" i="2"/>
  <c r="L12" i="2"/>
  <c r="N12" i="2" s="1"/>
  <c r="I13" i="2"/>
  <c r="L13" i="2" s="1"/>
  <c r="M13" i="2"/>
  <c r="N13" i="2"/>
  <c r="I14" i="2"/>
  <c r="L14" i="2" s="1"/>
  <c r="N14" i="2" s="1"/>
  <c r="M14" i="2"/>
  <c r="I15" i="2"/>
  <c r="L15" i="2" s="1"/>
  <c r="N15" i="2" s="1"/>
  <c r="I16" i="2"/>
  <c r="I17" i="2"/>
  <c r="L17" i="2" s="1"/>
  <c r="N17" i="2" s="1"/>
  <c r="I18" i="2"/>
  <c r="L18" i="2" s="1"/>
  <c r="N18" i="2"/>
  <c r="I19" i="2"/>
  <c r="L19" i="2" s="1"/>
  <c r="N19" i="2" s="1"/>
  <c r="I20" i="2"/>
  <c r="L20" i="2"/>
  <c r="N20" i="2" s="1"/>
  <c r="I21" i="2"/>
  <c r="L21" i="2"/>
  <c r="N21" i="2" s="1"/>
  <c r="D22" i="2"/>
  <c r="E22" i="2"/>
  <c r="F22" i="2"/>
  <c r="G22" i="2"/>
  <c r="G29" i="2" s="1"/>
  <c r="G33" i="2" s="1"/>
  <c r="H22" i="2"/>
  <c r="K22" i="2"/>
  <c r="K29" i="2" s="1"/>
  <c r="K33" i="2" s="1"/>
  <c r="I23" i="2"/>
  <c r="L23" i="2" s="1"/>
  <c r="N23" i="2" s="1"/>
  <c r="M23" i="2"/>
  <c r="I24" i="2"/>
  <c r="L24" i="2"/>
  <c r="N24" i="2" s="1"/>
  <c r="I25" i="2"/>
  <c r="L25" i="2"/>
  <c r="M25" i="2"/>
  <c r="N25" i="2"/>
  <c r="I26" i="2"/>
  <c r="L26" i="2" s="1"/>
  <c r="N26" i="2"/>
  <c r="I27" i="2"/>
  <c r="L27" i="2" s="1"/>
  <c r="N27" i="2" s="1"/>
  <c r="D29" i="2"/>
  <c r="E29" i="2"/>
  <c r="E33" i="2" s="1"/>
  <c r="F29" i="2"/>
  <c r="H29" i="2"/>
  <c r="H33" i="2" s="1"/>
  <c r="J29" i="2"/>
  <c r="I31" i="2"/>
  <c r="L31" i="2"/>
  <c r="N31" i="2" s="1"/>
  <c r="M31" i="2"/>
  <c r="D33" i="2"/>
  <c r="F33" i="2"/>
  <c r="J33" i="2"/>
  <c r="F9" i="8"/>
  <c r="J9" i="8"/>
  <c r="L9" i="8"/>
  <c r="N9" i="8" s="1"/>
  <c r="M9" i="8"/>
  <c r="F15" i="8"/>
  <c r="J15" i="8"/>
  <c r="L15" i="8"/>
  <c r="M15" i="8"/>
  <c r="N15" i="8" s="1"/>
  <c r="F16" i="8"/>
  <c r="J16" i="8"/>
  <c r="L16" i="8"/>
  <c r="N16" i="8" s="1"/>
  <c r="M16" i="8"/>
  <c r="C9" i="1"/>
  <c r="D9" i="1"/>
  <c r="E9" i="1"/>
  <c r="G9" i="1"/>
  <c r="H9" i="1"/>
  <c r="I9" i="1"/>
  <c r="L9" i="1"/>
  <c r="M9" i="1"/>
  <c r="N9" i="1"/>
  <c r="S9" i="1"/>
  <c r="T9" i="1"/>
  <c r="D10" i="1"/>
  <c r="G10" i="1"/>
  <c r="H10" i="1"/>
  <c r="J10" i="1" s="1"/>
  <c r="I10" i="1"/>
  <c r="L10" i="1"/>
  <c r="M10" i="1"/>
  <c r="S10" i="1"/>
  <c r="C11" i="1"/>
  <c r="D11" i="1"/>
  <c r="E11" i="1"/>
  <c r="G11" i="1"/>
  <c r="H11" i="1"/>
  <c r="I11" i="1"/>
  <c r="J11" i="1" s="1"/>
  <c r="L11" i="1"/>
  <c r="M11" i="1"/>
  <c r="N11" i="1"/>
  <c r="S11" i="1"/>
  <c r="C12" i="1"/>
  <c r="G12" i="1"/>
  <c r="H12" i="1"/>
  <c r="I12" i="1"/>
  <c r="J12" i="1" s="1"/>
  <c r="L12" i="1"/>
  <c r="N12" i="1"/>
  <c r="S12" i="1"/>
  <c r="C13" i="1"/>
  <c r="D13" i="1"/>
  <c r="E13" i="1"/>
  <c r="G13" i="1"/>
  <c r="H13" i="1"/>
  <c r="I13" i="1"/>
  <c r="J13" i="1" s="1"/>
  <c r="L13" i="1"/>
  <c r="N13" i="1"/>
  <c r="S13" i="1"/>
  <c r="C14" i="1"/>
  <c r="D14" i="1"/>
  <c r="E14" i="1"/>
  <c r="G14" i="1"/>
  <c r="H14" i="1"/>
  <c r="I14" i="1"/>
  <c r="J14" i="1" s="1"/>
  <c r="L14" i="1"/>
  <c r="M14" i="1"/>
  <c r="N14" i="1"/>
  <c r="S14" i="1"/>
  <c r="C15" i="1"/>
  <c r="D15" i="1"/>
  <c r="E15" i="1"/>
  <c r="H15" i="1"/>
  <c r="I15" i="1"/>
  <c r="L15" i="1"/>
  <c r="M15" i="1"/>
  <c r="N15" i="1"/>
  <c r="S15" i="1"/>
  <c r="T15" i="1"/>
  <c r="C16" i="1"/>
  <c r="D16" i="1"/>
  <c r="E16" i="1"/>
  <c r="G16" i="1"/>
  <c r="H16" i="1"/>
  <c r="I16" i="1"/>
  <c r="J16" i="1" s="1"/>
  <c r="L16" i="1"/>
  <c r="S16" i="1"/>
  <c r="C17" i="1"/>
  <c r="D17" i="1"/>
  <c r="E17" i="1"/>
  <c r="G17" i="1"/>
  <c r="H17" i="1"/>
  <c r="I17" i="1"/>
  <c r="J17" i="1" s="1"/>
  <c r="L17" i="1"/>
  <c r="M17" i="1"/>
  <c r="N17" i="1"/>
  <c r="S17" i="1"/>
  <c r="T17" i="1"/>
  <c r="C18" i="1"/>
  <c r="D18" i="1"/>
  <c r="E18" i="1"/>
  <c r="G18" i="1"/>
  <c r="H18" i="1"/>
  <c r="I18" i="1"/>
  <c r="J18" i="1" s="1"/>
  <c r="L18" i="1"/>
  <c r="N18" i="1"/>
  <c r="S18" i="1"/>
  <c r="C19" i="1"/>
  <c r="D19" i="1"/>
  <c r="E19" i="1"/>
  <c r="G19" i="1"/>
  <c r="H19" i="1"/>
  <c r="I19" i="1"/>
  <c r="J19" i="1" s="1"/>
  <c r="L19" i="1"/>
  <c r="M19" i="1"/>
  <c r="N19" i="1"/>
  <c r="T19" i="1"/>
  <c r="U19" i="1"/>
  <c r="U20" i="36" s="1"/>
  <c r="C20" i="1"/>
  <c r="D20" i="1"/>
  <c r="E20" i="1"/>
  <c r="G20" i="1"/>
  <c r="H20" i="1"/>
  <c r="I20" i="1"/>
  <c r="J20" i="1"/>
  <c r="L20" i="1"/>
  <c r="M20" i="1"/>
  <c r="N20" i="1"/>
  <c r="S20" i="1"/>
  <c r="U20" i="1"/>
  <c r="E21" i="1"/>
  <c r="J21" i="1"/>
  <c r="O21" i="1"/>
  <c r="Q21" i="1"/>
  <c r="U21" i="1"/>
  <c r="H23" i="1"/>
  <c r="H30" i="1" s="1"/>
  <c r="H34" i="1" s="1"/>
  <c r="K23" i="1"/>
  <c r="K30" i="1" s="1"/>
  <c r="K34" i="1" s="1"/>
  <c r="L23" i="1"/>
  <c r="R23" i="1"/>
  <c r="S23" i="1"/>
  <c r="D25" i="1"/>
  <c r="E25" i="1"/>
  <c r="J25" i="1"/>
  <c r="Q25" i="1" s="1"/>
  <c r="L25" i="1"/>
  <c r="D26" i="1"/>
  <c r="E26" i="1"/>
  <c r="J26" i="1"/>
  <c r="Q26" i="1"/>
  <c r="C27" i="1"/>
  <c r="E27" i="1" s="1"/>
  <c r="G27" i="1"/>
  <c r="J27" i="1" s="1"/>
  <c r="H27" i="1"/>
  <c r="I27" i="1"/>
  <c r="T27" i="1"/>
  <c r="D28" i="1"/>
  <c r="E28" i="1"/>
  <c r="J28" i="1"/>
  <c r="O28" i="1" s="1"/>
  <c r="L28" i="1"/>
  <c r="S28" i="1"/>
  <c r="S30" i="1" s="1"/>
  <c r="S34" i="1" s="1"/>
  <c r="V29" i="1"/>
  <c r="L30" i="1"/>
  <c r="L34" i="1" s="1"/>
  <c r="R30" i="1"/>
  <c r="E32" i="1"/>
  <c r="G32" i="1"/>
  <c r="H32" i="1"/>
  <c r="J32" i="1" s="1"/>
  <c r="Q32" i="1" s="1"/>
  <c r="I32" i="1"/>
  <c r="T32" i="1"/>
  <c r="R34" i="1"/>
  <c r="G36" i="1"/>
  <c r="Q4" i="37"/>
  <c r="D9" i="37"/>
  <c r="G9" i="37"/>
  <c r="H9" i="37"/>
  <c r="I9" i="37"/>
  <c r="P9" i="37"/>
  <c r="H10" i="37"/>
  <c r="D11" i="37"/>
  <c r="G11" i="37"/>
  <c r="H11" i="37"/>
  <c r="I11" i="37"/>
  <c r="P11" i="37"/>
  <c r="D12" i="37"/>
  <c r="D13" i="37"/>
  <c r="H13" i="37"/>
  <c r="D14" i="37"/>
  <c r="L14" i="37" s="1"/>
  <c r="G14" i="37"/>
  <c r="H14" i="37"/>
  <c r="I14" i="37"/>
  <c r="P14" i="37"/>
  <c r="D15" i="37"/>
  <c r="G15" i="37"/>
  <c r="H15" i="37"/>
  <c r="I15" i="37"/>
  <c r="P15" i="37"/>
  <c r="D16" i="37"/>
  <c r="L16" i="37" s="1"/>
  <c r="H16" i="37"/>
  <c r="D17" i="37"/>
  <c r="G17" i="37"/>
  <c r="H17" i="37"/>
  <c r="I17" i="37"/>
  <c r="P17" i="37"/>
  <c r="D18" i="37"/>
  <c r="L18" i="37" s="1"/>
  <c r="H18" i="37"/>
  <c r="D19" i="37"/>
  <c r="G19" i="37"/>
  <c r="H19" i="37"/>
  <c r="I19" i="37"/>
  <c r="P19" i="37"/>
  <c r="D20" i="37"/>
  <c r="L20" i="37" s="1"/>
  <c r="G20" i="37"/>
  <c r="H20" i="37"/>
  <c r="I20" i="37"/>
  <c r="P20" i="37"/>
  <c r="C21" i="37"/>
  <c r="D21" i="37"/>
  <c r="G21" i="37"/>
  <c r="H21" i="37"/>
  <c r="I21" i="37"/>
  <c r="K21" i="37"/>
  <c r="O21" i="37"/>
  <c r="Q21" i="37" s="1"/>
  <c r="P21" i="37"/>
  <c r="C25" i="37"/>
  <c r="D25" i="37"/>
  <c r="H25" i="37"/>
  <c r="O25" i="37"/>
  <c r="C26" i="37"/>
  <c r="D26" i="37"/>
  <c r="L26" i="37" s="1"/>
  <c r="E26" i="37"/>
  <c r="H26" i="37"/>
  <c r="O26" i="37"/>
  <c r="D27" i="37"/>
  <c r="G27" i="37"/>
  <c r="H27" i="37"/>
  <c r="I27" i="37"/>
  <c r="P27" i="37"/>
  <c r="C28" i="37"/>
  <c r="D28" i="37"/>
  <c r="L28" i="37" s="1"/>
  <c r="E28" i="37"/>
  <c r="G28" i="37"/>
  <c r="H28" i="37"/>
  <c r="I28" i="37"/>
  <c r="K28" i="37"/>
  <c r="M28" i="37" s="1"/>
  <c r="O28" i="37"/>
  <c r="Q28" i="37" s="1"/>
  <c r="P28" i="37"/>
  <c r="D32" i="37"/>
  <c r="L32" i="37" s="1"/>
  <c r="G32" i="37"/>
  <c r="H32" i="37"/>
  <c r="I32" i="37"/>
  <c r="P32" i="37"/>
  <c r="E40" i="37"/>
  <c r="I40" i="37"/>
  <c r="E41" i="37"/>
  <c r="I41" i="37"/>
  <c r="E42" i="37"/>
  <c r="E44" i="37" s="1"/>
  <c r="I42" i="37"/>
  <c r="E47" i="37"/>
  <c r="I47" i="37"/>
  <c r="C9" i="36"/>
  <c r="E9" i="36" s="1"/>
  <c r="D9" i="36"/>
  <c r="G9" i="36"/>
  <c r="H9" i="36"/>
  <c r="M9" i="36"/>
  <c r="N9" i="36"/>
  <c r="T9" i="36"/>
  <c r="D10" i="36"/>
  <c r="G10" i="36"/>
  <c r="J10" i="36" s="1"/>
  <c r="H10" i="36"/>
  <c r="I10" i="36"/>
  <c r="M10" i="36"/>
  <c r="C11" i="36"/>
  <c r="E11" i="36" s="1"/>
  <c r="D11" i="36"/>
  <c r="G11" i="36"/>
  <c r="J11" i="36" s="1"/>
  <c r="O11" i="36" s="1"/>
  <c r="H11" i="36"/>
  <c r="I11" i="36"/>
  <c r="M11" i="36"/>
  <c r="N11" i="36"/>
  <c r="U11" i="36"/>
  <c r="C12" i="36"/>
  <c r="G12" i="36"/>
  <c r="J12" i="36" s="1"/>
  <c r="H12" i="36"/>
  <c r="I12" i="36"/>
  <c r="N12" i="36"/>
  <c r="U12" i="36"/>
  <c r="C13" i="36"/>
  <c r="E13" i="36" s="1"/>
  <c r="D13" i="36"/>
  <c r="G13" i="36"/>
  <c r="J13" i="36" s="1"/>
  <c r="O13" i="36" s="1"/>
  <c r="H13" i="36"/>
  <c r="I13" i="36"/>
  <c r="M13" i="36"/>
  <c r="N13" i="36"/>
  <c r="U13" i="36"/>
  <c r="C14" i="36"/>
  <c r="D14" i="36"/>
  <c r="E14" i="36"/>
  <c r="G14" i="36"/>
  <c r="H14" i="36"/>
  <c r="M14" i="36"/>
  <c r="N14" i="36"/>
  <c r="U14" i="36"/>
  <c r="C15" i="36"/>
  <c r="E15" i="36" s="1"/>
  <c r="D15" i="36"/>
  <c r="H15" i="36"/>
  <c r="I15" i="36"/>
  <c r="M15" i="36"/>
  <c r="N15" i="36"/>
  <c r="T15" i="36"/>
  <c r="C16" i="36"/>
  <c r="D16" i="36"/>
  <c r="E16" i="36"/>
  <c r="G16" i="36"/>
  <c r="J16" i="36" s="1"/>
  <c r="H16" i="36"/>
  <c r="I16" i="36"/>
  <c r="N16" i="36"/>
  <c r="C17" i="36"/>
  <c r="E17" i="36" s="1"/>
  <c r="D17" i="36"/>
  <c r="G17" i="36"/>
  <c r="J17" i="36" s="1"/>
  <c r="O17" i="36" s="1"/>
  <c r="H17" i="36"/>
  <c r="I17" i="36"/>
  <c r="M17" i="36"/>
  <c r="N17" i="36"/>
  <c r="T17" i="36"/>
  <c r="U17" i="36"/>
  <c r="C18" i="36"/>
  <c r="D18" i="36"/>
  <c r="E18" i="36"/>
  <c r="G18" i="36"/>
  <c r="J18" i="36" s="1"/>
  <c r="O18" i="36" s="1"/>
  <c r="H18" i="36"/>
  <c r="I18" i="36"/>
  <c r="M18" i="36"/>
  <c r="N18" i="36"/>
  <c r="Q18" i="36"/>
  <c r="V18" i="36" s="1"/>
  <c r="T18" i="36"/>
  <c r="U18" i="36"/>
  <c r="C19" i="36"/>
  <c r="E19" i="36" s="1"/>
  <c r="D19" i="36"/>
  <c r="G19" i="36"/>
  <c r="J19" i="36" s="1"/>
  <c r="H19" i="36"/>
  <c r="I19" i="36"/>
  <c r="N19" i="36"/>
  <c r="R19" i="36"/>
  <c r="R23" i="36" s="1"/>
  <c r="R30" i="36" s="1"/>
  <c r="R34" i="36" s="1"/>
  <c r="S19" i="36"/>
  <c r="S23" i="36" s="1"/>
  <c r="S30" i="36" s="1"/>
  <c r="S34" i="36" s="1"/>
  <c r="U19" i="36"/>
  <c r="C20" i="36"/>
  <c r="E20" i="36" s="1"/>
  <c r="D20" i="36"/>
  <c r="G20" i="36"/>
  <c r="J20" i="36" s="1"/>
  <c r="O20" i="36" s="1"/>
  <c r="H20" i="36"/>
  <c r="I20" i="36"/>
  <c r="M20" i="36"/>
  <c r="N20" i="36"/>
  <c r="R20" i="36"/>
  <c r="S20" i="36"/>
  <c r="T20" i="36"/>
  <c r="C21" i="36"/>
  <c r="E21" i="36" s="1"/>
  <c r="D21" i="36"/>
  <c r="G21" i="36"/>
  <c r="J21" i="36" s="1"/>
  <c r="O21" i="36" s="1"/>
  <c r="H21" i="36"/>
  <c r="I21" i="36"/>
  <c r="M21" i="36"/>
  <c r="N21" i="36"/>
  <c r="R21" i="36"/>
  <c r="S21" i="36"/>
  <c r="T21" i="36"/>
  <c r="U21" i="36"/>
  <c r="F23" i="36"/>
  <c r="H23" i="36"/>
  <c r="H30" i="36" s="1"/>
  <c r="H34" i="36" s="1"/>
  <c r="K23" i="36"/>
  <c r="K30" i="36" s="1"/>
  <c r="K34" i="36" s="1"/>
  <c r="L23" i="36"/>
  <c r="L30" i="36" s="1"/>
  <c r="L34" i="36" s="1"/>
  <c r="C25" i="36"/>
  <c r="D25" i="36"/>
  <c r="E25" i="36"/>
  <c r="G25" i="36"/>
  <c r="H25" i="36"/>
  <c r="I25" i="36"/>
  <c r="J25" i="36"/>
  <c r="N25" i="36"/>
  <c r="Q25" i="36"/>
  <c r="R25" i="36"/>
  <c r="S25" i="36"/>
  <c r="U25" i="36"/>
  <c r="C26" i="36"/>
  <c r="D26" i="36"/>
  <c r="E26" i="36"/>
  <c r="G26" i="36"/>
  <c r="H26" i="36"/>
  <c r="I26" i="36"/>
  <c r="J26" i="36"/>
  <c r="M26" i="36"/>
  <c r="Q26" i="36"/>
  <c r="R26" i="36"/>
  <c r="S26" i="36"/>
  <c r="C27" i="36"/>
  <c r="D27" i="36"/>
  <c r="E27" i="36"/>
  <c r="G27" i="36"/>
  <c r="H27" i="36"/>
  <c r="I27" i="36"/>
  <c r="J27" i="36"/>
  <c r="O27" i="36" s="1"/>
  <c r="M27" i="36"/>
  <c r="N27" i="36"/>
  <c r="R27" i="36"/>
  <c r="S27" i="36"/>
  <c r="T27" i="36"/>
  <c r="U27" i="36"/>
  <c r="E28" i="36"/>
  <c r="J28" i="36"/>
  <c r="O28" i="36"/>
  <c r="V29" i="36"/>
  <c r="C32" i="36"/>
  <c r="E32" i="36" s="1"/>
  <c r="D32" i="36"/>
  <c r="G32" i="36"/>
  <c r="J32" i="36" s="1"/>
  <c r="O32" i="36" s="1"/>
  <c r="H32" i="36"/>
  <c r="I32" i="36"/>
  <c r="M32" i="36"/>
  <c r="N32" i="36"/>
  <c r="R32" i="36"/>
  <c r="S32" i="36"/>
  <c r="T32" i="36"/>
  <c r="U32" i="36"/>
  <c r="G36" i="36"/>
  <c r="I13" i="8"/>
  <c r="H14" i="8"/>
  <c r="D10" i="8"/>
  <c r="I14" i="8"/>
  <c r="E10" i="8"/>
  <c r="D11" i="8"/>
  <c r="E11" i="8"/>
  <c r="D12" i="8"/>
  <c r="H10" i="8"/>
  <c r="E12" i="8"/>
  <c r="D13" i="8"/>
  <c r="I10" i="8"/>
  <c r="H11" i="8"/>
  <c r="E13" i="8"/>
  <c r="D14" i="8"/>
  <c r="I12" i="8"/>
  <c r="H13" i="8"/>
  <c r="I11" i="8"/>
  <c r="H12" i="8"/>
  <c r="E14" i="8"/>
  <c r="M14" i="8" l="1"/>
  <c r="J12" i="8"/>
  <c r="J13" i="8"/>
  <c r="L14" i="8"/>
  <c r="N14" i="8" s="1"/>
  <c r="F14" i="8"/>
  <c r="M13" i="8"/>
  <c r="J11" i="8"/>
  <c r="I18" i="8"/>
  <c r="L13" i="8"/>
  <c r="F13" i="8"/>
  <c r="M12" i="8"/>
  <c r="H18" i="8"/>
  <c r="J10" i="8"/>
  <c r="J18" i="8" s="1"/>
  <c r="L12" i="8"/>
  <c r="N12" i="8" s="1"/>
  <c r="F12" i="8"/>
  <c r="M11" i="8"/>
  <c r="L11" i="8"/>
  <c r="F11" i="8"/>
  <c r="M10" i="8"/>
  <c r="M18" i="8" s="1"/>
  <c r="E18" i="8"/>
  <c r="D18" i="8"/>
  <c r="F10" i="8"/>
  <c r="F18" i="8" s="1"/>
  <c r="L10" i="8"/>
  <c r="N10" i="8" s="1"/>
  <c r="N18" i="8" s="1"/>
  <c r="J14" i="8"/>
  <c r="V32" i="1"/>
  <c r="Q32" i="36"/>
  <c r="V32" i="36" s="1"/>
  <c r="I23" i="1"/>
  <c r="I30" i="1" s="1"/>
  <c r="I34" i="1" s="1"/>
  <c r="C18" i="37"/>
  <c r="Q18" i="1"/>
  <c r="I13" i="37"/>
  <c r="P13" i="37"/>
  <c r="E17" i="19"/>
  <c r="C20" i="37"/>
  <c r="O20" i="1"/>
  <c r="Q20" i="1"/>
  <c r="J9" i="1"/>
  <c r="H11" i="9"/>
  <c r="K11" i="9" s="1"/>
  <c r="C14" i="37"/>
  <c r="O14" i="1"/>
  <c r="Q14" i="1"/>
  <c r="C10" i="37"/>
  <c r="N10" i="2"/>
  <c r="M18" i="1"/>
  <c r="C18" i="19"/>
  <c r="L19" i="37"/>
  <c r="E19" i="37"/>
  <c r="O17" i="1"/>
  <c r="Q17" i="1"/>
  <c r="C17" i="37"/>
  <c r="O13" i="1"/>
  <c r="Q13" i="1"/>
  <c r="C13" i="37"/>
  <c r="K23" i="4"/>
  <c r="N10" i="1"/>
  <c r="O10" i="1" s="1"/>
  <c r="M11" i="4"/>
  <c r="U10" i="1" s="1"/>
  <c r="U10" i="36" s="1"/>
  <c r="L17" i="37"/>
  <c r="C16" i="37"/>
  <c r="Q16" i="1"/>
  <c r="T10" i="1"/>
  <c r="F24" i="3"/>
  <c r="T25" i="1" s="1"/>
  <c r="M25" i="1"/>
  <c r="C13" i="19"/>
  <c r="I9" i="36"/>
  <c r="I23" i="36" s="1"/>
  <c r="I30" i="36" s="1"/>
  <c r="I34" i="36" s="1"/>
  <c r="I44" i="37"/>
  <c r="L27" i="37"/>
  <c r="E27" i="37"/>
  <c r="L15" i="37"/>
  <c r="L13" i="37"/>
  <c r="E13" i="37"/>
  <c r="L11" i="37"/>
  <c r="L9" i="37"/>
  <c r="C32" i="37"/>
  <c r="O32" i="1"/>
  <c r="O27" i="1"/>
  <c r="Q27" i="1"/>
  <c r="C27" i="37"/>
  <c r="C12" i="37"/>
  <c r="Q12" i="1"/>
  <c r="E11" i="19"/>
  <c r="E25" i="4"/>
  <c r="E28" i="4"/>
  <c r="U9" i="1"/>
  <c r="D12" i="1"/>
  <c r="D12" i="19"/>
  <c r="E22" i="3"/>
  <c r="E27" i="3" s="1"/>
  <c r="D12" i="3"/>
  <c r="F12" i="3"/>
  <c r="T12" i="1" s="1"/>
  <c r="T12" i="36" s="1"/>
  <c r="L25" i="37"/>
  <c r="E25" i="37"/>
  <c r="V25" i="1"/>
  <c r="O19" i="1"/>
  <c r="Q19" i="1"/>
  <c r="C19" i="37"/>
  <c r="O11" i="1"/>
  <c r="Q11" i="1"/>
  <c r="C11" i="37"/>
  <c r="E11" i="37" s="1"/>
  <c r="I22" i="2"/>
  <c r="L16" i="2"/>
  <c r="N16" i="2" s="1"/>
  <c r="F23" i="4"/>
  <c r="I14" i="36"/>
  <c r="J14" i="36" s="1"/>
  <c r="O14" i="36" s="1"/>
  <c r="L21" i="37"/>
  <c r="M21" i="37" s="1"/>
  <c r="E21" i="37"/>
  <c r="C10" i="1"/>
  <c r="Q10" i="1" s="1"/>
  <c r="M29" i="2"/>
  <c r="M33" i="2" s="1"/>
  <c r="K26" i="9"/>
  <c r="K22" i="9"/>
  <c r="H15" i="9"/>
  <c r="D21" i="9"/>
  <c r="D28" i="9" s="1"/>
  <c r="D32" i="9" s="1"/>
  <c r="E18" i="19"/>
  <c r="E9" i="19"/>
  <c r="D23" i="4"/>
  <c r="F14" i="4"/>
  <c r="J28" i="9"/>
  <c r="J32" i="9" s="1"/>
  <c r="D16" i="3"/>
  <c r="F16" i="3" s="1"/>
  <c r="T16" i="1" s="1"/>
  <c r="T16" i="36" s="1"/>
  <c r="D13" i="19"/>
  <c r="E13" i="19" s="1"/>
  <c r="C10" i="19"/>
  <c r="E10" i="19" s="1"/>
  <c r="M17" i="4"/>
  <c r="U16" i="1" s="1"/>
  <c r="U16" i="36" s="1"/>
  <c r="F21" i="9"/>
  <c r="F28" i="9" s="1"/>
  <c r="F32" i="9" s="1"/>
  <c r="K18" i="9"/>
  <c r="F14" i="3"/>
  <c r="T14" i="1" s="1"/>
  <c r="T14" i="36" s="1"/>
  <c r="F11" i="3"/>
  <c r="T11" i="1" s="1"/>
  <c r="T11" i="36" s="1"/>
  <c r="C20" i="19"/>
  <c r="E20" i="19" s="1"/>
  <c r="Q28" i="1"/>
  <c r="V28" i="1" s="1"/>
  <c r="F13" i="3"/>
  <c r="T13" i="1" s="1"/>
  <c r="T13" i="36" s="1"/>
  <c r="V10" i="1" l="1"/>
  <c r="Q10" i="36"/>
  <c r="M12" i="1"/>
  <c r="C12" i="19"/>
  <c r="D22" i="3"/>
  <c r="D27" i="3" s="1"/>
  <c r="E23" i="19"/>
  <c r="E28" i="19" s="1"/>
  <c r="L18" i="8"/>
  <c r="E12" i="19"/>
  <c r="V13" i="1"/>
  <c r="Q13" i="36"/>
  <c r="V13" i="36" s="1"/>
  <c r="K32" i="37"/>
  <c r="M32" i="37" s="1"/>
  <c r="O32" i="37"/>
  <c r="Q32" i="37" s="1"/>
  <c r="E32" i="37"/>
  <c r="G18" i="37"/>
  <c r="M19" i="36"/>
  <c r="O19" i="36" s="1"/>
  <c r="K17" i="37"/>
  <c r="M17" i="37" s="1"/>
  <c r="O17" i="37"/>
  <c r="Q17" i="37" s="1"/>
  <c r="K15" i="9"/>
  <c r="K21" i="9" s="1"/>
  <c r="K28" i="9" s="1"/>
  <c r="K32" i="9" s="1"/>
  <c r="H21" i="9"/>
  <c r="H28" i="9" s="1"/>
  <c r="H32" i="9" s="1"/>
  <c r="T10" i="36"/>
  <c r="T23" i="36" s="1"/>
  <c r="G15" i="1"/>
  <c r="L22" i="2"/>
  <c r="T26" i="1"/>
  <c r="T25" i="36"/>
  <c r="V25" i="36" s="1"/>
  <c r="M16" i="1"/>
  <c r="C16" i="19"/>
  <c r="E16" i="19" s="1"/>
  <c r="U23" i="1"/>
  <c r="U9" i="36"/>
  <c r="U23" i="36" s="1"/>
  <c r="N23" i="1"/>
  <c r="G10" i="37"/>
  <c r="N10" i="36"/>
  <c r="V17" i="1"/>
  <c r="Q17" i="36"/>
  <c r="V17" i="36" s="1"/>
  <c r="V11" i="1"/>
  <c r="Q11" i="36"/>
  <c r="V11" i="36" s="1"/>
  <c r="M23" i="4"/>
  <c r="O12" i="37"/>
  <c r="E12" i="37"/>
  <c r="V16" i="1"/>
  <c r="Q16" i="36"/>
  <c r="V16" i="36" s="1"/>
  <c r="K26" i="4"/>
  <c r="K28" i="4"/>
  <c r="O9" i="1"/>
  <c r="Q9" i="1"/>
  <c r="C9" i="37"/>
  <c r="C23" i="19"/>
  <c r="C28" i="19" s="1"/>
  <c r="V12" i="1"/>
  <c r="Q12" i="36"/>
  <c r="V12" i="36" s="1"/>
  <c r="F22" i="3"/>
  <c r="F27" i="3" s="1"/>
  <c r="V18" i="1"/>
  <c r="Q19" i="36"/>
  <c r="V19" i="36" s="1"/>
  <c r="G25" i="37"/>
  <c r="O25" i="1"/>
  <c r="M25" i="36"/>
  <c r="O25" i="36" s="1"/>
  <c r="K11" i="37"/>
  <c r="M11" i="37" s="1"/>
  <c r="O11" i="37"/>
  <c r="Q11" i="37" s="1"/>
  <c r="K19" i="37"/>
  <c r="M19" i="37" s="1"/>
  <c r="O19" i="37"/>
  <c r="Q19" i="37" s="1"/>
  <c r="D23" i="1"/>
  <c r="D30" i="1" s="1"/>
  <c r="D34" i="1" s="1"/>
  <c r="E12" i="1"/>
  <c r="H12" i="37"/>
  <c r="D12" i="36"/>
  <c r="O14" i="37"/>
  <c r="Q14" i="37" s="1"/>
  <c r="E14" i="37"/>
  <c r="K14" i="37"/>
  <c r="M14" i="37" s="1"/>
  <c r="I29" i="2"/>
  <c r="I33" i="2" s="1"/>
  <c r="E48" i="37" s="1"/>
  <c r="E50" i="37" s="1"/>
  <c r="K27" i="37"/>
  <c r="M27" i="37" s="1"/>
  <c r="O27" i="37"/>
  <c r="Q27" i="37" s="1"/>
  <c r="V20" i="1"/>
  <c r="Q21" i="36"/>
  <c r="V21" i="36" s="1"/>
  <c r="F25" i="4"/>
  <c r="F28" i="4" s="1"/>
  <c r="V27" i="1"/>
  <c r="Q27" i="36"/>
  <c r="V27" i="36" s="1"/>
  <c r="O16" i="37"/>
  <c r="E16" i="37"/>
  <c r="O10" i="37"/>
  <c r="K10" i="37"/>
  <c r="O18" i="1"/>
  <c r="J9" i="36"/>
  <c r="D25" i="4"/>
  <c r="D28" i="4" s="1"/>
  <c r="D10" i="37"/>
  <c r="E10" i="1"/>
  <c r="E23" i="1" s="1"/>
  <c r="E30" i="1" s="1"/>
  <c r="E34" i="1" s="1"/>
  <c r="C23" i="1"/>
  <c r="C30" i="1" s="1"/>
  <c r="C34" i="1" s="1"/>
  <c r="C10" i="36"/>
  <c r="D23" i="19"/>
  <c r="D28" i="19" s="1"/>
  <c r="V19" i="1"/>
  <c r="Q20" i="36"/>
  <c r="V20" i="36" s="1"/>
  <c r="E17" i="37"/>
  <c r="K13" i="37"/>
  <c r="M13" i="37" s="1"/>
  <c r="O13" i="37"/>
  <c r="Q13" i="37" s="1"/>
  <c r="V14" i="1"/>
  <c r="Q14" i="36"/>
  <c r="V14" i="36" s="1"/>
  <c r="O20" i="37"/>
  <c r="Q20" i="37" s="1"/>
  <c r="E20" i="37"/>
  <c r="K20" i="37"/>
  <c r="M20" i="37" s="1"/>
  <c r="O18" i="37"/>
  <c r="E18" i="37"/>
  <c r="K18" i="37"/>
  <c r="M18" i="37" s="1"/>
  <c r="N11" i="8"/>
  <c r="N13" i="8"/>
  <c r="P10" i="37" l="1"/>
  <c r="G23" i="37"/>
  <c r="I10" i="37"/>
  <c r="N22" i="2"/>
  <c r="N29" i="2" s="1"/>
  <c r="N33" i="2" s="1"/>
  <c r="L29" i="2"/>
  <c r="L33" i="2" s="1"/>
  <c r="G23" i="1"/>
  <c r="G30" i="1" s="1"/>
  <c r="G34" i="1" s="1"/>
  <c r="J15" i="1"/>
  <c r="G15" i="36"/>
  <c r="U30" i="36"/>
  <c r="U34" i="36" s="1"/>
  <c r="P18" i="37"/>
  <c r="I18" i="37"/>
  <c r="U30" i="1"/>
  <c r="U34" i="1" s="1"/>
  <c r="T30" i="36"/>
  <c r="T34" i="36" s="1"/>
  <c r="O9" i="36"/>
  <c r="E10" i="36"/>
  <c r="C23" i="36"/>
  <c r="C30" i="36" s="1"/>
  <c r="C34" i="36" s="1"/>
  <c r="Q10" i="37"/>
  <c r="E12" i="36"/>
  <c r="D23" i="36"/>
  <c r="D30" i="36" s="1"/>
  <c r="D34" i="36" s="1"/>
  <c r="N26" i="1"/>
  <c r="M26" i="4"/>
  <c r="U26" i="1" s="1"/>
  <c r="U26" i="36" s="1"/>
  <c r="N30" i="1"/>
  <c r="N34" i="1" s="1"/>
  <c r="G16" i="37"/>
  <c r="M16" i="36"/>
  <c r="O16" i="36" s="1"/>
  <c r="O16" i="1"/>
  <c r="M23" i="1"/>
  <c r="M30" i="1" s="1"/>
  <c r="M34" i="1" s="1"/>
  <c r="G12" i="37"/>
  <c r="M12" i="36"/>
  <c r="O12" i="1"/>
  <c r="V9" i="1"/>
  <c r="Q9" i="36"/>
  <c r="H23" i="37"/>
  <c r="H30" i="37" s="1"/>
  <c r="H34" i="37" s="1"/>
  <c r="I12" i="37"/>
  <c r="L12" i="37"/>
  <c r="V10" i="36"/>
  <c r="L10" i="37"/>
  <c r="L23" i="37" s="1"/>
  <c r="L30" i="37" s="1"/>
  <c r="L34" i="37" s="1"/>
  <c r="E10" i="37"/>
  <c r="D23" i="37"/>
  <c r="D30" i="37" s="1"/>
  <c r="D34" i="37" s="1"/>
  <c r="Q18" i="37"/>
  <c r="I25" i="37"/>
  <c r="K25" i="37"/>
  <c r="M25" i="37" s="1"/>
  <c r="P25" i="37"/>
  <c r="Q25" i="37" s="1"/>
  <c r="K9" i="37"/>
  <c r="O9" i="37"/>
  <c r="E9" i="37"/>
  <c r="N23" i="36"/>
  <c r="O10" i="36"/>
  <c r="T21" i="1"/>
  <c r="T26" i="36"/>
  <c r="V26" i="36" s="1"/>
  <c r="M9" i="37" l="1"/>
  <c r="E23" i="36"/>
  <c r="E30" i="36" s="1"/>
  <c r="E34" i="36" s="1"/>
  <c r="M28" i="4"/>
  <c r="G30" i="37"/>
  <c r="G34" i="37" s="1"/>
  <c r="I48" i="37" s="1"/>
  <c r="I50" i="37" s="1"/>
  <c r="V21" i="1"/>
  <c r="T23" i="1"/>
  <c r="T30" i="1" s="1"/>
  <c r="T34" i="1" s="1"/>
  <c r="V26" i="1"/>
  <c r="P12" i="37"/>
  <c r="Q12" i="37" s="1"/>
  <c r="K12" i="37"/>
  <c r="M12" i="37" s="1"/>
  <c r="J15" i="36"/>
  <c r="G23" i="36"/>
  <c r="G30" i="36" s="1"/>
  <c r="G34" i="36" s="1"/>
  <c r="V9" i="36"/>
  <c r="M10" i="37"/>
  <c r="Q9" i="37"/>
  <c r="P16" i="37"/>
  <c r="Q16" i="37" s="1"/>
  <c r="I16" i="37"/>
  <c r="K16" i="37"/>
  <c r="M16" i="37" s="1"/>
  <c r="O15" i="1"/>
  <c r="O23" i="1" s="1"/>
  <c r="Q15" i="1"/>
  <c r="C15" i="37"/>
  <c r="J23" i="1"/>
  <c r="J30" i="1" s="1"/>
  <c r="I23" i="37"/>
  <c r="N30" i="36"/>
  <c r="N34" i="36" s="1"/>
  <c r="O12" i="36"/>
  <c r="M23" i="36"/>
  <c r="M30" i="36" s="1"/>
  <c r="M34" i="36" s="1"/>
  <c r="G26" i="37"/>
  <c r="N26" i="36"/>
  <c r="O26" i="36" s="1"/>
  <c r="O26" i="1"/>
  <c r="P26" i="37" l="1"/>
  <c r="Q26" i="37" s="1"/>
  <c r="K26" i="37"/>
  <c r="M26" i="37" s="1"/>
  <c r="I26" i="37"/>
  <c r="I30" i="37" s="1"/>
  <c r="I34" i="37" s="1"/>
  <c r="V15" i="1"/>
  <c r="V23" i="1" s="1"/>
  <c r="V30" i="1" s="1"/>
  <c r="V34" i="1" s="1"/>
  <c r="Q15" i="36"/>
  <c r="Q23" i="1"/>
  <c r="Q30" i="1" s="1"/>
  <c r="Q34" i="1" s="1"/>
  <c r="O15" i="36"/>
  <c r="O23" i="36" s="1"/>
  <c r="J23" i="36"/>
  <c r="J30" i="36" s="1"/>
  <c r="P23" i="37"/>
  <c r="K23" i="37"/>
  <c r="K30" i="37" s="1"/>
  <c r="K34" i="37" s="1"/>
  <c r="M23" i="37"/>
  <c r="M30" i="37" s="1"/>
  <c r="M34" i="37" s="1"/>
  <c r="O30" i="1"/>
  <c r="J34" i="1"/>
  <c r="O34" i="1" s="1"/>
  <c r="K15" i="37"/>
  <c r="M15" i="37" s="1"/>
  <c r="O15" i="37"/>
  <c r="E15" i="37"/>
  <c r="E23" i="37" s="1"/>
  <c r="E30" i="37" s="1"/>
  <c r="E34" i="37" s="1"/>
  <c r="C23" i="37"/>
  <c r="C30" i="37" s="1"/>
  <c r="C34" i="37" s="1"/>
  <c r="V15" i="36" l="1"/>
  <c r="V23" i="36" s="1"/>
  <c r="V30" i="36" s="1"/>
  <c r="V34" i="36" s="1"/>
  <c r="Q23" i="36"/>
  <c r="Q30" i="36" s="1"/>
  <c r="Q34" i="36" s="1"/>
  <c r="P30" i="37"/>
  <c r="P34" i="37" s="1"/>
  <c r="Q15" i="37"/>
  <c r="Q23" i="37" s="1"/>
  <c r="Q30" i="37" s="1"/>
  <c r="Q34" i="37" s="1"/>
  <c r="O23" i="37"/>
  <c r="O30" i="37" s="1"/>
  <c r="O34" i="37" s="1"/>
  <c r="O30" i="36"/>
  <c r="J34" i="36"/>
  <c r="O34" i="36" s="1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<sst xmlns="http://schemas.openxmlformats.org/spreadsheetml/2006/main" count="430" uniqueCount="133">
  <si>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</si>
  <si>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</si>
  <si>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</si>
  <si>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</si>
  <si>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</si>
  <si>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</si>
  <si>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</si>
  <si>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</si>
  <si>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</si>
  <si>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</si>
  <si>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</si>
  <si>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</si>
  <si>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</si>
  <si>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</si>
  <si>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</si>
  <si>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</si>
  <si>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</si>
  <si>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</si>
  <si>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</si>
  <si>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</si>
  <si>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</si>
  <si>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</si>
  <si>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</si>
  <si>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</si>
  <si>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</si>
  <si>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</si>
  <si>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</si>
  <si>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</si>
  <si>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</si>
  <si>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</si>
  <si>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</si>
  <si>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</si>
  <si>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</si>
  <si>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</si>
  <si>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</si>
  <si>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</si>
  <si>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</si>
  <si>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</si>
  <si>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</si>
  <si>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</si>
  <si>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</si>
  <si>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</si>
  <si>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</si>
  <si>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</si>
  <si>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</si>
  <si>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</si>
  <si>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</si>
  <si>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</si>
  <si>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</si>
  <si>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</si>
  <si>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</si>
  <si>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</si>
  <si>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</si>
  <si>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</si>
  <si>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</si>
  <si>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</si>
  <si>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</si>
  <si>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</si>
  <si>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</si>
  <si>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</si>
  <si>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</si>
  <si>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</si>
  <si>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</si>
  <si>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</si>
  <si>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</si>
  <si>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</si>
  <si>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</si>
  <si>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</si>
  <si>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</si>
  <si>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</si>
  <si>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</si>
  <si>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</si>
  <si>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</si>
  <si>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</si>
  <si>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</si>
  <si>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</si>
  <si>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</si>
  <si>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</si>
  <si>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</si>
  <si>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</si>
  <si>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</si>
  <si>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</si>
  <si>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</si>
  <si>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</si>
  <si>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</si>
  <si>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</si>
  <si>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</si>
  <si>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</si>
  <si>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</si>
  <si>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</si>
  <si>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</si>
  <si>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</si>
  <si>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</si>
  <si>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</si>
  <si>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</si>
  <si>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</si>
  <si>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</si>
  <si>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</si>
  <si>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</si>
  <si>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</si>
  <si>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</si>
  <si>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</si>
  <si>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</si>
  <si>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</si>
  <si>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</si>
  <si>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</si>
  <si>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</si>
  <si>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</si>
  <si>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</si>
  <si>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</si>
  <si>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</si>
  <si>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</si>
  <si>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</si>
  <si>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</si>
  <si>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</si>
  <si>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</si>
  <si>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</si>
  <si>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</si>
  <si>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</si>
  <si>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</si>
  <si>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</si>
  <si>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</si>
  <si>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</si>
  <si>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</si>
  <si>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</si>
  <si>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</si>
  <si>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</si>
  <si>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</si>
  <si>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</si>
  <si>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</si>
  <si>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</si>
  <si>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</si>
  <si>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Results based on activity through April 20,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</si>
</sst>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MgmtSum-Q201-Global-0412"/>
    </sheetNames>
    <sheetDataSet>
      <sheetData sheetId="0"/>
      <sheetData sheetId="1">
        <row r="9">
          <cell r="C9">
            <v>-11164</v>
          </cell>
          <cell r="G9">
            <v>16998.016</v>
          </cell>
        </row>
        <row r="10">
          <cell r="C10">
            <v>2180</v>
          </cell>
          <cell r="G10">
            <v>7479.1939999999995</v>
          </cell>
        </row>
        <row r="11">
          <cell r="C11">
            <v>-1498</v>
          </cell>
          <cell r="G11">
            <v>0</v>
          </cell>
        </row>
        <row r="12">
          <cell r="C12">
            <v>211</v>
          </cell>
          <cell r="G12">
            <v>2158.2820000000002</v>
          </cell>
        </row>
        <row r="13">
          <cell r="C13">
            <v>616</v>
          </cell>
          <cell r="G13">
            <v>3409.2690000000002</v>
          </cell>
        </row>
        <row r="14">
          <cell r="C14">
            <v>0</v>
          </cell>
          <cell r="G14">
            <v>3118.5820000000003</v>
          </cell>
        </row>
        <row r="15">
          <cell r="C15">
            <v>483</v>
          </cell>
          <cell r="G15">
            <v>5883.7790000000005</v>
          </cell>
        </row>
        <row r="16">
          <cell r="C16">
            <v>17</v>
          </cell>
          <cell r="G16">
            <v>748.399</v>
          </cell>
        </row>
        <row r="17">
          <cell r="C17">
            <v>3</v>
          </cell>
          <cell r="G17">
            <v>2637.2529999999997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1011.224</v>
          </cell>
        </row>
        <row r="24">
          <cell r="C24">
            <v>0</v>
          </cell>
        </row>
        <row r="25">
          <cell r="C25">
            <v>0</v>
          </cell>
          <cell r="G25">
            <v>-21994.538000000004</v>
          </cell>
        </row>
        <row r="26">
          <cell r="C26">
            <v>-500</v>
          </cell>
          <cell r="G26">
            <v>0</v>
          </cell>
        </row>
        <row r="27">
          <cell r="C27">
            <v>0</v>
          </cell>
          <cell r="G27">
            <v>0</v>
          </cell>
        </row>
      </sheetData>
      <sheetData sheetId="2"/>
      <sheetData sheetId="3"/>
      <sheetData sheetId="4">
        <row r="10">
          <cell r="D10">
            <v>-11164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2180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-1498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211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616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326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1440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-1225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-55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17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>
        <row r="9">
          <cell r="D9">
            <v>6994.3119999999999</v>
          </cell>
          <cell r="E9">
            <v>6994.3119999999999</v>
          </cell>
        </row>
        <row r="10">
          <cell r="D10">
            <v>4077.2150000000001</v>
          </cell>
          <cell r="E10">
            <v>4077.2150000000001</v>
          </cell>
        </row>
        <row r="11">
          <cell r="D11">
            <v>0</v>
          </cell>
          <cell r="E11">
            <v>0</v>
          </cell>
        </row>
        <row r="12">
          <cell r="D12">
            <v>1283.7809999999999</v>
          </cell>
          <cell r="E12">
            <v>1283.7809999999999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578.553</v>
          </cell>
          <cell r="E16">
            <v>578.553</v>
          </cell>
        </row>
        <row r="17">
          <cell r="D17">
            <v>1430.25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537.20000000000005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  <sheetName val="GlobalMgmtSum-Q101-0328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45189.822790000006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45189.822790000006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11109.364790000007</v>
      </c>
      <c r="P9" s="37"/>
      <c r="Q9" s="132">
        <f>+'Mgmt Summary'!Q9+'[3]Mgmt Summary'!Q9</f>
        <v>-27310.177209999994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-27642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18094.687989999999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18094.687989999999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3630.8579899999986</v>
      </c>
      <c r="P10" s="37"/>
      <c r="Q10" s="132">
        <f>+'Mgmt Summary'!Q10+'[3]Mgmt Summary'!Q10</f>
        <v>-4405.3120100000015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-3977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1408.0200000000004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1408.0200000000004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1408.0200000000004</v>
      </c>
      <c r="P11" s="37"/>
      <c r="Q11" s="132">
        <f>+'Mgmt Summary'!Q11+'[3]Mgmt Summary'!Q11</f>
        <v>-3591.9799999999996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-3592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-5461.0020000000004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-5461.0020000000004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-9060.5439999999999</v>
      </c>
      <c r="P12" s="37"/>
      <c r="Q12" s="132">
        <f>+'Mgmt Summary'!Q12+'[3]Mgmt Summary'!Q12</f>
        <v>-15461.002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-14818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7457.5380000000005</v>
      </c>
      <c r="E13" s="134">
        <f t="shared" si="0"/>
        <v>8130.5319999999992</v>
      </c>
      <c r="F13" s="36"/>
      <c r="G13" s="132">
        <f>+'Mgmt Summary'!G13+'[3]Mgmt Summary'!G13</f>
        <v>9320.7240000000002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9320.7240000000002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4186.0079999999998</v>
      </c>
      <c r="O13" s="135">
        <f t="shared" si="2"/>
        <v>1863.1860000000006</v>
      </c>
      <c r="P13" s="37"/>
      <c r="Q13" s="132">
        <f>+'Mgmt Summary'!Q13+'[3]Mgmt Summary'!Q13</f>
        <v>-6267.3459999999995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-6267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13725.757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13725.757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2796.5839999999998</v>
      </c>
      <c r="P15" s="37"/>
      <c r="Q15" s="132">
        <f>+'Mgmt Summary'!Q15+'[3]Mgmt Summary'!Q15</f>
        <v>-33774.243000000002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-33274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5596.7629999999999</v>
      </c>
      <c r="E16" s="134">
        <f t="shared" si="0"/>
        <v>-3785.7629999999999</v>
      </c>
      <c r="F16" s="36"/>
      <c r="G16" s="132">
        <f>+'Mgmt Summary'!G16+'[3]Mgmt Summary'!G16</f>
        <v>70.210000000000008</v>
      </c>
      <c r="H16" s="36">
        <f>GrossMargin!J17</f>
        <v>0</v>
      </c>
      <c r="I16" s="137">
        <f>+'Mgmt Summary'!I16+'[3]Mgmt Summary'!I16</f>
        <v>0</v>
      </c>
      <c r="J16" s="135">
        <f t="shared" si="1"/>
        <v>70.210000000000008</v>
      </c>
      <c r="K16" s="136"/>
      <c r="L16" s="132"/>
      <c r="M16" s="139">
        <f>+'Mgmt Summary'!M16+'[3]Mgmt Summary'!M16</f>
        <v>5988.110999999999</v>
      </c>
      <c r="N16" s="139">
        <f>+'Mgmt Summary'!N16+'[3]Mgmt Summary'!N16</f>
        <v>777.76300000000003</v>
      </c>
      <c r="O16" s="135">
        <f t="shared" si="2"/>
        <v>-6695.6639999999989</v>
      </c>
      <c r="P16" s="37"/>
      <c r="Q16" s="132">
        <f>+'Mgmt Summary'!Q16+'[3]Mgmt Summary'!Q16</f>
        <v>-1740.79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-2910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1809.3910000000001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1809.3910000000001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-4461.9259999999995</v>
      </c>
      <c r="P17" s="37"/>
      <c r="Q17" s="132">
        <f>+'Mgmt Summary'!Q17+'[3]Mgmt Summary'!Q17</f>
        <v>-6190.6090000000004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-7191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949.29099999999994</v>
      </c>
      <c r="O21" s="135">
        <f t="shared" si="2"/>
        <v>-2258.5650000000001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0</v>
      </c>
      <c r="V21" s="134">
        <f>ROUND(SUM(Q21:U21),0)</f>
        <v>-239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95260.382999999987</v>
      </c>
      <c r="E23" s="45">
        <f>SUM(E9:E22)</f>
        <v>106315.685</v>
      </c>
      <c r="F23" s="36" t="e">
        <f>SUM(#REF!)</f>
        <v>#REF!</v>
      </c>
      <c r="G23" s="43">
        <f t="shared" ref="G23:O23" si="4">SUM(G9:G22)</f>
        <v>83107.616779999997</v>
      </c>
      <c r="H23" s="44">
        <f t="shared" si="4"/>
        <v>0</v>
      </c>
      <c r="I23" s="44">
        <f t="shared" si="4"/>
        <v>0</v>
      </c>
      <c r="J23" s="46">
        <f t="shared" si="4"/>
        <v>83107.616779999997</v>
      </c>
      <c r="K23" s="44">
        <f t="shared" si="4"/>
        <v>0</v>
      </c>
      <c r="L23" s="43">
        <f t="shared" si="4"/>
        <v>0</v>
      </c>
      <c r="M23" s="44">
        <f t="shared" si="4"/>
        <v>51030.656999999992</v>
      </c>
      <c r="N23" s="44">
        <f t="shared" si="4"/>
        <v>44779.867000000006</v>
      </c>
      <c r="O23" s="46">
        <f t="shared" si="4"/>
        <v>-12702.90721999999</v>
      </c>
      <c r="P23" s="37"/>
      <c r="Q23" s="43">
        <f t="shared" ref="Q23:V23" si="5">SUM(Q9:Q22)</f>
        <v>-118468.45121999999</v>
      </c>
      <c r="R23" s="44">
        <f t="shared" si="5"/>
        <v>0</v>
      </c>
      <c r="S23" s="44">
        <f t="shared" si="5"/>
        <v>0</v>
      </c>
      <c r="T23" s="44">
        <f t="shared" si="5"/>
        <v>-550.14099999999985</v>
      </c>
      <c r="U23" s="44">
        <f t="shared" si="5"/>
        <v>0</v>
      </c>
      <c r="V23" s="45">
        <f t="shared" si="5"/>
        <v>-119019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56277.557000000001</v>
      </c>
      <c r="E25" s="134">
        <f>C25-D25</f>
        <v>-56277.557000000001</v>
      </c>
      <c r="F25" s="36"/>
      <c r="G25" s="132">
        <f>+'Mgmt Summary'!G25+'[3]Mgmt Summary'!G25</f>
        <v>0</v>
      </c>
      <c r="H25" s="36">
        <f>GrossMargin!J32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56277.557000000001</v>
      </c>
      <c r="N25" s="139">
        <f>+'Mgmt Summary'!N25+'[3]Mgmt Summary'!N25</f>
        <v>0</v>
      </c>
      <c r="O25" s="135">
        <f>J25-K25-M25-N25-L25</f>
        <v>-56277.557000000001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0</v>
      </c>
      <c r="U25" s="139">
        <f>+'Mgmt Summary'!U25+'[3]Mgmt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-44779.866999999998</v>
      </c>
      <c r="E26" s="134">
        <f>C26-D26</f>
        <v>44779.866999999998</v>
      </c>
      <c r="F26" s="36"/>
      <c r="G26" s="132">
        <f>+'Mgmt Summary'!G26+'[3]Mgmt Summary'!G26</f>
        <v>0</v>
      </c>
      <c r="H26" s="36">
        <f>GrossMargin!J33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-44779.866999999998</v>
      </c>
      <c r="O26" s="135">
        <f>J26-K26-M26-N26-L26</f>
        <v>44779.866999999998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0</v>
      </c>
      <c r="U26" s="139">
        <f>+'Mgmt Summary'!U26+'[3]Mgmt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-1000</v>
      </c>
      <c r="D27" s="36">
        <f>+'Mgmt Summary'!D27+'[3]Mgmt Summary'!D27</f>
        <v>0</v>
      </c>
      <c r="E27" s="134">
        <f>C27-D27</f>
        <v>-1000</v>
      </c>
      <c r="F27" s="36"/>
      <c r="G27" s="132">
        <f>+'Mgmt Summary'!G27+'[3]Mgmt Summary'!G27</f>
        <v>-781.11799999999994</v>
      </c>
      <c r="H27" s="36">
        <f>GrossMargin!J34</f>
        <v>0</v>
      </c>
      <c r="I27" s="137">
        <f>+'Mgmt Summary'!I27+'[3]Mgmt Summary'!I27</f>
        <v>0</v>
      </c>
      <c r="J27" s="135">
        <f>SUM(G27:I27)</f>
        <v>-781.11799999999994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-781.11799999999994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200576.068</v>
      </c>
      <c r="D30" s="44">
        <f>SUM(D23:D29)</f>
        <v>106758.073</v>
      </c>
      <c r="E30" s="45">
        <f>SUM(E23:E29)</f>
        <v>93817.994999999995</v>
      </c>
      <c r="F30" s="36"/>
      <c r="G30" s="43">
        <f t="shared" ref="G30:N30" si="6">SUM(G23:G29)</f>
        <v>82326.498779999994</v>
      </c>
      <c r="H30" s="44">
        <f t="shared" si="6"/>
        <v>0</v>
      </c>
      <c r="I30" s="44">
        <f t="shared" si="6"/>
        <v>0</v>
      </c>
      <c r="J30" s="46">
        <f t="shared" si="6"/>
        <v>82326.498779999994</v>
      </c>
      <c r="K30" s="44">
        <f t="shared" si="6"/>
        <v>0</v>
      </c>
      <c r="L30" s="43">
        <f t="shared" si="6"/>
        <v>0</v>
      </c>
      <c r="M30" s="44">
        <f t="shared" si="6"/>
        <v>107308.21399999999</v>
      </c>
      <c r="N30" s="44">
        <f t="shared" si="6"/>
        <v>7.2759576141834259E-12</v>
      </c>
      <c r="O30" s="46">
        <f>J30-K30-M30-N30-L30</f>
        <v>-24981.715220000006</v>
      </c>
      <c r="P30" s="37"/>
      <c r="Q30" s="43">
        <f t="shared" ref="Q30:V30" si="7">SUM(Q23:Q29)</f>
        <v>-118249.56921999999</v>
      </c>
      <c r="R30" s="44">
        <f t="shared" si="7"/>
        <v>0</v>
      </c>
      <c r="S30" s="44">
        <f t="shared" si="7"/>
        <v>0</v>
      </c>
      <c r="T30" s="44">
        <f t="shared" si="7"/>
        <v>-550.14099999999985</v>
      </c>
      <c r="U30" s="44">
        <f t="shared" si="7"/>
        <v>0</v>
      </c>
      <c r="V30" s="45">
        <f t="shared" si="7"/>
        <v>-118800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616</v>
      </c>
      <c r="E32" s="134">
        <f>C32-D32</f>
        <v>-616</v>
      </c>
      <c r="F32" s="36"/>
      <c r="G32" s="132">
        <f>+'Mgmt Summary'!G32+'[2]YTD Mgmt Summary'!G32</f>
        <v>0</v>
      </c>
      <c r="H32" s="36">
        <f>GrossMargin!J39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616</v>
      </c>
      <c r="N32" s="139">
        <f>+'Mgmt Summary'!N32+'[2]YTD Mgmt Summary'!N32</f>
        <v>0</v>
      </c>
      <c r="O32" s="135">
        <f>J32-K32-M32-N32-L32</f>
        <v>-616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0</v>
      </c>
      <c r="U32" s="139">
        <f>+'Mgmt Summary'!U32+'[2]YTD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200576.068</v>
      </c>
      <c r="D34" s="40">
        <f>SUM(D30:D32)</f>
        <v>107374.073</v>
      </c>
      <c r="E34" s="41">
        <f>SUM(E30:E32)</f>
        <v>93201.994999999995</v>
      </c>
      <c r="F34" s="36"/>
      <c r="G34" s="39">
        <f t="shared" ref="G34:V34" si="8">SUM(G30:G32)</f>
        <v>82326.498779999994</v>
      </c>
      <c r="H34" s="40">
        <f t="shared" si="8"/>
        <v>0</v>
      </c>
      <c r="I34" s="40">
        <f t="shared" si="8"/>
        <v>0</v>
      </c>
      <c r="J34" s="42">
        <f t="shared" si="8"/>
        <v>82326.498779999994</v>
      </c>
      <c r="K34" s="40">
        <f t="shared" si="8"/>
        <v>0</v>
      </c>
      <c r="L34" s="39">
        <f t="shared" si="8"/>
        <v>0</v>
      </c>
      <c r="M34" s="40">
        <f t="shared" si="8"/>
        <v>107924.21399999999</v>
      </c>
      <c r="N34" s="40">
        <f t="shared" si="8"/>
        <v>7.2759576141834259E-12</v>
      </c>
      <c r="O34" s="42">
        <f>J34-K34-M34-N34-L34</f>
        <v>-25597.715220000006</v>
      </c>
      <c r="P34" s="37"/>
      <c r="Q34" s="39">
        <f t="shared" si="8"/>
        <v>-118249.56921999999</v>
      </c>
      <c r="R34" s="40">
        <f t="shared" si="8"/>
        <v>0</v>
      </c>
      <c r="S34" s="40">
        <f t="shared" si="8"/>
        <v>0</v>
      </c>
      <c r="T34" s="40">
        <f t="shared" si="8"/>
        <v>-550.14099999999985</v>
      </c>
      <c r="U34" s="40">
        <f t="shared" si="8"/>
        <v>0</v>
      </c>
      <c r="V34" s="41">
        <f t="shared" si="8"/>
        <v>-118800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zoomScale="95" workbookViewId="0">
      <selection activeCell="P20" sqref="P19:P20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20,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2" t="s">
        <v>85</v>
      </c>
      <c r="L6" s="313"/>
      <c r="M6" s="314"/>
      <c r="N6" s="284"/>
      <c r="O6" s="312" t="s">
        <v>110</v>
      </c>
      <c r="P6" s="313"/>
      <c r="Q6" s="314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-16830</v>
      </c>
      <c r="D9" s="223">
        <f>+'Mgmt Summary'!C9</f>
        <v>32500</v>
      </c>
      <c r="E9" s="224">
        <f t="shared" ref="E9:E20" si="0">-D9+C9</f>
        <v>-49330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-33828.016000000003</v>
      </c>
      <c r="L9" s="223">
        <f t="shared" ref="K9:L20" si="2">D9-H9</f>
        <v>15501.984</v>
      </c>
      <c r="M9" s="224">
        <f t="shared" ref="M9:M20" si="3">K9-L9</f>
        <v>-49330</v>
      </c>
      <c r="N9" s="286"/>
      <c r="O9" s="222">
        <f>+C9-'[4]QTD Mgmt Summary'!C9</f>
        <v>-5666</v>
      </c>
      <c r="P9" s="223">
        <f>-G9+'[4]QTD Mgmt Summary'!G9</f>
        <v>0</v>
      </c>
      <c r="Q9" s="224">
        <f t="shared" ref="Q9:Q14" si="4">+O9+P9</f>
        <v>-5666</v>
      </c>
    </row>
    <row r="10" spans="1:22" s="32" customFormat="1" ht="13.5" customHeight="1">
      <c r="A10" s="220" t="s">
        <v>1</v>
      </c>
      <c r="B10" s="221"/>
      <c r="C10" s="222">
        <f>+'Mgmt Summary'!J10</f>
        <v>2395</v>
      </c>
      <c r="D10" s="223">
        <f>+'Mgmt Summary'!C10</f>
        <v>11250</v>
      </c>
      <c r="E10" s="224">
        <f t="shared" si="0"/>
        <v>-8855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-5084.1939999999995</v>
      </c>
      <c r="L10" s="223">
        <f t="shared" si="2"/>
        <v>3770.8060000000005</v>
      </c>
      <c r="M10" s="224">
        <f t="shared" si="3"/>
        <v>-8855</v>
      </c>
      <c r="N10" s="286"/>
      <c r="O10" s="222">
        <f>+C10-'[4]QTD Mgmt Summary'!C10</f>
        <v>215</v>
      </c>
      <c r="P10" s="223">
        <f>-G10+'[4]QTD Mgmt Summary'!G10</f>
        <v>0</v>
      </c>
      <c r="Q10" s="224">
        <f t="shared" si="4"/>
        <v>215</v>
      </c>
    </row>
    <row r="11" spans="1:22" s="32" customFormat="1" ht="13.5" customHeight="1">
      <c r="A11" s="220" t="s">
        <v>122</v>
      </c>
      <c r="B11" s="221"/>
      <c r="C11" s="222">
        <f>+'Mgmt Summary'!J11</f>
        <v>-3205</v>
      </c>
      <c r="D11" s="223">
        <f>+'Mgmt Summary'!C11</f>
        <v>2500</v>
      </c>
      <c r="E11" s="224">
        <f t="shared" si="0"/>
        <v>-5705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-3205</v>
      </c>
      <c r="L11" s="223">
        <f>D11-H11</f>
        <v>2500</v>
      </c>
      <c r="M11" s="224">
        <f t="shared" si="3"/>
        <v>-5705</v>
      </c>
      <c r="N11" s="286"/>
      <c r="O11" s="222">
        <f>+C11-'[4]QTD Mgmt Summary'!C11</f>
        <v>-1707</v>
      </c>
      <c r="P11" s="223">
        <f>-G11+'[4]QTD Mgmt Summary'!G11</f>
        <v>0</v>
      </c>
      <c r="Q11" s="224">
        <f t="shared" si="4"/>
        <v>-1707</v>
      </c>
    </row>
    <row r="12" spans="1:22" s="32" customFormat="1" ht="13.5" customHeight="1">
      <c r="A12" s="220" t="s">
        <v>43</v>
      </c>
      <c r="B12" s="221"/>
      <c r="C12" s="222">
        <f>+'Mgmt Summary'!J12</f>
        <v>770</v>
      </c>
      <c r="D12" s="223">
        <f>+'Mgmt Summary'!C12</f>
        <v>5000</v>
      </c>
      <c r="E12" s="224">
        <f t="shared" si="0"/>
        <v>-4230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-1388.2820000000002</v>
      </c>
      <c r="L12" s="223">
        <f t="shared" si="2"/>
        <v>2841.7179999999998</v>
      </c>
      <c r="M12" s="224">
        <f t="shared" si="3"/>
        <v>-4230</v>
      </c>
      <c r="N12" s="286"/>
      <c r="O12" s="222">
        <f>+C12-'[4]QTD Mgmt Summary'!C12</f>
        <v>559</v>
      </c>
      <c r="P12" s="223">
        <f>-G12+'[4]QTD Mgmt Summary'!G12</f>
        <v>0</v>
      </c>
      <c r="Q12" s="224">
        <f t="shared" si="4"/>
        <v>559</v>
      </c>
    </row>
    <row r="13" spans="1:22" s="32" customFormat="1" ht="13.5" customHeight="1">
      <c r="A13" s="220" t="s">
        <v>63</v>
      </c>
      <c r="B13" s="221"/>
      <c r="C13" s="222">
        <f>+'Mgmt Summary'!J13</f>
        <v>595</v>
      </c>
      <c r="D13" s="223">
        <f>+'Mgmt Summary'!C13</f>
        <v>7078.8189999999995</v>
      </c>
      <c r="E13" s="224">
        <f t="shared" si="0"/>
        <v>-6483.8189999999995</v>
      </c>
      <c r="F13" s="225"/>
      <c r="G13" s="222">
        <f>+'Mgmt Summary'!M13+'Mgmt Summary'!N13</f>
        <v>3409.2690000000002</v>
      </c>
      <c r="H13" s="223">
        <f>+'Mgmt Summary'!D13</f>
        <v>3409.2690000000002</v>
      </c>
      <c r="I13" s="224">
        <f t="shared" si="1"/>
        <v>0</v>
      </c>
      <c r="J13" s="225"/>
      <c r="K13" s="222">
        <f t="shared" si="2"/>
        <v>-2814.2690000000002</v>
      </c>
      <c r="L13" s="223">
        <f t="shared" si="2"/>
        <v>3669.5499999999993</v>
      </c>
      <c r="M13" s="224">
        <f t="shared" si="3"/>
        <v>-6483.8189999999995</v>
      </c>
      <c r="N13" s="286"/>
      <c r="O13" s="222">
        <f>+C13-'[4]QTD Mgmt Summary'!C13</f>
        <v>-21</v>
      </c>
      <c r="P13" s="223">
        <f>(-G13+'[4]QTD Mgmt Summary'!G13)*0</f>
        <v>0</v>
      </c>
      <c r="Q13" s="224">
        <f t="shared" si="4"/>
        <v>-21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-G14+'[4]QTD Mgmt Summary'!G14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444</v>
      </c>
      <c r="D15" s="223">
        <f>+'Mgmt Summary'!C15</f>
        <v>27500</v>
      </c>
      <c r="E15" s="224">
        <f t="shared" si="0"/>
        <v>-27056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-5439.7790000000005</v>
      </c>
      <c r="L15" s="223">
        <f t="shared" si="2"/>
        <v>21616.220999999998</v>
      </c>
      <c r="M15" s="224">
        <f t="shared" si="3"/>
        <v>-27056</v>
      </c>
      <c r="N15" s="286"/>
      <c r="O15" s="222">
        <f>+C15-'[4]QTD Mgmt Summary'!C15</f>
        <v>-39</v>
      </c>
      <c r="P15" s="223">
        <f>-G15+'[4]QTD Mgmt Summary'!G15</f>
        <v>0</v>
      </c>
      <c r="Q15" s="224">
        <f t="shared" ref="Q15:Q20" si="5">+O15+P15</f>
        <v>-39</v>
      </c>
    </row>
    <row r="16" spans="1:22" s="32" customFormat="1" ht="13.5" customHeight="1">
      <c r="A16" s="220" t="s">
        <v>127</v>
      </c>
      <c r="B16" s="221"/>
      <c r="C16" s="222">
        <f>+'Mgmt Summary'!J16</f>
        <v>29</v>
      </c>
      <c r="D16" s="223">
        <f>+'Mgmt Summary'!C16</f>
        <v>1311</v>
      </c>
      <c r="E16" s="224">
        <f t="shared" si="0"/>
        <v>-1282</v>
      </c>
      <c r="F16" s="225"/>
      <c r="G16" s="222">
        <f>+'Mgmt Summary'!M16+'Mgmt Summary'!N16</f>
        <v>4962.96</v>
      </c>
      <c r="H16" s="223">
        <f>+'Mgmt Summary'!D16</f>
        <v>4962.96</v>
      </c>
      <c r="I16" s="224">
        <f t="shared" si="1"/>
        <v>0</v>
      </c>
      <c r="J16" s="225"/>
      <c r="K16" s="222">
        <f t="shared" si="2"/>
        <v>-4933.96</v>
      </c>
      <c r="L16" s="223">
        <f t="shared" si="2"/>
        <v>-3651.96</v>
      </c>
      <c r="M16" s="224">
        <f t="shared" si="3"/>
        <v>-1282</v>
      </c>
      <c r="N16" s="286"/>
      <c r="O16" s="222">
        <f>+C16-'[4]QTD Mgmt Summary'!C16</f>
        <v>12</v>
      </c>
      <c r="P16" s="223">
        <f>(-G16+'[4]QTD Mgmt Summary'!G16)*0</f>
        <v>0</v>
      </c>
      <c r="Q16" s="224">
        <f t="shared" si="5"/>
        <v>12</v>
      </c>
    </row>
    <row r="17" spans="1:19" s="32" customFormat="1" ht="13.5" customHeight="1">
      <c r="A17" s="220" t="s">
        <v>87</v>
      </c>
      <c r="B17" s="221"/>
      <c r="C17" s="222">
        <f>+'Mgmt Summary'!J17</f>
        <v>130</v>
      </c>
      <c r="D17" s="223">
        <f>+'Mgmt Summary'!C17</f>
        <v>5000</v>
      </c>
      <c r="E17" s="224">
        <f t="shared" si="0"/>
        <v>-4870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-2507.2529999999997</v>
      </c>
      <c r="L17" s="223">
        <f t="shared" si="2"/>
        <v>2362.7470000000003</v>
      </c>
      <c r="M17" s="224">
        <f t="shared" si="3"/>
        <v>-4870</v>
      </c>
      <c r="N17" s="286"/>
      <c r="O17" s="222">
        <f>+C17-'[4]QTD Mgmt Summary'!C17</f>
        <v>127</v>
      </c>
      <c r="P17" s="223">
        <f>-G17+'[4]QTD Mgmt Summary'!G17</f>
        <v>0</v>
      </c>
      <c r="Q17" s="224">
        <f t="shared" si="5"/>
        <v>127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-G18+'[4]QTD Mgmt Summary'!G18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-G19+'[4]QTD Mgmt Summary'!G19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-G20+'[4]QTD Mgmt Summary'!G20</f>
        <v>-250.00000000000011</v>
      </c>
      <c r="Q20" s="224">
        <f t="shared" si="5"/>
        <v>-250.00000000000011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3903</v>
      </c>
      <c r="E21" s="224">
        <f>-D21+C21</f>
        <v>-3903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3903</v>
      </c>
      <c r="M21" s="224">
        <f>K21-L21</f>
        <v>-3903</v>
      </c>
      <c r="N21" s="286"/>
      <c r="O21" s="222">
        <f>(+C21-'[4]QTD Mgmt Summary'!C26)*0</f>
        <v>0</v>
      </c>
      <c r="P21" s="223">
        <f>-G21+'[4]QTD Mgmt Summary'!G21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-17117</v>
      </c>
      <c r="D23" s="232">
        <f>SUM(D9:D22)</f>
        <v>109290.318</v>
      </c>
      <c r="E23" s="233">
        <f>SUM(E9:E22)</f>
        <v>-126407.318</v>
      </c>
      <c r="F23" s="234"/>
      <c r="G23" s="231">
        <f>SUM(G9:G22)</f>
        <v>49550.137000000002</v>
      </c>
      <c r="H23" s="232">
        <f>SUM(H9:H22)</f>
        <v>49300.137000000002</v>
      </c>
      <c r="I23" s="233">
        <f>SUM(I9:I22)</f>
        <v>-250.00000000000011</v>
      </c>
      <c r="J23" s="234"/>
      <c r="K23" s="231">
        <f>SUM(K9:K22)</f>
        <v>-66667.137000000002</v>
      </c>
      <c r="L23" s="232">
        <f>SUM(L9:L22)</f>
        <v>59990.180999999997</v>
      </c>
      <c r="M23" s="233">
        <f>SUM(M9:M22)</f>
        <v>-126657.318</v>
      </c>
      <c r="N23" s="287"/>
      <c r="O23" s="231">
        <f>SUM(O9:O22)</f>
        <v>-6520</v>
      </c>
      <c r="P23" s="232">
        <f>SUM(P9:P22)</f>
        <v>-250.00000000000011</v>
      </c>
      <c r="Q23" s="233">
        <f>SUM(Q9:Q22)</f>
        <v>-6770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94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28870.740999999998</v>
      </c>
      <c r="H25" s="223">
        <f>+'Mgmt Summary'!D25</f>
        <v>28870.740999999998</v>
      </c>
      <c r="I25" s="224">
        <f>+H25-G25</f>
        <v>0</v>
      </c>
      <c r="J25" s="225"/>
      <c r="K25" s="222">
        <f>C25-G25</f>
        <v>-28870.740999999998</v>
      </c>
      <c r="L25" s="223">
        <f>D25-H25</f>
        <v>-28870.740999999998</v>
      </c>
      <c r="M25" s="224">
        <f>K25-L25</f>
        <v>0</v>
      </c>
      <c r="N25" s="286"/>
      <c r="O25" s="222">
        <f>+C25-'[4]QTD Mgmt Summary'!C24</f>
        <v>0</v>
      </c>
      <c r="P25" s="223">
        <f>(-G25+'[4]QTD Mgmt Summary'!G25)*0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-22112.197000000004</v>
      </c>
      <c r="H26" s="223">
        <f>+'Mgmt Summary'!D26</f>
        <v>-22112.197000000004</v>
      </c>
      <c r="I26" s="224">
        <f>+H26-G26</f>
        <v>0</v>
      </c>
      <c r="J26" s="225"/>
      <c r="K26" s="222">
        <f t="shared" ref="K26:L28" si="6">C26-G26</f>
        <v>22112.197000000004</v>
      </c>
      <c r="L26" s="223">
        <f t="shared" si="6"/>
        <v>22112.197000000004</v>
      </c>
      <c r="M26" s="224">
        <f>K26-L26</f>
        <v>0</v>
      </c>
      <c r="N26" s="286"/>
      <c r="O26" s="222">
        <f>+C26-'[4]QTD Mgmt Summary'!C25</f>
        <v>0</v>
      </c>
      <c r="P26" s="223">
        <f>(-G26+'[4]QTD Mgmt Summary'!G26)*0</f>
        <v>0</v>
      </c>
      <c r="Q26" s="224">
        <f>+O26+P26</f>
        <v>0</v>
      </c>
    </row>
    <row r="27" spans="1:19" s="32" customFormat="1" ht="13.5" customHeight="1">
      <c r="A27" s="220" t="s">
        <v>10</v>
      </c>
      <c r="B27" s="221"/>
      <c r="C27" s="222">
        <f>+'Mgmt Summary'!J27</f>
        <v>-500</v>
      </c>
      <c r="D27" s="223">
        <f>+'Mgmt Summary'!C27</f>
        <v>-500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-500</v>
      </c>
      <c r="L27" s="223">
        <f>D27-H27</f>
        <v>-500</v>
      </c>
      <c r="M27" s="224">
        <f>K27-L27</f>
        <v>0</v>
      </c>
      <c r="N27" s="286"/>
      <c r="O27" s="222">
        <f>(+C27-'[4]QTD Mgmt Summary'!C27)*0</f>
        <v>0</v>
      </c>
      <c r="P27" s="223">
        <f>(-G27+'[4]QTD Mgmt Summary'!G27)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-17617</v>
      </c>
      <c r="D30" s="232">
        <f>SUM(D23:D28)</f>
        <v>108790.318</v>
      </c>
      <c r="E30" s="233">
        <f>SUM(E23:E28)</f>
        <v>-126407.318</v>
      </c>
      <c r="F30" s="234"/>
      <c r="G30" s="231">
        <f>SUM(G23:G28)</f>
        <v>56308.680999999997</v>
      </c>
      <c r="H30" s="232">
        <f>SUM(H23:H28)</f>
        <v>56058.680999999997</v>
      </c>
      <c r="I30" s="233">
        <f>SUM(I23:I28)</f>
        <v>-250.00000000000011</v>
      </c>
      <c r="J30" s="234"/>
      <c r="K30" s="231">
        <f>SUM(K23:K28)</f>
        <v>-73925.680999999997</v>
      </c>
      <c r="L30" s="232">
        <f>SUM(L23:L28)</f>
        <v>52731.637000000002</v>
      </c>
      <c r="M30" s="233">
        <f>SUM(M23:M28)</f>
        <v>-126657.318</v>
      </c>
      <c r="N30" s="287"/>
      <c r="O30" s="231">
        <f>SUM(O23:O28)</f>
        <v>-6520</v>
      </c>
      <c r="P30" s="232">
        <f>SUM(P23:P28)</f>
        <v>-250.00000000000011</v>
      </c>
      <c r="Q30" s="233">
        <f>SUM(Q23:Q28)</f>
        <v>-6770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308</v>
      </c>
      <c r="H32" s="223">
        <f>+'Mgmt Summary'!D32</f>
        <v>308</v>
      </c>
      <c r="I32" s="224">
        <f>+H32-G32</f>
        <v>0</v>
      </c>
      <c r="J32" s="225"/>
      <c r="K32" s="222">
        <f>C32-G32</f>
        <v>-308</v>
      </c>
      <c r="L32" s="223">
        <f>D32-H32</f>
        <v>-308</v>
      </c>
      <c r="M32" s="224">
        <f>K32-L32</f>
        <v>0</v>
      </c>
      <c r="N32" s="286"/>
      <c r="O32" s="222">
        <f>(+C32-'[4]QTD Mgmt Summary'!C32)*0</f>
        <v>0</v>
      </c>
      <c r="P32" s="223">
        <f>(-G32+'[4]QTD Mgmt Summary'!G32)*0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-17617</v>
      </c>
      <c r="D34" s="237">
        <f>+D30-D32</f>
        <v>108790.318</v>
      </c>
      <c r="E34" s="260">
        <f>+E30-E32</f>
        <v>-126407.318</v>
      </c>
      <c r="F34" s="238"/>
      <c r="G34" s="236">
        <f>SUM(G30:G32)</f>
        <v>56616.680999999997</v>
      </c>
      <c r="H34" s="237">
        <f>SUM(H30:H32)</f>
        <v>56366.680999999997</v>
      </c>
      <c r="I34" s="260">
        <f>SUM(I30:I32)</f>
        <v>-250.00000000000011</v>
      </c>
      <c r="J34" s="238"/>
      <c r="K34" s="236">
        <f>SUM(K30:K32)</f>
        <v>-74233.680999999997</v>
      </c>
      <c r="L34" s="237">
        <f>SUM(L30:L32)</f>
        <v>52423.637000000002</v>
      </c>
      <c r="M34" s="260">
        <f>SUM(M30:M32)</f>
        <v>-126657.318</v>
      </c>
      <c r="N34" s="287"/>
      <c r="O34" s="236">
        <f>SUM(O30:O32)</f>
        <v>-6520</v>
      </c>
      <c r="P34" s="237">
        <f>SUM(P30:P32)</f>
        <v>-250.00000000000011</v>
      </c>
      <c r="Q34" s="260">
        <f>SUM(Q30:Q32)</f>
        <v>-6770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-308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5133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+GrossMargin!I33</f>
        <v>-17617</v>
      </c>
      <c r="G48" s="265" t="s">
        <v>102</v>
      </c>
      <c r="H48" s="266"/>
      <c r="I48" s="268">
        <f>+G34</f>
        <v>56616.680999999997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-17617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topLeftCell="A3" zoomScaleNormal="100" workbookViewId="0">
      <selection activeCell="P20" sqref="P19:P20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5" t="s">
        <v>69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60"/>
    </row>
    <row r="2" spans="1:24" ht="16.5">
      <c r="A2" s="316" t="s">
        <v>111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61"/>
    </row>
    <row r="3" spans="1:24" ht="13.5">
      <c r="A3" s="317" t="s">
        <v>132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309" t="s">
        <v>40</v>
      </c>
      <c r="H5" s="310"/>
      <c r="I5" s="310"/>
      <c r="J5" s="310"/>
      <c r="K5" s="310"/>
      <c r="L5" s="310"/>
      <c r="M5" s="310"/>
      <c r="N5" s="310"/>
      <c r="O5" s="311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-16830</v>
      </c>
      <c r="H9" s="36">
        <f>GrossMargin!J10</f>
        <v>0</v>
      </c>
      <c r="I9" s="36">
        <f>GrossMargin!K10</f>
        <v>0</v>
      </c>
      <c r="J9" s="135">
        <f>SUM(G9:I9)</f>
        <v>-16830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-33828.015999999996</v>
      </c>
      <c r="P9" s="37"/>
      <c r="Q9" s="132">
        <f t="shared" ref="Q9:Q16" si="1">+J9-C9</f>
        <v>-49330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-49330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2395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2395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-5084.1939999999995</v>
      </c>
      <c r="P10" s="37"/>
      <c r="Q10" s="132">
        <f t="shared" si="1"/>
        <v>-8855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-8855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-3205</v>
      </c>
      <c r="H11" s="36">
        <f>GrossMargin!J12</f>
        <v>0</v>
      </c>
      <c r="I11" s="36">
        <f>GrossMargin!K12</f>
        <v>0</v>
      </c>
      <c r="J11" s="135">
        <f t="shared" si="3"/>
        <v>-3205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-3205</v>
      </c>
      <c r="P11" s="37"/>
      <c r="Q11" s="132">
        <f>+J11-C11</f>
        <v>-5705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-5705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770</v>
      </c>
      <c r="H12" s="36">
        <f>GrossMargin!J13</f>
        <v>0</v>
      </c>
      <c r="I12" s="36">
        <f>GrossMargin!K13</f>
        <v>0</v>
      </c>
      <c r="J12" s="135">
        <f t="shared" si="3"/>
        <v>770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-1388.2819999999999</v>
      </c>
      <c r="P12" s="37"/>
      <c r="Q12" s="132">
        <f t="shared" si="1"/>
        <v>-4230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-4230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3409.2690000000002</v>
      </c>
      <c r="E13" s="134">
        <f t="shared" si="0"/>
        <v>3669.5499999999993</v>
      </c>
      <c r="F13" s="36"/>
      <c r="G13" s="132">
        <f>GrossMargin!I14</f>
        <v>595</v>
      </c>
      <c r="H13" s="36">
        <f>GrossMargin!J14</f>
        <v>0</v>
      </c>
      <c r="I13" s="36">
        <f>GrossMargin!K14</f>
        <v>0</v>
      </c>
      <c r="J13" s="135">
        <f t="shared" si="3"/>
        <v>595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1946.2619999999999</v>
      </c>
      <c r="O13" s="135">
        <f t="shared" si="4"/>
        <v>-2814.2690000000002</v>
      </c>
      <c r="P13" s="37"/>
      <c r="Q13" s="132">
        <f t="shared" si="1"/>
        <v>-6483.8189999999995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-6484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444</v>
      </c>
      <c r="H15" s="36">
        <f>GrossMargin!J16</f>
        <v>0</v>
      </c>
      <c r="I15" s="36">
        <f>GrossMargin!K16</f>
        <v>0</v>
      </c>
      <c r="J15" s="135">
        <f t="shared" si="3"/>
        <v>444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-5439.7790000000005</v>
      </c>
      <c r="P15" s="178"/>
      <c r="Q15" s="138">
        <f t="shared" si="1"/>
        <v>-27056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-27056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4962.96</v>
      </c>
      <c r="E16" s="163">
        <f t="shared" si="0"/>
        <v>-3651.96</v>
      </c>
      <c r="F16" s="139"/>
      <c r="G16" s="132">
        <f>+GrossMargin!I23</f>
        <v>29</v>
      </c>
      <c r="H16" s="36">
        <f>GrossMargin!J17</f>
        <v>0</v>
      </c>
      <c r="I16" s="36">
        <f>GrossMargin!K17</f>
        <v>0</v>
      </c>
      <c r="J16" s="135">
        <f t="shared" si="3"/>
        <v>29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605.66700000000003</v>
      </c>
      <c r="O16" s="135">
        <f t="shared" si="4"/>
        <v>-4933.96</v>
      </c>
      <c r="P16" s="178"/>
      <c r="Q16" s="138">
        <f t="shared" si="1"/>
        <v>-1282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-1282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130</v>
      </c>
      <c r="H17" s="36">
        <f>GrossMargin!J18</f>
        <v>0</v>
      </c>
      <c r="I17" s="36">
        <f>GrossMargin!K18</f>
        <v>0</v>
      </c>
      <c r="J17" s="135">
        <f t="shared" si="3"/>
        <v>130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-2507.2529999999997</v>
      </c>
      <c r="P17" s="178"/>
      <c r="Q17" s="138">
        <f>+J17-C17</f>
        <v>-4870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-4870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2">
        <v>3903</v>
      </c>
      <c r="D21" s="36">
        <v>0</v>
      </c>
      <c r="E21" s="134">
        <f>C21-D21</f>
        <v>3903</v>
      </c>
      <c r="F21" s="36"/>
      <c r="G21" s="132"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-3903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-3903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109290.318</v>
      </c>
      <c r="D23" s="44">
        <f>SUM(D9:D22)</f>
        <v>49300.137000000002</v>
      </c>
      <c r="E23" s="45">
        <f>SUM(E9:E22)</f>
        <v>59990.180999999997</v>
      </c>
      <c r="F23" s="36"/>
      <c r="G23" s="43">
        <f t="shared" ref="G23:N23" si="5">SUM(G9:G22)</f>
        <v>-17117</v>
      </c>
      <c r="H23" s="44">
        <f t="shared" si="5"/>
        <v>0</v>
      </c>
      <c r="I23" s="44">
        <f t="shared" si="5"/>
        <v>0</v>
      </c>
      <c r="J23" s="46">
        <f t="shared" si="5"/>
        <v>-17117</v>
      </c>
      <c r="K23" s="44">
        <f t="shared" si="5"/>
        <v>0</v>
      </c>
      <c r="L23" s="43">
        <f t="shared" si="5"/>
        <v>0</v>
      </c>
      <c r="M23" s="44">
        <f t="shared" si="5"/>
        <v>27437.94</v>
      </c>
      <c r="N23" s="44">
        <f t="shared" si="5"/>
        <v>22112.197000000004</v>
      </c>
      <c r="O23" s="46">
        <f>SUM(O9:O22)</f>
        <v>-66667.136999999988</v>
      </c>
      <c r="P23" s="37"/>
      <c r="Q23" s="43">
        <f t="shared" ref="Q23:V23" si="6">SUM(Q9:Q22)</f>
        <v>-126407.318</v>
      </c>
      <c r="R23" s="44">
        <f t="shared" si="6"/>
        <v>0</v>
      </c>
      <c r="S23" s="44">
        <f t="shared" si="6"/>
        <v>0</v>
      </c>
      <c r="T23" s="44">
        <f t="shared" si="6"/>
        <v>-250</v>
      </c>
      <c r="U23" s="44">
        <f t="shared" si="6"/>
        <v>0</v>
      </c>
      <c r="V23" s="45">
        <f t="shared" si="6"/>
        <v>-126657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v>0</v>
      </c>
      <c r="D25" s="36">
        <f>+Expenses!E24</f>
        <v>28870.740999999998</v>
      </c>
      <c r="E25" s="134">
        <f>C25-D25</f>
        <v>-28870.740999999998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28870.740999999998</v>
      </c>
      <c r="N25" s="36">
        <v>0</v>
      </c>
      <c r="O25" s="135">
        <f>J25-K25-M25-N25-L25</f>
        <v>-28870.740999999998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-22112.197000000004</v>
      </c>
      <c r="E26" s="134">
        <f>C26-D26</f>
        <v>22112.197000000004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-22112.197000000004</v>
      </c>
      <c r="O26" s="135">
        <f>J26-K26-M26-N26-L26</f>
        <v>22112.197000000004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8">
        <f>GrossMargin!M31</f>
        <v>-500</v>
      </c>
      <c r="D27" s="36">
        <v>0</v>
      </c>
      <c r="E27" s="134">
        <f>C27-D27</f>
        <v>-500</v>
      </c>
      <c r="F27" s="136"/>
      <c r="G27" s="132">
        <f>+GrossMargin!I31</f>
        <v>-500</v>
      </c>
      <c r="H27" s="36">
        <f>GrossMargin!J31</f>
        <v>0</v>
      </c>
      <c r="I27" s="36">
        <f>GrossMargin!K31</f>
        <v>0</v>
      </c>
      <c r="J27" s="135">
        <f>SUM(G27:I27)</f>
        <v>-500</v>
      </c>
      <c r="K27" s="136"/>
      <c r="L27" s="132">
        <v>0</v>
      </c>
      <c r="M27" s="36">
        <v>0</v>
      </c>
      <c r="N27" s="36">
        <v>0</v>
      </c>
      <c r="O27" s="135">
        <f>J27-K27-M27-N27-L27</f>
        <v>-500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108790.318</v>
      </c>
      <c r="D30" s="44">
        <f>SUM(D23:D29)</f>
        <v>56058.680999999997</v>
      </c>
      <c r="E30" s="45">
        <f>SUM(E23:E29)</f>
        <v>52731.637000000002</v>
      </c>
      <c r="F30" s="36"/>
      <c r="G30" s="43">
        <f t="shared" ref="G30:N30" si="7">SUM(G23:G29)</f>
        <v>-17617</v>
      </c>
      <c r="H30" s="44">
        <f t="shared" si="7"/>
        <v>0</v>
      </c>
      <c r="I30" s="44">
        <f t="shared" si="7"/>
        <v>0</v>
      </c>
      <c r="J30" s="46">
        <f t="shared" si="7"/>
        <v>-17617</v>
      </c>
      <c r="K30" s="44">
        <f t="shared" si="7"/>
        <v>0</v>
      </c>
      <c r="L30" s="43">
        <f t="shared" si="7"/>
        <v>0</v>
      </c>
      <c r="M30" s="44">
        <f t="shared" si="7"/>
        <v>56308.680999999997</v>
      </c>
      <c r="N30" s="44">
        <f t="shared" si="7"/>
        <v>0</v>
      </c>
      <c r="O30" s="46">
        <f>J30-K30-M30-N30-L30</f>
        <v>-73925.680999999997</v>
      </c>
      <c r="P30" s="37"/>
      <c r="Q30" s="43">
        <f t="shared" ref="Q30:V30" si="8">SUM(Q23:Q29)</f>
        <v>-126407.318</v>
      </c>
      <c r="R30" s="44">
        <f t="shared" si="8"/>
        <v>0</v>
      </c>
      <c r="S30" s="44">
        <f t="shared" si="8"/>
        <v>0</v>
      </c>
      <c r="T30" s="44">
        <f t="shared" si="8"/>
        <v>-250</v>
      </c>
      <c r="U30" s="44">
        <f t="shared" si="8"/>
        <v>0</v>
      </c>
      <c r="V30" s="45">
        <f t="shared" si="8"/>
        <v>-126657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308</v>
      </c>
      <c r="E32" s="134">
        <f>C32-D32</f>
        <v>-308</v>
      </c>
      <c r="F32" s="36"/>
      <c r="G32" s="132">
        <f>GrossMargin!I43</f>
        <v>0</v>
      </c>
      <c r="H32" s="36">
        <f>GrossMargin!J43</f>
        <v>0</v>
      </c>
      <c r="I32" s="36">
        <f>GrossMargin!K43</f>
        <v>0</v>
      </c>
      <c r="J32" s="135">
        <f>SUM(G32:I32)</f>
        <v>0</v>
      </c>
      <c r="K32" s="136"/>
      <c r="L32" s="133">
        <v>0</v>
      </c>
      <c r="M32" s="139">
        <v>308</v>
      </c>
      <c r="N32" s="36">
        <v>0</v>
      </c>
      <c r="O32" s="135">
        <f>J32-K32-M32-N32-L32</f>
        <v>-308</v>
      </c>
      <c r="P32" s="37"/>
      <c r="Q32" s="132">
        <f>+J32-C32</f>
        <v>0</v>
      </c>
      <c r="R32" s="36"/>
      <c r="S32" s="36">
        <v>0</v>
      </c>
      <c r="T32" s="36">
        <f>D32-M32</f>
        <v>0</v>
      </c>
      <c r="U32" s="36"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108790.318</v>
      </c>
      <c r="D34" s="40">
        <f>SUM(D30:D32)</f>
        <v>56366.680999999997</v>
      </c>
      <c r="E34" s="41">
        <f>SUM(E30:E32)</f>
        <v>52423.637000000002</v>
      </c>
      <c r="F34" s="36"/>
      <c r="G34" s="39">
        <f t="shared" ref="G34:V34" si="9">SUM(G30:G32)</f>
        <v>-17617</v>
      </c>
      <c r="H34" s="40">
        <f t="shared" si="9"/>
        <v>0</v>
      </c>
      <c r="I34" s="40">
        <f t="shared" si="9"/>
        <v>0</v>
      </c>
      <c r="J34" s="42">
        <f t="shared" si="9"/>
        <v>-17617</v>
      </c>
      <c r="K34" s="40">
        <f t="shared" si="9"/>
        <v>0</v>
      </c>
      <c r="L34" s="39">
        <f t="shared" si="9"/>
        <v>0</v>
      </c>
      <c r="M34" s="40">
        <f t="shared" si="9"/>
        <v>56616.680999999997</v>
      </c>
      <c r="N34" s="40">
        <f t="shared" si="9"/>
        <v>0</v>
      </c>
      <c r="O34" s="42">
        <f>J34-K34-M34-N34-L34</f>
        <v>-74233.680999999997</v>
      </c>
      <c r="P34" s="37"/>
      <c r="Q34" s="39">
        <f t="shared" si="9"/>
        <v>-126407.318</v>
      </c>
      <c r="R34" s="40">
        <f t="shared" si="9"/>
        <v>0</v>
      </c>
      <c r="S34" s="40">
        <f t="shared" si="9"/>
        <v>0</v>
      </c>
      <c r="T34" s="40">
        <f t="shared" si="9"/>
        <v>-250</v>
      </c>
      <c r="U34" s="40">
        <f t="shared" si="9"/>
        <v>0</v>
      </c>
      <c r="V34" s="41">
        <f t="shared" si="9"/>
        <v>-126657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9" sqref="F39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April 20,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-5666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-5666</v>
      </c>
      <c r="I9" s="132">
        <v>0</v>
      </c>
      <c r="J9" s="36">
        <f>+GrossMargin!K10-[4]GrossMargin!K10</f>
        <v>0</v>
      </c>
      <c r="K9" s="134">
        <f t="shared" ref="K9:K20" si="1">SUM(H9:J9)</f>
        <v>-5666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215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215</v>
      </c>
      <c r="I10" s="132">
        <v>0</v>
      </c>
      <c r="J10" s="36">
        <f>+GrossMargin!K11-[4]GrossMargin!K11</f>
        <v>0</v>
      </c>
      <c r="K10" s="134">
        <f t="shared" si="1"/>
        <v>215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-1707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-1707</v>
      </c>
      <c r="I11" s="132">
        <v>0</v>
      </c>
      <c r="J11" s="36">
        <f>+GrossMargin!K12-[4]GrossMargin!K12</f>
        <v>0</v>
      </c>
      <c r="K11" s="134">
        <f t="shared" si="1"/>
        <v>-1707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559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559</v>
      </c>
      <c r="I12" s="132">
        <v>0</v>
      </c>
      <c r="J12" s="36">
        <f>+GrossMargin!K13-[4]GrossMargin!K13</f>
        <v>0</v>
      </c>
      <c r="K12" s="134">
        <f t="shared" si="1"/>
        <v>559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-21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-21</v>
      </c>
      <c r="I13" s="132">
        <v>0</v>
      </c>
      <c r="J13" s="36">
        <f>+GrossMargin!K14-[4]GrossMargin!K14</f>
        <v>0</v>
      </c>
      <c r="K13" s="134">
        <f t="shared" si="1"/>
        <v>-21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79</v>
      </c>
      <c r="B15" s="245"/>
      <c r="C15" s="240">
        <f>+GrossMargin!D16-[4]GrossMargin!D16</f>
        <v>-1059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-1059</v>
      </c>
      <c r="I15" s="290">
        <v>0</v>
      </c>
      <c r="J15" s="242">
        <f>+GrossMargin!K16-[4]GrossMargin!K16</f>
        <v>0</v>
      </c>
      <c r="K15" s="291">
        <f t="shared" si="1"/>
        <v>-1059</v>
      </c>
    </row>
    <row r="16" spans="1:11" ht="13.5" hidden="1" customHeight="1">
      <c r="A16" s="304" t="s">
        <v>109</v>
      </c>
      <c r="B16" s="245"/>
      <c r="C16" s="240">
        <f>+GrossMargin!D17-[4]GrossMargin!D17</f>
        <v>870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870</v>
      </c>
      <c r="I16" s="290">
        <v>0</v>
      </c>
      <c r="J16" s="242">
        <f>+GrossMargin!K17-[4]GrossMargin!K17</f>
        <v>0</v>
      </c>
      <c r="K16" s="291">
        <f t="shared" si="1"/>
        <v>870</v>
      </c>
    </row>
    <row r="17" spans="1:11" ht="13.5" hidden="1" customHeight="1">
      <c r="A17" s="304" t="s">
        <v>82</v>
      </c>
      <c r="B17" s="245"/>
      <c r="C17" s="240">
        <f>+GrossMargin!D18-[4]GrossMargin!D18</f>
        <v>178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178</v>
      </c>
      <c r="I17" s="290">
        <v>0</v>
      </c>
      <c r="J17" s="242">
        <f>+GrossMargin!K18-[4]GrossMargin!K18</f>
        <v>0</v>
      </c>
      <c r="K17" s="291">
        <f t="shared" si="1"/>
        <v>178</v>
      </c>
    </row>
    <row r="18" spans="1:11" ht="13.5" hidden="1" customHeight="1">
      <c r="A18" s="304" t="s">
        <v>80</v>
      </c>
      <c r="B18" s="245"/>
      <c r="C18" s="240">
        <f>+GrossMargin!D19-[4]GrossMargin!D19</f>
        <v>22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22</v>
      </c>
      <c r="I18" s="290">
        <v>0</v>
      </c>
      <c r="J18" s="242">
        <f>+GrossMargin!K19-[4]GrossMargin!K19</f>
        <v>0</v>
      </c>
      <c r="K18" s="291">
        <f t="shared" si="1"/>
        <v>22</v>
      </c>
    </row>
    <row r="19" spans="1:11" ht="13.5" hidden="1" customHeight="1">
      <c r="A19" s="304" t="s">
        <v>81</v>
      </c>
      <c r="B19" s="245"/>
      <c r="C19" s="240">
        <f>+GrossMargin!D20-[4]GrossMargin!D20</f>
        <v>-50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-50</v>
      </c>
      <c r="I19" s="290">
        <v>0</v>
      </c>
      <c r="J19" s="242">
        <f>+GrossMargin!K20-[4]GrossMargin!K20</f>
        <v>0</v>
      </c>
      <c r="K19" s="291">
        <f t="shared" si="1"/>
        <v>-50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-39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-39</v>
      </c>
      <c r="I21" s="132">
        <f t="shared" si="2"/>
        <v>0</v>
      </c>
      <c r="J21" s="36">
        <f t="shared" si="2"/>
        <v>0</v>
      </c>
      <c r="K21" s="134">
        <f t="shared" si="2"/>
        <v>-39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12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12</v>
      </c>
      <c r="I22" s="132">
        <v>0</v>
      </c>
      <c r="J22" s="36">
        <f>+GrossMargin!K23-[4]GrossMargin!K23</f>
        <v>0</v>
      </c>
      <c r="K22" s="134">
        <f>SUM(H22:J22)</f>
        <v>12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127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127</v>
      </c>
      <c r="I23" s="132">
        <v>0</v>
      </c>
      <c r="J23" s="36">
        <f>+GrossMargin!K24-[4]GrossMargin!K24</f>
        <v>0</v>
      </c>
      <c r="K23" s="134">
        <f>SUM(H23:J23)</f>
        <v>127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>SUM(C24:G24)</f>
        <v>0</v>
      </c>
      <c r="I24" s="132">
        <v>0</v>
      </c>
      <c r="J24" s="36">
        <f>+GrossMargin!K25-[4]GrossMargin!K25</f>
        <v>0</v>
      </c>
      <c r="K24" s="134">
        <f>SUM(H24:J24)</f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128</v>
      </c>
      <c r="B28" s="34"/>
      <c r="C28" s="43">
        <f>SUM(C21:C26)+SUM(C9:C14)</f>
        <v>-6520</v>
      </c>
      <c r="D28" s="44">
        <f>SUM(D9:D14)+SUM(D21:D26)</f>
        <v>0</v>
      </c>
      <c r="E28" s="44">
        <f>SUM(E9:E14)+SUM(E21:E26)</f>
        <v>0</v>
      </c>
      <c r="F28" s="45">
        <f>SUM(F9:F14)+SUM(F21:F26)</f>
        <v>0</v>
      </c>
      <c r="G28" s="44">
        <f>SUM(G9:G14)+SUM(G21:G26)</f>
        <v>0</v>
      </c>
      <c r="H28" s="46">
        <f>SUM(H9:H14)+SUM(H21:H26)</f>
        <v>-6520</v>
      </c>
      <c r="I28" s="44" t="e">
        <f>+#REF!+#REF!</f>
        <v>#REF!</v>
      </c>
      <c r="J28" s="44">
        <f>SUM(J9:J14)+SUM(J21:J26)</f>
        <v>0</v>
      </c>
      <c r="K28" s="45">
        <f>SUM(K9:K14)+SUM(K21:K26)</f>
        <v>-6520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93</v>
      </c>
      <c r="B32" s="34"/>
      <c r="C32" s="39">
        <f>+C28+C30</f>
        <v>-6520</v>
      </c>
      <c r="D32" s="40">
        <f>+D28+D30</f>
        <v>0</v>
      </c>
      <c r="E32" s="40">
        <f>+E28+E30</f>
        <v>0</v>
      </c>
      <c r="F32" s="41">
        <f>+F28+F30</f>
        <v>0</v>
      </c>
      <c r="G32" s="41">
        <f>SUM(G28:G30)</f>
        <v>0</v>
      </c>
      <c r="H32" s="42">
        <f>+H28+H30</f>
        <v>-6520</v>
      </c>
      <c r="I32" s="39" t="e">
        <f>SUM(I28:I30)</f>
        <v>#REF!</v>
      </c>
      <c r="J32" s="40">
        <f>+J28+J30</f>
        <v>0</v>
      </c>
      <c r="K32" s="41">
        <f>+K28+K30</f>
        <v>-6520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5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75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9" sqref="G39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April 20,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-16830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-16830</v>
      </c>
      <c r="J10" s="136"/>
      <c r="K10" s="36">
        <v>0</v>
      </c>
      <c r="L10" s="36">
        <f>+I10+K10</f>
        <v>-16830</v>
      </c>
      <c r="M10" s="249">
        <v>32500</v>
      </c>
      <c r="N10" s="134">
        <f t="shared" ref="N10:N23" si="1">L10-M10</f>
        <v>-49330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v>2395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2395</v>
      </c>
      <c r="J11" s="136"/>
      <c r="K11" s="36">
        <v>0</v>
      </c>
      <c r="L11" s="36">
        <f t="shared" ref="L11:L23" si="2">+I11+K11</f>
        <v>2395</v>
      </c>
      <c r="M11" s="249">
        <f>13750-M12</f>
        <v>11250</v>
      </c>
      <c r="N11" s="134">
        <f t="shared" si="1"/>
        <v>-8855</v>
      </c>
    </row>
    <row r="12" spans="1:16" s="187" customFormat="1" ht="13.5" customHeight="1">
      <c r="A12" s="12"/>
      <c r="B12" s="106" t="s">
        <v>122</v>
      </c>
      <c r="C12" s="186"/>
      <c r="D12" s="138">
        <v>-3205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-3205</v>
      </c>
      <c r="J12" s="136"/>
      <c r="K12" s="36">
        <v>0</v>
      </c>
      <c r="L12" s="36">
        <f>+I12+K12</f>
        <v>-3205</v>
      </c>
      <c r="M12" s="249">
        <v>2500</v>
      </c>
      <c r="N12" s="134">
        <f>L12-M12</f>
        <v>-5705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770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770</v>
      </c>
      <c r="J13" s="136"/>
      <c r="K13" s="36">
        <v>0</v>
      </c>
      <c r="L13" s="36">
        <f t="shared" si="2"/>
        <v>770</v>
      </c>
      <c r="M13" s="249">
        <f>1875+3125</f>
        <v>5000</v>
      </c>
      <c r="N13" s="134">
        <f t="shared" si="1"/>
        <v>-4230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595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595</v>
      </c>
      <c r="J14" s="136"/>
      <c r="K14" s="36">
        <v>0</v>
      </c>
      <c r="L14" s="36">
        <f t="shared" si="2"/>
        <v>595</v>
      </c>
      <c r="M14" s="249">
        <f>8578.819-1500</f>
        <v>7078.8189999999995</v>
      </c>
      <c r="N14" s="134">
        <f t="shared" si="1"/>
        <v>-6483.8189999999995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-733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-733</v>
      </c>
      <c r="J16" s="242"/>
      <c r="K16" s="242">
        <v>0</v>
      </c>
      <c r="L16" s="36">
        <f t="shared" si="2"/>
        <v>-733</v>
      </c>
      <c r="M16" s="251">
        <v>0</v>
      </c>
      <c r="N16" s="243">
        <f>L16-M16</f>
        <v>-733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2310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2310</v>
      </c>
      <c r="J17" s="242"/>
      <c r="K17" s="242">
        <v>0</v>
      </c>
      <c r="L17" s="36">
        <f>+I17+K17</f>
        <v>2310</v>
      </c>
      <c r="M17" s="251">
        <v>0</v>
      </c>
      <c r="N17" s="243">
        <f>L17-M17</f>
        <v>2310</v>
      </c>
    </row>
    <row r="18" spans="1:16" ht="13.5" hidden="1" customHeight="1">
      <c r="B18" s="304" t="s">
        <v>82</v>
      </c>
      <c r="C18" s="239"/>
      <c r="D18" s="240">
        <v>-1047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-1047</v>
      </c>
      <c r="J18" s="242"/>
      <c r="K18" s="242">
        <v>0</v>
      </c>
      <c r="L18" s="36">
        <f t="shared" si="2"/>
        <v>-1047</v>
      </c>
      <c r="M18" s="251">
        <v>0</v>
      </c>
      <c r="N18" s="243">
        <f>L18-M18</f>
        <v>-1047</v>
      </c>
      <c r="P18" s="165"/>
    </row>
    <row r="19" spans="1:16" ht="13.5" hidden="1" customHeight="1">
      <c r="B19" s="304" t="s">
        <v>80</v>
      </c>
      <c r="C19" s="239"/>
      <c r="D19" s="240">
        <v>-33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-33</v>
      </c>
      <c r="J19" s="242"/>
      <c r="K19" s="242">
        <v>0</v>
      </c>
      <c r="L19" s="36">
        <f t="shared" si="2"/>
        <v>-33</v>
      </c>
      <c r="M19" s="251">
        <v>0</v>
      </c>
      <c r="N19" s="243">
        <f t="shared" si="1"/>
        <v>-33</v>
      </c>
      <c r="O19" s="165"/>
    </row>
    <row r="20" spans="1:16" ht="13.5" hidden="1" customHeight="1">
      <c r="B20" s="304" t="s">
        <v>81</v>
      </c>
      <c r="C20" s="239"/>
      <c r="D20" s="240">
        <v>-53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-53</v>
      </c>
      <c r="J20" s="242"/>
      <c r="K20" s="242">
        <v>0</v>
      </c>
      <c r="L20" s="36">
        <f t="shared" si="2"/>
        <v>-53</v>
      </c>
      <c r="M20" s="251">
        <v>0</v>
      </c>
      <c r="N20" s="243">
        <f t="shared" si="1"/>
        <v>-53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444</v>
      </c>
      <c r="J22" s="136"/>
      <c r="K22" s="36">
        <f>SUM(K16:K21)</f>
        <v>0</v>
      </c>
      <c r="L22" s="36">
        <f t="shared" si="2"/>
        <v>444</v>
      </c>
      <c r="M22" s="249">
        <v>27500</v>
      </c>
      <c r="N22" s="134">
        <f>L22-M22</f>
        <v>-27056</v>
      </c>
    </row>
    <row r="23" spans="1:16" s="187" customFormat="1" ht="13.5" customHeight="1">
      <c r="A23" s="12"/>
      <c r="B23" s="166" t="s">
        <v>127</v>
      </c>
      <c r="C23" s="186"/>
      <c r="D23" s="138">
        <v>29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29</v>
      </c>
      <c r="J23" s="136"/>
      <c r="K23" s="36">
        <v>0</v>
      </c>
      <c r="L23" s="36">
        <f t="shared" si="2"/>
        <v>29</v>
      </c>
      <c r="M23" s="137">
        <f>1000+311</f>
        <v>1311</v>
      </c>
      <c r="N23" s="134">
        <f t="shared" si="1"/>
        <v>-1282</v>
      </c>
    </row>
    <row r="24" spans="1:16" s="187" customFormat="1" ht="13.5" customHeight="1">
      <c r="A24" s="12"/>
      <c r="B24" s="106" t="s">
        <v>87</v>
      </c>
      <c r="C24" s="186"/>
      <c r="D24" s="138">
        <v>130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130</v>
      </c>
      <c r="J24" s="136"/>
      <c r="K24" s="36">
        <v>0</v>
      </c>
      <c r="L24" s="36">
        <f>+I24+K24</f>
        <v>130</v>
      </c>
      <c r="M24" s="249">
        <v>5000</v>
      </c>
      <c r="N24" s="134">
        <f>L24-M24</f>
        <v>-4870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-15672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-17117</v>
      </c>
      <c r="J29" s="44">
        <f t="shared" si="4"/>
        <v>0</v>
      </c>
      <c r="K29" s="44">
        <f t="shared" si="4"/>
        <v>0</v>
      </c>
      <c r="L29" s="44">
        <f t="shared" si="4"/>
        <v>-17117</v>
      </c>
      <c r="M29" s="45">
        <f t="shared" si="4"/>
        <v>105387.318</v>
      </c>
      <c r="N29" s="45">
        <f t="shared" si="4"/>
        <v>-122504.318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-15672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-17617</v>
      </c>
      <c r="J33" s="40">
        <f>SUM(J29:J31)</f>
        <v>0</v>
      </c>
      <c r="K33" s="39">
        <f>+K29+K31</f>
        <v>0</v>
      </c>
      <c r="L33" s="40">
        <f>+L29+L31</f>
        <v>-17617</v>
      </c>
      <c r="M33" s="41">
        <f>+M29+M31</f>
        <v>104887.318</v>
      </c>
      <c r="N33" s="41">
        <f>SUM(N29:N31)</f>
        <v>-122504.318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F16" sqref="F1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58</v>
      </c>
    </row>
    <row r="3" spans="1:37" ht="15">
      <c r="A3" s="11">
        <v>36861</v>
      </c>
      <c r="B3" s="328" t="s">
        <v>126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46</v>
      </c>
      <c r="B6" s="123"/>
      <c r="D6" s="321" t="s">
        <v>25</v>
      </c>
      <c r="E6" s="322"/>
      <c r="F6" s="32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4" t="s">
        <v>38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 t="shared" ref="D9:D16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0"/>
        <v>4357.2929999999997</v>
      </c>
      <c r="E16" s="172">
        <f>578.553+3778.74</f>
        <v>4357.2929999999997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27437.94</v>
      </c>
      <c r="E22" s="57">
        <f>SUM(E9:E21)</f>
        <v>27187.94</v>
      </c>
      <c r="F22" s="180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28870.740999999998</v>
      </c>
      <c r="E24" s="141">
        <f>29614-68.678-792.24-318.162+435.821</f>
        <v>28870.740999999998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56308.680999999997</v>
      </c>
      <c r="E27" s="48">
        <f>SUM(E22:E25)</f>
        <v>56058.680999999997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0" t="s">
        <v>48</v>
      </c>
      <c r="E30" s="331"/>
      <c r="F30" s="332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8" t="s">
        <v>38</v>
      </c>
      <c r="I31" s="319"/>
      <c r="J31" s="319"/>
      <c r="K31" s="320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E39" sqref="E3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7" t="s">
        <v>69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5">
      <c r="A3" s="328" t="s">
        <v>117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April 20, 2001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3"/>
      <c r="B6" s="50"/>
      <c r="C6" s="321" t="s">
        <v>25</v>
      </c>
      <c r="D6" s="322"/>
      <c r="E6" s="32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4" t="s">
        <v>38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143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3778.74</v>
      </c>
      <c r="D16" s="141">
        <f>+Expenses!E16-[4]Expenses!E16</f>
        <v>3778.74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250</v>
      </c>
      <c r="D20" s="141">
        <f>+Expenses!E20-[4]Expenses!E20</f>
        <v>0</v>
      </c>
      <c r="E20" s="142">
        <f>D20-C20</f>
        <v>-250</v>
      </c>
      <c r="F20" s="52"/>
      <c r="G20" s="247" t="s">
        <v>130</v>
      </c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4028.74</v>
      </c>
      <c r="D23" s="48">
        <f>SUM(D9:D22)</f>
        <v>3778.74</v>
      </c>
      <c r="E23" s="49">
        <f>SUM(E9:E22)</f>
        <v>-250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4028.74</v>
      </c>
      <c r="D28" s="48">
        <f>SUM(D23:D26)</f>
        <v>3778.74</v>
      </c>
      <c r="E28" s="49">
        <f>SUM(E23:E26)</f>
        <v>-250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1" t="s">
        <v>48</v>
      </c>
      <c r="D31" s="322"/>
      <c r="E31" s="323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4" t="s">
        <v>38</v>
      </c>
      <c r="H32" s="325"/>
      <c r="I32" s="325"/>
      <c r="J32" s="326"/>
    </row>
    <row r="33" spans="1:33" s="50" customFormat="1" ht="12" hidden="1">
      <c r="A33" s="123"/>
      <c r="C33" s="140">
        <f>[5]Expenses!D33-[6]Expenses!D29</f>
        <v>0</v>
      </c>
      <c r="D33" s="141">
        <f>[5]Expenses!E33-[6]Expenses!E29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[5]Expenses!D34-[6]Expenses!D30</f>
        <v>0</v>
      </c>
      <c r="D34" s="141">
        <f>[5]Expenses!E34-[6]Expenses!E30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[5]Expenses!D35-[6]Expenses!D31</f>
        <v>#VALUE!</v>
      </c>
      <c r="D35" s="154">
        <f>[5]Expenses!E35-[6]Expenses!E31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N33" sqref="N3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</row>
    <row r="3" spans="1:20" ht="15">
      <c r="A3" s="10" t="s">
        <v>30</v>
      </c>
      <c r="B3" s="328" t="s">
        <v>120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4" t="s">
        <v>31</v>
      </c>
      <c r="E7" s="325"/>
      <c r="F7" s="325"/>
      <c r="G7" s="325"/>
      <c r="H7" s="325"/>
      <c r="I7" s="326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3" t="s">
        <v>32</v>
      </c>
      <c r="H8" s="334"/>
      <c r="I8" s="335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1946.2619999999999</v>
      </c>
      <c r="L14" s="172">
        <f>2264.424-318.162</f>
        <v>1946.2619999999999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605.66700000000003</v>
      </c>
      <c r="L17" s="172">
        <f>169.846+435.821</f>
        <v>605.66700000000003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22112.197000000004</v>
      </c>
      <c r="L23" s="57">
        <f>SUM(L10:L22)</f>
        <v>22112.197000000004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-22112.197000000004</v>
      </c>
      <c r="L26" s="141">
        <f>-L23</f>
        <v>-22112.197000000004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39" t="s">
        <v>69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5">
      <c r="A2" s="10" t="s">
        <v>44</v>
      </c>
      <c r="B2" s="340" t="s">
        <v>66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6" t="s">
        <v>64</v>
      </c>
      <c r="E6" s="337"/>
      <c r="F6" s="338"/>
      <c r="G6" s="1"/>
      <c r="H6" s="336" t="s">
        <v>65</v>
      </c>
      <c r="I6" s="337"/>
      <c r="J6" s="338"/>
      <c r="K6" s="1"/>
      <c r="L6" s="336" t="s">
        <v>37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2001-04-23T12:51:49Z</cp:lastPrinted>
  <dcterms:created xsi:type="dcterms:W3CDTF">1999-10-18T12:36:30Z</dcterms:created>
  <dcterms:modified xsi:type="dcterms:W3CDTF">2014-09-05T10:49:53Z</dcterms:modified>
</cp:coreProperties>
</file>