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 activeTab="7"/>
  </bookViews>
  <sheets>
    <sheet name="YTD Mgmt Summary" sheetId="18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r:id="rId8"/>
    <sheet name="GrossMargin" sheetId="2" r:id="rId9"/>
    <sheet name="Hotlist - Completed" sheetId="16" state="hidden" r:id="rId10"/>
    <sheet name="Expenses" sheetId="3" r:id="rId11"/>
    <sheet name="CapChrg-AllocExp" sheetId="4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'CapChrg-AllocExp'!$B$2:$P$51</definedName>
    <definedName name="_xlnm.Print_Area" localSheetId="10">Expenses!$B$2:$K$55</definedName>
    <definedName name="_xlnm.Print_Area" localSheetId="7">'GM-WklyChnge'!$A$1:$K$59</definedName>
    <definedName name="_xlnm.Print_Area" localSheetId="3">Greensheet!$A$1:$M$143</definedName>
    <definedName name="_xlnm.Print_Area" localSheetId="8">GrossMargin!$B$2:$N$54</definedName>
    <definedName name="_xlnm.Print_Area" localSheetId="12">Headcount!$B$1:$N$48</definedName>
    <definedName name="_xlnm.Print_Area" localSheetId="9">'Hotlist - Completed'!$A$1:$Q$146</definedName>
    <definedName name="_xlnm.Print_Area" localSheetId="4">'Old Mgmt Summary'!$A$1:$V$59</definedName>
    <definedName name="_xlnm.Print_Area" localSheetId="2">'QTD Mgmt Summary'!$A$1:$M$57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  <definedName name="_xlnm.Print_Titles" localSheetId="9">'Hotlist - Completed'!$1:$5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23" i="4"/>
  <c r="D35" i="4"/>
  <c r="D37" i="4" s="1"/>
  <c r="L34" i="1" s="1"/>
  <c r="D38" i="4"/>
  <c r="K44" i="4"/>
  <c r="B4" i="3"/>
  <c r="F54" i="3"/>
  <c r="F55" i="3"/>
  <c r="C9" i="9"/>
  <c r="D9" i="9"/>
  <c r="D19" i="9" s="1"/>
  <c r="E9" i="9"/>
  <c r="F9" i="9"/>
  <c r="G9" i="9"/>
  <c r="I9" i="9"/>
  <c r="C10" i="9"/>
  <c r="D10" i="9"/>
  <c r="E10" i="9"/>
  <c r="F10" i="9"/>
  <c r="G10" i="9"/>
  <c r="C11" i="9"/>
  <c r="D11" i="9"/>
  <c r="E11" i="9"/>
  <c r="F11" i="9"/>
  <c r="G11" i="9"/>
  <c r="C12" i="9"/>
  <c r="D12" i="9"/>
  <c r="E12" i="9"/>
  <c r="F12" i="9"/>
  <c r="G12" i="9"/>
  <c r="C13" i="9"/>
  <c r="D13" i="9"/>
  <c r="E13" i="9"/>
  <c r="F13" i="9"/>
  <c r="G13" i="9"/>
  <c r="H13" i="9"/>
  <c r="K13" i="9" s="1"/>
  <c r="C14" i="9"/>
  <c r="D14" i="9"/>
  <c r="E14" i="9"/>
  <c r="H14" i="9" s="1"/>
  <c r="K14" i="9" s="1"/>
  <c r="F14" i="9"/>
  <c r="G14" i="9"/>
  <c r="C15" i="9"/>
  <c r="D15" i="9"/>
  <c r="E15" i="9"/>
  <c r="F15" i="9"/>
  <c r="G15" i="9"/>
  <c r="H15" i="9"/>
  <c r="K15" i="9" s="1"/>
  <c r="C16" i="9"/>
  <c r="H16" i="9" s="1"/>
  <c r="K16" i="9" s="1"/>
  <c r="D16" i="9"/>
  <c r="E16" i="9"/>
  <c r="F16" i="9"/>
  <c r="G16" i="9"/>
  <c r="C17" i="9"/>
  <c r="H17" i="9" s="1"/>
  <c r="K17" i="9" s="1"/>
  <c r="D17" i="9"/>
  <c r="E17" i="9"/>
  <c r="F17" i="9"/>
  <c r="G17" i="9"/>
  <c r="J19" i="9"/>
  <c r="C21" i="9"/>
  <c r="D21" i="9"/>
  <c r="D27" i="9" s="1"/>
  <c r="E21" i="9"/>
  <c r="E27" i="9" s="1"/>
  <c r="F21" i="9"/>
  <c r="G21" i="9"/>
  <c r="C22" i="9"/>
  <c r="D22" i="9"/>
  <c r="E22" i="9"/>
  <c r="F22" i="9"/>
  <c r="F27" i="9" s="1"/>
  <c r="G22" i="9"/>
  <c r="D23" i="9"/>
  <c r="E23" i="9"/>
  <c r="F23" i="9"/>
  <c r="G23" i="9"/>
  <c r="C24" i="9"/>
  <c r="D24" i="9"/>
  <c r="H24" i="9" s="1"/>
  <c r="K24" i="9" s="1"/>
  <c r="E24" i="9"/>
  <c r="F24" i="9"/>
  <c r="G24" i="9"/>
  <c r="C25" i="9"/>
  <c r="D25" i="9"/>
  <c r="E25" i="9"/>
  <c r="F25" i="9"/>
  <c r="G25" i="9"/>
  <c r="J27" i="9"/>
  <c r="C29" i="9"/>
  <c r="D29" i="9"/>
  <c r="E29" i="9"/>
  <c r="F29" i="9"/>
  <c r="F33" i="9" s="1"/>
  <c r="G29" i="9"/>
  <c r="H29" i="9"/>
  <c r="C30" i="9"/>
  <c r="D30" i="9"/>
  <c r="E30" i="9"/>
  <c r="F30" i="9"/>
  <c r="G30" i="9"/>
  <c r="G33" i="9" s="1"/>
  <c r="C31" i="9"/>
  <c r="H31" i="9" s="1"/>
  <c r="K31" i="9" s="1"/>
  <c r="D31" i="9"/>
  <c r="D33" i="9" s="1"/>
  <c r="E31" i="9"/>
  <c r="F31" i="9"/>
  <c r="G31" i="9"/>
  <c r="E33" i="9"/>
  <c r="J33" i="9"/>
  <c r="C35" i="9"/>
  <c r="D35" i="9"/>
  <c r="E35" i="9"/>
  <c r="F35" i="9"/>
  <c r="G35" i="9"/>
  <c r="C36" i="9"/>
  <c r="D36" i="9"/>
  <c r="E36" i="9"/>
  <c r="F36" i="9"/>
  <c r="G36" i="9"/>
  <c r="C37" i="9"/>
  <c r="E37" i="9"/>
  <c r="E39" i="9" s="1"/>
  <c r="F37" i="9"/>
  <c r="G37" i="9"/>
  <c r="C38" i="9"/>
  <c r="D38" i="9"/>
  <c r="H38" i="9" s="1"/>
  <c r="K38" i="9" s="1"/>
  <c r="E38" i="9"/>
  <c r="F38" i="9"/>
  <c r="G38" i="9"/>
  <c r="J39" i="9"/>
  <c r="E41" i="9"/>
  <c r="J41" i="9"/>
  <c r="C43" i="9"/>
  <c r="D43" i="9"/>
  <c r="E43" i="9"/>
  <c r="F43" i="9"/>
  <c r="G43" i="9"/>
  <c r="H43" i="9"/>
  <c r="K43" i="9" s="1"/>
  <c r="C45" i="9"/>
  <c r="D45" i="9"/>
  <c r="E45" i="9"/>
  <c r="F45" i="9"/>
  <c r="G45" i="9"/>
  <c r="H45" i="9"/>
  <c r="K45" i="9" s="1"/>
  <c r="C47" i="9"/>
  <c r="D47" i="9"/>
  <c r="E47" i="9"/>
  <c r="F47" i="9"/>
  <c r="G47" i="9"/>
  <c r="C49" i="9"/>
  <c r="H49" i="9" s="1"/>
  <c r="K49" i="9" s="1"/>
  <c r="D49" i="9"/>
  <c r="E49" i="9"/>
  <c r="F49" i="9"/>
  <c r="G49" i="9"/>
  <c r="J51" i="9"/>
  <c r="I59" i="9"/>
  <c r="J59" i="9"/>
  <c r="A3" i="12"/>
  <c r="E10" i="12"/>
  <c r="G10" i="12"/>
  <c r="I10" i="12"/>
  <c r="K10" i="12"/>
  <c r="E16" i="12"/>
  <c r="G16" i="12"/>
  <c r="I16" i="12"/>
  <c r="K16" i="12"/>
  <c r="E20" i="12"/>
  <c r="G20" i="12"/>
  <c r="I20" i="12"/>
  <c r="K20" i="12"/>
  <c r="M20" i="12" s="1"/>
  <c r="E24" i="12"/>
  <c r="G24" i="12"/>
  <c r="I24" i="12"/>
  <c r="K24" i="12"/>
  <c r="M24" i="12"/>
  <c r="E28" i="12"/>
  <c r="G28" i="12"/>
  <c r="M28" i="12" s="1"/>
  <c r="I28" i="12"/>
  <c r="I90" i="12" s="1"/>
  <c r="K28" i="12"/>
  <c r="E34" i="12"/>
  <c r="G34" i="12"/>
  <c r="I34" i="12"/>
  <c r="M34" i="12" s="1"/>
  <c r="K34" i="12"/>
  <c r="E38" i="12"/>
  <c r="G38" i="12"/>
  <c r="I38" i="12"/>
  <c r="K38" i="12"/>
  <c r="E42" i="12"/>
  <c r="G42" i="12"/>
  <c r="I42" i="12"/>
  <c r="K42" i="12"/>
  <c r="M42" i="12"/>
  <c r="E49" i="12"/>
  <c r="M49" i="12" s="1"/>
  <c r="G49" i="12"/>
  <c r="I49" i="12"/>
  <c r="K49" i="12"/>
  <c r="E76" i="12"/>
  <c r="M76" i="12" s="1"/>
  <c r="G76" i="12"/>
  <c r="I76" i="12"/>
  <c r="K76" i="12"/>
  <c r="E80" i="12"/>
  <c r="G80" i="12"/>
  <c r="I80" i="12"/>
  <c r="K80" i="12"/>
  <c r="M80" i="12"/>
  <c r="E84" i="12"/>
  <c r="M84" i="12" s="1"/>
  <c r="G84" i="12"/>
  <c r="I84" i="12"/>
  <c r="K84" i="12"/>
  <c r="E88" i="12"/>
  <c r="G88" i="12"/>
  <c r="I88" i="12"/>
  <c r="K88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I10" i="2"/>
  <c r="I11" i="2"/>
  <c r="L11" i="2" s="1"/>
  <c r="I12" i="2"/>
  <c r="L12" i="2"/>
  <c r="D13" i="2"/>
  <c r="I13" i="2"/>
  <c r="I14" i="2"/>
  <c r="L14" i="2"/>
  <c r="I15" i="2"/>
  <c r="I16" i="2"/>
  <c r="L16" i="2"/>
  <c r="I17" i="2"/>
  <c r="L17" i="2" s="1"/>
  <c r="I18" i="2"/>
  <c r="L18" i="2" s="1"/>
  <c r="D20" i="2"/>
  <c r="E20" i="2"/>
  <c r="F20" i="2"/>
  <c r="G20" i="2"/>
  <c r="H20" i="2"/>
  <c r="J20" i="2"/>
  <c r="K20" i="2"/>
  <c r="I22" i="2"/>
  <c r="G20" i="1" s="1"/>
  <c r="L22" i="2"/>
  <c r="I23" i="2"/>
  <c r="L23" i="2"/>
  <c r="D24" i="2"/>
  <c r="I25" i="2"/>
  <c r="I26" i="2"/>
  <c r="L26" i="2"/>
  <c r="E28" i="2"/>
  <c r="F28" i="2"/>
  <c r="G28" i="2"/>
  <c r="H28" i="2"/>
  <c r="J28" i="2"/>
  <c r="K28" i="2"/>
  <c r="I30" i="2"/>
  <c r="D31" i="2"/>
  <c r="I31" i="2"/>
  <c r="G28" i="1" s="1"/>
  <c r="I32" i="2"/>
  <c r="L32" i="2"/>
  <c r="D34" i="2"/>
  <c r="E34" i="2"/>
  <c r="F34" i="2"/>
  <c r="G34" i="2"/>
  <c r="H34" i="2"/>
  <c r="J34" i="2"/>
  <c r="K34" i="2"/>
  <c r="I36" i="2"/>
  <c r="I37" i="2"/>
  <c r="L37" i="2"/>
  <c r="E38" i="2"/>
  <c r="D37" i="9" s="1"/>
  <c r="F38" i="2"/>
  <c r="I38" i="2"/>
  <c r="I39" i="2"/>
  <c r="D40" i="2"/>
  <c r="E40" i="2"/>
  <c r="I40" i="2" s="1"/>
  <c r="L40" i="2" s="1"/>
  <c r="F40" i="2"/>
  <c r="G40" i="2"/>
  <c r="H40" i="2"/>
  <c r="K40" i="2"/>
  <c r="D42" i="2"/>
  <c r="F42" i="2"/>
  <c r="G42" i="2"/>
  <c r="G52" i="2" s="1"/>
  <c r="H42" i="2"/>
  <c r="K42" i="2"/>
  <c r="I44" i="2"/>
  <c r="L44" i="2"/>
  <c r="I46" i="2"/>
  <c r="L46" i="2" s="1"/>
  <c r="N46" i="2"/>
  <c r="I48" i="2"/>
  <c r="L48" i="2"/>
  <c r="I50" i="2"/>
  <c r="L50" i="2"/>
  <c r="N50" i="2" s="1"/>
  <c r="F52" i="2"/>
  <c r="H52" i="2"/>
  <c r="D60" i="2"/>
  <c r="F40" i="8"/>
  <c r="J40" i="8"/>
  <c r="N40" i="8"/>
  <c r="L45" i="8"/>
  <c r="L3" i="16"/>
  <c r="D16" i="16"/>
  <c r="E16" i="16"/>
  <c r="G16" i="16"/>
  <c r="H16" i="16"/>
  <c r="J16" i="16"/>
  <c r="K16" i="16"/>
  <c r="L16" i="16"/>
  <c r="M16" i="16"/>
  <c r="N16" i="16" s="1"/>
  <c r="O16" i="16"/>
  <c r="D27" i="16"/>
  <c r="E27" i="16"/>
  <c r="G27" i="16"/>
  <c r="H27" i="16"/>
  <c r="J27" i="16"/>
  <c r="K27" i="16"/>
  <c r="L27" i="16"/>
  <c r="M27" i="16"/>
  <c r="P27" i="16" s="1"/>
  <c r="C38" i="16"/>
  <c r="D38" i="16"/>
  <c r="E38" i="16" s="1"/>
  <c r="F38" i="16"/>
  <c r="F146" i="16" s="1"/>
  <c r="G38" i="16"/>
  <c r="H38" i="16"/>
  <c r="I38" i="16"/>
  <c r="J38" i="16"/>
  <c r="K38" i="16" s="1"/>
  <c r="L38" i="16"/>
  <c r="O38" i="16" s="1"/>
  <c r="M38" i="16"/>
  <c r="P38" i="16" s="1"/>
  <c r="D49" i="16"/>
  <c r="E49" i="16" s="1"/>
  <c r="G49" i="16"/>
  <c r="H49" i="16" s="1"/>
  <c r="J49" i="16"/>
  <c r="L49" i="16"/>
  <c r="O49" i="16" s="1"/>
  <c r="M49" i="16"/>
  <c r="N49" i="16"/>
  <c r="D60" i="16"/>
  <c r="E60" i="16" s="1"/>
  <c r="G60" i="16"/>
  <c r="H60" i="16" s="1"/>
  <c r="J60" i="16"/>
  <c r="K60" i="16" s="1"/>
  <c r="L60" i="16"/>
  <c r="O60" i="16" s="1"/>
  <c r="M60" i="16"/>
  <c r="D71" i="16"/>
  <c r="E71" i="16" s="1"/>
  <c r="G71" i="16"/>
  <c r="H71" i="16"/>
  <c r="J71" i="16"/>
  <c r="L71" i="16"/>
  <c r="O71" i="16" s="1"/>
  <c r="M71" i="16"/>
  <c r="N71" i="16"/>
  <c r="D78" i="16"/>
  <c r="E78" i="16" s="1"/>
  <c r="G78" i="16"/>
  <c r="H78" i="16" s="1"/>
  <c r="J78" i="16"/>
  <c r="K78" i="16" s="1"/>
  <c r="L78" i="16"/>
  <c r="M78" i="16"/>
  <c r="D89" i="16"/>
  <c r="E89" i="16" s="1"/>
  <c r="G89" i="16"/>
  <c r="H89" i="16"/>
  <c r="J89" i="16"/>
  <c r="L89" i="16"/>
  <c r="M89" i="16"/>
  <c r="D100" i="16"/>
  <c r="E100" i="16" s="1"/>
  <c r="G100" i="16"/>
  <c r="H100" i="16" s="1"/>
  <c r="J100" i="16"/>
  <c r="K100" i="16" s="1"/>
  <c r="L100" i="16"/>
  <c r="M100" i="16"/>
  <c r="D111" i="16"/>
  <c r="E111" i="16" s="1"/>
  <c r="G111" i="16"/>
  <c r="H111" i="16"/>
  <c r="J111" i="16"/>
  <c r="L111" i="16"/>
  <c r="M111" i="16"/>
  <c r="D122" i="16"/>
  <c r="E122" i="16" s="1"/>
  <c r="G122" i="16"/>
  <c r="H122" i="16" s="1"/>
  <c r="J122" i="16"/>
  <c r="K122" i="16" s="1"/>
  <c r="M122" i="16"/>
  <c r="N122" i="16"/>
  <c r="O122" i="16"/>
  <c r="D133" i="16"/>
  <c r="E133" i="16"/>
  <c r="G133" i="16"/>
  <c r="H133" i="16"/>
  <c r="J133" i="16"/>
  <c r="K133" i="16" s="1"/>
  <c r="M133" i="16"/>
  <c r="N133" i="16"/>
  <c r="O133" i="16"/>
  <c r="P133" i="16"/>
  <c r="Q133" i="16" s="1"/>
  <c r="D144" i="16"/>
  <c r="E144" i="16" s="1"/>
  <c r="G144" i="16"/>
  <c r="H144" i="16" s="1"/>
  <c r="J144" i="16"/>
  <c r="L144" i="16"/>
  <c r="M144" i="16"/>
  <c r="N144" i="16"/>
  <c r="C146" i="16"/>
  <c r="I146" i="16"/>
  <c r="G9" i="1"/>
  <c r="H9" i="1"/>
  <c r="I9" i="1"/>
  <c r="I18" i="1" s="1"/>
  <c r="G10" i="1"/>
  <c r="J10" i="1" s="1"/>
  <c r="H10" i="1"/>
  <c r="I10" i="1"/>
  <c r="K10" i="1"/>
  <c r="K18" i="1" s="1"/>
  <c r="L10" i="1"/>
  <c r="R10" i="1"/>
  <c r="G11" i="1"/>
  <c r="H11" i="1"/>
  <c r="I11" i="1"/>
  <c r="G12" i="1"/>
  <c r="H12" i="1"/>
  <c r="I12" i="1"/>
  <c r="J12" i="1"/>
  <c r="G13" i="1"/>
  <c r="J13" i="1" s="1"/>
  <c r="H13" i="1"/>
  <c r="I13" i="1"/>
  <c r="L13" i="1"/>
  <c r="G14" i="1"/>
  <c r="H14" i="1"/>
  <c r="I14" i="1"/>
  <c r="J14" i="1" s="1"/>
  <c r="L14" i="1"/>
  <c r="G15" i="1"/>
  <c r="H15" i="1"/>
  <c r="I15" i="1"/>
  <c r="G16" i="1"/>
  <c r="H16" i="1"/>
  <c r="I16" i="1"/>
  <c r="J16" i="1" s="1"/>
  <c r="G17" i="1"/>
  <c r="H17" i="1"/>
  <c r="I17" i="1"/>
  <c r="M17" i="1"/>
  <c r="R18" i="1"/>
  <c r="H20" i="1"/>
  <c r="I20" i="1"/>
  <c r="G21" i="1"/>
  <c r="J21" i="1" s="1"/>
  <c r="H21" i="1"/>
  <c r="I21" i="1"/>
  <c r="L21" i="1"/>
  <c r="H22" i="1"/>
  <c r="I22" i="1"/>
  <c r="L22" i="1"/>
  <c r="G23" i="1"/>
  <c r="J23" i="1" s="1"/>
  <c r="H23" i="1"/>
  <c r="I23" i="1"/>
  <c r="G24" i="1"/>
  <c r="H24" i="1"/>
  <c r="I24" i="1"/>
  <c r="F25" i="1"/>
  <c r="K25" i="1"/>
  <c r="K43" i="1" s="1"/>
  <c r="K51" i="1" s="1"/>
  <c r="K55" i="1" s="1"/>
  <c r="R25" i="1"/>
  <c r="H27" i="1"/>
  <c r="I27" i="1"/>
  <c r="L27" i="1"/>
  <c r="H28" i="1"/>
  <c r="I28" i="1"/>
  <c r="J28" i="1"/>
  <c r="K28" i="1"/>
  <c r="L28" i="1"/>
  <c r="M28" i="1"/>
  <c r="R28" i="1"/>
  <c r="R30" i="1" s="1"/>
  <c r="G29" i="1"/>
  <c r="H29" i="1"/>
  <c r="I29" i="1"/>
  <c r="J29" i="1" s="1"/>
  <c r="K30" i="1"/>
  <c r="G32" i="1"/>
  <c r="H32" i="1"/>
  <c r="I32" i="1"/>
  <c r="I35" i="1" s="1"/>
  <c r="L32" i="1"/>
  <c r="M32" i="1"/>
  <c r="C33" i="1"/>
  <c r="G33" i="1"/>
  <c r="H33" i="1"/>
  <c r="J33" i="1" s="1"/>
  <c r="I33" i="1"/>
  <c r="L33" i="1"/>
  <c r="G34" i="1"/>
  <c r="H34" i="1"/>
  <c r="I34" i="1"/>
  <c r="H35" i="1"/>
  <c r="K35" i="1"/>
  <c r="L35" i="1"/>
  <c r="R35" i="1"/>
  <c r="G37" i="1"/>
  <c r="H37" i="1"/>
  <c r="I37" i="1"/>
  <c r="C39" i="1"/>
  <c r="E39" i="1"/>
  <c r="G39" i="1"/>
  <c r="I39" i="1"/>
  <c r="J39" i="1"/>
  <c r="O39" i="1" s="1"/>
  <c r="Q39" i="1"/>
  <c r="V39" i="1" s="1"/>
  <c r="C41" i="1"/>
  <c r="G41" i="1"/>
  <c r="H41" i="1"/>
  <c r="I41" i="1"/>
  <c r="J41" i="1"/>
  <c r="M41" i="1"/>
  <c r="Q41" i="1"/>
  <c r="G47" i="1"/>
  <c r="H47" i="1"/>
  <c r="J47" i="1" s="1"/>
  <c r="I47" i="1"/>
  <c r="J49" i="1"/>
  <c r="V50" i="1"/>
  <c r="E53" i="1"/>
  <c r="O53" i="1"/>
  <c r="T53" i="1"/>
  <c r="V53" i="1" s="1"/>
  <c r="C8" i="17"/>
  <c r="E8" i="17"/>
  <c r="G8" i="17"/>
  <c r="K8" i="17" s="1"/>
  <c r="H8" i="17"/>
  <c r="C9" i="17"/>
  <c r="C17" i="17" s="1"/>
  <c r="D9" i="17"/>
  <c r="E9" i="17"/>
  <c r="E17" i="17" s="1"/>
  <c r="G9" i="17"/>
  <c r="I9" i="17" s="1"/>
  <c r="H9" i="17"/>
  <c r="L9" i="17" s="1"/>
  <c r="E10" i="17"/>
  <c r="I10" i="17"/>
  <c r="K10" i="17"/>
  <c r="L10" i="17"/>
  <c r="M10" i="17" s="1"/>
  <c r="E11" i="17"/>
  <c r="I11" i="17"/>
  <c r="K11" i="17"/>
  <c r="M11" i="17" s="1"/>
  <c r="L11" i="17"/>
  <c r="E12" i="17"/>
  <c r="I12" i="17"/>
  <c r="K12" i="17"/>
  <c r="M12" i="17" s="1"/>
  <c r="L12" i="17"/>
  <c r="E13" i="17"/>
  <c r="I13" i="17"/>
  <c r="K13" i="17"/>
  <c r="L13" i="17"/>
  <c r="M13" i="17" s="1"/>
  <c r="E14" i="17"/>
  <c r="I14" i="17"/>
  <c r="K14" i="17"/>
  <c r="M14" i="17" s="1"/>
  <c r="L14" i="17"/>
  <c r="E15" i="17"/>
  <c r="I15" i="17"/>
  <c r="K15" i="17"/>
  <c r="M15" i="17" s="1"/>
  <c r="L15" i="17"/>
  <c r="E16" i="17"/>
  <c r="I16" i="17"/>
  <c r="K16" i="17"/>
  <c r="L16" i="17"/>
  <c r="M16" i="17"/>
  <c r="D17" i="17"/>
  <c r="H17" i="17"/>
  <c r="E19" i="17"/>
  <c r="I19" i="17"/>
  <c r="K19" i="17"/>
  <c r="L19" i="17"/>
  <c r="M19" i="17"/>
  <c r="E20" i="17"/>
  <c r="E24" i="17" s="1"/>
  <c r="I20" i="17"/>
  <c r="K20" i="17"/>
  <c r="L20" i="17"/>
  <c r="M20" i="17"/>
  <c r="E21" i="17"/>
  <c r="G21" i="17"/>
  <c r="H21" i="17"/>
  <c r="L21" i="17" s="1"/>
  <c r="I21" i="17"/>
  <c r="E22" i="17"/>
  <c r="I22" i="17"/>
  <c r="K22" i="17"/>
  <c r="L22" i="17"/>
  <c r="M22" i="17" s="1"/>
  <c r="E23" i="17"/>
  <c r="I23" i="17"/>
  <c r="K23" i="17"/>
  <c r="L23" i="17"/>
  <c r="M23" i="17"/>
  <c r="C24" i="17"/>
  <c r="D24" i="17"/>
  <c r="D39" i="17" s="1"/>
  <c r="D45" i="17" s="1"/>
  <c r="D47" i="17" s="1"/>
  <c r="H24" i="17"/>
  <c r="I24" i="17"/>
  <c r="E26" i="17"/>
  <c r="I26" i="17"/>
  <c r="K26" i="17"/>
  <c r="L26" i="17"/>
  <c r="E27" i="17"/>
  <c r="E29" i="17" s="1"/>
  <c r="I27" i="17"/>
  <c r="K27" i="17"/>
  <c r="M27" i="17" s="1"/>
  <c r="L27" i="17"/>
  <c r="E28" i="17"/>
  <c r="I28" i="17"/>
  <c r="K28" i="17"/>
  <c r="L28" i="17"/>
  <c r="M28" i="17" s="1"/>
  <c r="C29" i="17"/>
  <c r="D29" i="17"/>
  <c r="G29" i="17"/>
  <c r="H29" i="17"/>
  <c r="E31" i="17"/>
  <c r="I31" i="17"/>
  <c r="K31" i="17"/>
  <c r="M31" i="17" s="1"/>
  <c r="L31" i="17"/>
  <c r="E32" i="17"/>
  <c r="I32" i="17"/>
  <c r="K32" i="17"/>
  <c r="L32" i="17"/>
  <c r="M32" i="17"/>
  <c r="C33" i="17"/>
  <c r="G33" i="17"/>
  <c r="H33" i="17"/>
  <c r="L33" i="17"/>
  <c r="D34" i="17"/>
  <c r="G34" i="17"/>
  <c r="E36" i="17"/>
  <c r="I36" i="17"/>
  <c r="K36" i="17"/>
  <c r="L36" i="17"/>
  <c r="E37" i="17"/>
  <c r="I37" i="17"/>
  <c r="K37" i="17"/>
  <c r="L37" i="17"/>
  <c r="M37" i="17"/>
  <c r="E38" i="17"/>
  <c r="I38" i="17"/>
  <c r="K38" i="17"/>
  <c r="L38" i="17"/>
  <c r="M38" i="17"/>
  <c r="E41" i="17"/>
  <c r="I41" i="17"/>
  <c r="K41" i="17"/>
  <c r="L41" i="17"/>
  <c r="M41" i="17"/>
  <c r="E42" i="17"/>
  <c r="I42" i="17"/>
  <c r="K42" i="17"/>
  <c r="L42" i="17"/>
  <c r="M42" i="17"/>
  <c r="E43" i="17"/>
  <c r="I43" i="17"/>
  <c r="K43" i="17"/>
  <c r="L43" i="17"/>
  <c r="M43" i="17"/>
  <c r="C44" i="17"/>
  <c r="D44" i="17"/>
  <c r="E44" i="17"/>
  <c r="I44" i="17"/>
  <c r="K44" i="17"/>
  <c r="L44" i="17"/>
  <c r="M44" i="17"/>
  <c r="E46" i="17"/>
  <c r="I46" i="17"/>
  <c r="K46" i="17"/>
  <c r="L46" i="17"/>
  <c r="M46" i="17"/>
  <c r="M3" i="13"/>
  <c r="C8" i="13"/>
  <c r="C9" i="13"/>
  <c r="C10" i="13"/>
  <c r="C11" i="13"/>
  <c r="C12" i="13"/>
  <c r="C13" i="13"/>
  <c r="C14" i="13"/>
  <c r="C15" i="13"/>
  <c r="C16" i="13"/>
  <c r="C17" i="13"/>
  <c r="C19" i="13"/>
  <c r="C20" i="13"/>
  <c r="C22" i="13"/>
  <c r="C23" i="13"/>
  <c r="F24" i="13"/>
  <c r="C26" i="13"/>
  <c r="C27" i="13"/>
  <c r="C28" i="13"/>
  <c r="C31" i="13"/>
  <c r="C32" i="13"/>
  <c r="C33" i="13"/>
  <c r="C34" i="13"/>
  <c r="C36" i="13"/>
  <c r="C37" i="13"/>
  <c r="D37" i="13"/>
  <c r="C38" i="13"/>
  <c r="E38" i="13" s="1"/>
  <c r="D38" i="13"/>
  <c r="G38" i="13"/>
  <c r="H38" i="13"/>
  <c r="I38" i="13"/>
  <c r="K38" i="13"/>
  <c r="E41" i="13"/>
  <c r="I41" i="13"/>
  <c r="K41" i="13"/>
  <c r="L41" i="13"/>
  <c r="M41" i="13" s="1"/>
  <c r="E42" i="13"/>
  <c r="C43" i="13"/>
  <c r="E44" i="13"/>
  <c r="E46" i="13"/>
  <c r="G46" i="13"/>
  <c r="H46" i="13"/>
  <c r="I46" i="13"/>
  <c r="K46" i="13"/>
  <c r="L46" i="13"/>
  <c r="C52" i="13"/>
  <c r="J9" i="6"/>
  <c r="O9" i="6" s="1"/>
  <c r="V9" i="6"/>
  <c r="J10" i="6"/>
  <c r="J19" i="6" s="1"/>
  <c r="V10" i="6"/>
  <c r="J11" i="6"/>
  <c r="O11" i="6" s="1"/>
  <c r="V11" i="6"/>
  <c r="J12" i="6"/>
  <c r="O12" i="6"/>
  <c r="V12" i="6"/>
  <c r="J13" i="6"/>
  <c r="O13" i="6" s="1"/>
  <c r="V13" i="6"/>
  <c r="J14" i="6"/>
  <c r="O14" i="6" s="1"/>
  <c r="V14" i="6"/>
  <c r="J15" i="6"/>
  <c r="O15" i="6" s="1"/>
  <c r="V15" i="6"/>
  <c r="J16" i="6"/>
  <c r="O16" i="6" s="1"/>
  <c r="V16" i="6"/>
  <c r="J17" i="6"/>
  <c r="O17" i="6" s="1"/>
  <c r="V17" i="6"/>
  <c r="J18" i="6"/>
  <c r="O18" i="6" s="1"/>
  <c r="V18" i="6"/>
  <c r="G19" i="6"/>
  <c r="H19" i="6"/>
  <c r="H45" i="6" s="1"/>
  <c r="H55" i="6" s="1"/>
  <c r="H59" i="6" s="1"/>
  <c r="I19" i="6"/>
  <c r="I45" i="6" s="1"/>
  <c r="I55" i="6" s="1"/>
  <c r="I59" i="6" s="1"/>
  <c r="M19" i="6"/>
  <c r="N19" i="6"/>
  <c r="Q19" i="6"/>
  <c r="T19" i="6"/>
  <c r="U19" i="6"/>
  <c r="V19" i="6"/>
  <c r="J21" i="6"/>
  <c r="O21" i="6"/>
  <c r="V21" i="6"/>
  <c r="J22" i="6"/>
  <c r="O22" i="6" s="1"/>
  <c r="V22" i="6"/>
  <c r="J23" i="6"/>
  <c r="O23" i="6" s="1"/>
  <c r="V23" i="6"/>
  <c r="J24" i="6"/>
  <c r="O24" i="6" s="1"/>
  <c r="V24" i="6"/>
  <c r="J25" i="6"/>
  <c r="O25" i="6" s="1"/>
  <c r="V25" i="6"/>
  <c r="J26" i="6"/>
  <c r="O26" i="6" s="1"/>
  <c r="V26" i="6"/>
  <c r="G27" i="6"/>
  <c r="H27" i="6"/>
  <c r="I27" i="6"/>
  <c r="M27" i="6"/>
  <c r="M45" i="6" s="1"/>
  <c r="N27" i="6"/>
  <c r="Q27" i="6"/>
  <c r="T27" i="6"/>
  <c r="U27" i="6"/>
  <c r="J29" i="6"/>
  <c r="V29" i="6"/>
  <c r="Z29" i="6"/>
  <c r="J30" i="6"/>
  <c r="O30" i="6"/>
  <c r="V30" i="6"/>
  <c r="J31" i="6"/>
  <c r="O31" i="6"/>
  <c r="V31" i="6"/>
  <c r="Z31" i="6"/>
  <c r="J32" i="6"/>
  <c r="O32" i="6" s="1"/>
  <c r="V32" i="6"/>
  <c r="G33" i="6"/>
  <c r="H33" i="6"/>
  <c r="I33" i="6"/>
  <c r="M33" i="6"/>
  <c r="N33" i="6"/>
  <c r="Q33" i="6"/>
  <c r="Q45" i="6" s="1"/>
  <c r="Q55" i="6" s="1"/>
  <c r="T33" i="6"/>
  <c r="U33" i="6"/>
  <c r="J35" i="6"/>
  <c r="O35" i="6"/>
  <c r="V35" i="6"/>
  <c r="J36" i="6"/>
  <c r="O36" i="6" s="1"/>
  <c r="V36" i="6"/>
  <c r="J37" i="6"/>
  <c r="O37" i="6" s="1"/>
  <c r="V37" i="6"/>
  <c r="J38" i="6"/>
  <c r="O38" i="6"/>
  <c r="V38" i="6"/>
  <c r="G39" i="6"/>
  <c r="H39" i="6"/>
  <c r="I39" i="6"/>
  <c r="M39" i="6"/>
  <c r="N39" i="6"/>
  <c r="Q39" i="6"/>
  <c r="T39" i="6"/>
  <c r="U39" i="6"/>
  <c r="V39" i="6"/>
  <c r="J41" i="6"/>
  <c r="O41" i="6"/>
  <c r="V41" i="6"/>
  <c r="J43" i="6"/>
  <c r="O43" i="6"/>
  <c r="V43" i="6"/>
  <c r="N45" i="6"/>
  <c r="O47" i="6"/>
  <c r="V47" i="6"/>
  <c r="O49" i="6"/>
  <c r="V49" i="6"/>
  <c r="J51" i="6"/>
  <c r="O51" i="6"/>
  <c r="V51" i="6"/>
  <c r="V52" i="6"/>
  <c r="O53" i="6"/>
  <c r="V53" i="6"/>
  <c r="M55" i="6"/>
  <c r="M59" i="6" s="1"/>
  <c r="N55" i="6"/>
  <c r="N59" i="6" s="1"/>
  <c r="D57" i="6"/>
  <c r="E57" i="6"/>
  <c r="O57" i="6"/>
  <c r="V57" i="6"/>
  <c r="Q59" i="6"/>
  <c r="F58" i="10"/>
  <c r="H58" i="10"/>
  <c r="J58" i="10"/>
  <c r="L58" i="10"/>
  <c r="N58" i="10"/>
  <c r="P58" i="10"/>
  <c r="R58" i="10"/>
  <c r="U58" i="10"/>
  <c r="M3" i="18"/>
  <c r="C8" i="18"/>
  <c r="C9" i="18"/>
  <c r="C10" i="18"/>
  <c r="C11" i="18"/>
  <c r="C12" i="18"/>
  <c r="C13" i="18"/>
  <c r="C14" i="18"/>
  <c r="C15" i="18"/>
  <c r="C16" i="18"/>
  <c r="C17" i="18"/>
  <c r="C19" i="18"/>
  <c r="C20" i="18"/>
  <c r="C22" i="18"/>
  <c r="C23" i="18"/>
  <c r="C26" i="18"/>
  <c r="C27" i="18"/>
  <c r="C28" i="18"/>
  <c r="C29" i="18"/>
  <c r="C31" i="18"/>
  <c r="C32" i="18"/>
  <c r="C33" i="18"/>
  <c r="C34" i="18"/>
  <c r="C36" i="18"/>
  <c r="C37" i="18"/>
  <c r="D37" i="18"/>
  <c r="C38" i="18"/>
  <c r="D38" i="18"/>
  <c r="G38" i="18"/>
  <c r="K38" i="18"/>
  <c r="C41" i="18"/>
  <c r="E41" i="18" s="1"/>
  <c r="D41" i="18"/>
  <c r="G41" i="18"/>
  <c r="H41" i="18"/>
  <c r="I41" i="18"/>
  <c r="L41" i="18"/>
  <c r="C42" i="18"/>
  <c r="D42" i="18"/>
  <c r="E42" i="18"/>
  <c r="C43" i="18"/>
  <c r="C44" i="18"/>
  <c r="D44" i="18"/>
  <c r="E44" i="18"/>
  <c r="C46" i="18"/>
  <c r="D46" i="18"/>
  <c r="E46" i="18"/>
  <c r="G46" i="18"/>
  <c r="H46" i="18"/>
  <c r="L46" i="18" s="1"/>
  <c r="C54" i="18"/>
  <c r="L12" i="4"/>
  <c r="E14" i="4"/>
  <c r="L15" i="4"/>
  <c r="E22" i="4"/>
  <c r="L28" i="4"/>
  <c r="E30" i="4"/>
  <c r="E34" i="4"/>
  <c r="L40" i="4"/>
  <c r="E9" i="3"/>
  <c r="E21" i="3"/>
  <c r="M11" i="2"/>
  <c r="M32" i="2"/>
  <c r="I12" i="8"/>
  <c r="E17" i="4"/>
  <c r="L23" i="4"/>
  <c r="L35" i="4"/>
  <c r="E24" i="3"/>
  <c r="E28" i="3"/>
  <c r="E32" i="3"/>
  <c r="M10" i="2"/>
  <c r="M30" i="2"/>
  <c r="M31" i="2"/>
  <c r="D9" i="8"/>
  <c r="E10" i="4"/>
  <c r="L11" i="4"/>
  <c r="L18" i="4"/>
  <c r="E25" i="4"/>
  <c r="E29" i="4"/>
  <c r="E15" i="3"/>
  <c r="E35" i="3"/>
  <c r="M18" i="2"/>
  <c r="E9" i="8"/>
  <c r="D10" i="8"/>
  <c r="I14" i="8"/>
  <c r="H15" i="8"/>
  <c r="E17" i="8"/>
  <c r="I23" i="8"/>
  <c r="H24" i="8"/>
  <c r="L17" i="4"/>
  <c r="E24" i="4"/>
  <c r="E13" i="3"/>
  <c r="E29" i="3"/>
  <c r="E33" i="3"/>
  <c r="M16" i="2"/>
  <c r="M26" i="2"/>
  <c r="M37" i="2"/>
  <c r="M44" i="2"/>
  <c r="H9" i="8"/>
  <c r="E11" i="8"/>
  <c r="D12" i="8"/>
  <c r="I16" i="8"/>
  <c r="H17" i="8"/>
  <c r="E20" i="8"/>
  <c r="D21" i="8"/>
  <c r="E18" i="4"/>
  <c r="L24" i="4"/>
  <c r="E17" i="3"/>
  <c r="M12" i="2"/>
  <c r="M22" i="2"/>
  <c r="M24" i="2"/>
  <c r="I10" i="8"/>
  <c r="E12" i="8"/>
  <c r="H13" i="8"/>
  <c r="H20" i="8"/>
  <c r="I21" i="8"/>
  <c r="I28" i="8"/>
  <c r="H29" i="8"/>
  <c r="E32" i="8"/>
  <c r="D33" i="8"/>
  <c r="H39" i="8"/>
  <c r="E13" i="4"/>
  <c r="E16" i="4"/>
  <c r="L22" i="4"/>
  <c r="E33" i="4"/>
  <c r="E36" i="4"/>
  <c r="E39" i="3"/>
  <c r="M14" i="2"/>
  <c r="M39" i="2"/>
  <c r="I13" i="8"/>
  <c r="D17" i="8"/>
  <c r="I20" i="8"/>
  <c r="I29" i="8"/>
  <c r="E33" i="8"/>
  <c r="D34" i="8"/>
  <c r="I39" i="8"/>
  <c r="D41" i="8"/>
  <c r="L10" i="4"/>
  <c r="L25" i="4"/>
  <c r="L29" i="4"/>
  <c r="E40" i="4"/>
  <c r="E20" i="3"/>
  <c r="E41" i="3"/>
  <c r="M36" i="2"/>
  <c r="D11" i="8"/>
  <c r="H12" i="8"/>
  <c r="D16" i="8"/>
  <c r="D23" i="8"/>
  <c r="D24" i="8"/>
  <c r="H32" i="8"/>
  <c r="E34" i="8"/>
  <c r="D35" i="8"/>
  <c r="E41" i="8"/>
  <c r="E11" i="4"/>
  <c r="E14" i="3"/>
  <c r="E27" i="3"/>
  <c r="E34" i="3"/>
  <c r="M15" i="2"/>
  <c r="M23" i="2"/>
  <c r="H11" i="8"/>
  <c r="D14" i="8"/>
  <c r="E15" i="8"/>
  <c r="H16" i="8"/>
  <c r="E22" i="8"/>
  <c r="E27" i="8"/>
  <c r="D28" i="8"/>
  <c r="I33" i="8"/>
  <c r="H34" i="8"/>
  <c r="H41" i="8"/>
  <c r="L21" i="4"/>
  <c r="E28" i="4"/>
  <c r="E10" i="3"/>
  <c r="E22" i="3"/>
  <c r="L16" i="4"/>
  <c r="E35" i="4"/>
  <c r="L42" i="4"/>
  <c r="E23" i="4"/>
  <c r="L36" i="4"/>
  <c r="E11" i="3"/>
  <c r="E23" i="3"/>
  <c r="E12" i="4"/>
  <c r="L30" i="4"/>
  <c r="M38" i="2"/>
  <c r="D20" i="8"/>
  <c r="H22" i="8"/>
  <c r="H27" i="8"/>
  <c r="E29" i="8"/>
  <c r="I35" i="8"/>
  <c r="L33" i="4"/>
  <c r="E48" i="4"/>
  <c r="H10" i="8"/>
  <c r="E23" i="8"/>
  <c r="H33" i="8"/>
  <c r="H35" i="8"/>
  <c r="L34" i="4"/>
  <c r="E14" i="8"/>
  <c r="H23" i="8"/>
  <c r="H28" i="8"/>
  <c r="I11" i="8"/>
  <c r="H14" i="8"/>
  <c r="I17" i="8"/>
  <c r="E21" i="8"/>
  <c r="D39" i="8"/>
  <c r="L14" i="4"/>
  <c r="D15" i="8"/>
  <c r="D27" i="8"/>
  <c r="D29" i="8"/>
  <c r="D32" i="8"/>
  <c r="E39" i="8"/>
  <c r="I41" i="8"/>
  <c r="E45" i="8"/>
  <c r="AH9" i="6"/>
  <c r="Y10" i="6"/>
  <c r="AB11" i="6"/>
  <c r="AH13" i="6"/>
  <c r="Y14" i="6"/>
  <c r="AB15" i="6"/>
  <c r="AE16" i="6"/>
  <c r="AH17" i="6"/>
  <c r="Y18" i="6"/>
  <c r="AE21" i="6"/>
  <c r="AH22" i="6"/>
  <c r="Y23" i="6"/>
  <c r="AB24" i="6"/>
  <c r="AE25" i="6"/>
  <c r="AH26" i="6"/>
  <c r="AA29" i="6"/>
  <c r="AC30" i="6"/>
  <c r="AE31" i="6"/>
  <c r="AH32" i="6"/>
  <c r="AB35" i="6"/>
  <c r="AE36" i="6"/>
  <c r="AH37" i="6"/>
  <c r="Y38" i="6"/>
  <c r="AE41" i="6"/>
  <c r="M12" i="10"/>
  <c r="M17" i="2"/>
  <c r="E10" i="8"/>
  <c r="E16" i="8"/>
  <c r="I22" i="8"/>
  <c r="E28" i="8"/>
  <c r="AG9" i="6"/>
  <c r="AG11" i="6"/>
  <c r="AE13" i="6"/>
  <c r="AE15" i="6"/>
  <c r="AC17" i="6"/>
  <c r="AI18" i="6"/>
  <c r="AH21" i="6"/>
  <c r="AA22" i="6"/>
  <c r="AG23" i="6"/>
  <c r="Y24" i="6"/>
  <c r="AG25" i="6"/>
  <c r="Y26" i="6"/>
  <c r="AI29" i="6"/>
  <c r="AB30" i="6"/>
  <c r="E15" i="4"/>
  <c r="E16" i="3"/>
  <c r="M25" i="2"/>
  <c r="E24" i="8"/>
  <c r="I34" i="8"/>
  <c r="AI9" i="6"/>
  <c r="AH11" i="6"/>
  <c r="AA12" i="6"/>
  <c r="AG13" i="6"/>
  <c r="AA14" i="6"/>
  <c r="AG15" i="6"/>
  <c r="Y16" i="6"/>
  <c r="AE17" i="6"/>
  <c r="AI21" i="6"/>
  <c r="AB22" i="6"/>
  <c r="AH23" i="6"/>
  <c r="AA24" i="6"/>
  <c r="AH25" i="6"/>
  <c r="AA26" i="6"/>
  <c r="Y29" i="6"/>
  <c r="D13" i="8"/>
  <c r="I24" i="8"/>
  <c r="AI11" i="6"/>
  <c r="AI13" i="6"/>
  <c r="AB14" i="6"/>
  <c r="AH15" i="6"/>
  <c r="AA16" i="6"/>
  <c r="AG17" i="6"/>
  <c r="AA18" i="6"/>
  <c r="AC22" i="6"/>
  <c r="AI23" i="6"/>
  <c r="AC24" i="6"/>
  <c r="AI25" i="6"/>
  <c r="AB26" i="6"/>
  <c r="AG30" i="6"/>
  <c r="AI31" i="6"/>
  <c r="AB32" i="6"/>
  <c r="E13" i="8"/>
  <c r="I45" i="8"/>
  <c r="Y9" i="6"/>
  <c r="AE10" i="6"/>
  <c r="AC14" i="6"/>
  <c r="AI15" i="6"/>
  <c r="AB16" i="6"/>
  <c r="AI17" i="6"/>
  <c r="AB18" i="6"/>
  <c r="Y21" i="6"/>
  <c r="AE22" i="6"/>
  <c r="AE24" i="6"/>
  <c r="AC26" i="6"/>
  <c r="AB29" i="6"/>
  <c r="AH30" i="6"/>
  <c r="AC32" i="6"/>
  <c r="AC35" i="6"/>
  <c r="AI36" i="6"/>
  <c r="AB37" i="6"/>
  <c r="AH38" i="6"/>
  <c r="AG41" i="6"/>
  <c r="AA43" i="6"/>
  <c r="AH47" i="6"/>
  <c r="AB49" i="6"/>
  <c r="AA51" i="6"/>
  <c r="I10" i="10"/>
  <c r="L14" i="10"/>
  <c r="M15" i="10"/>
  <c r="D16" i="10"/>
  <c r="E17" i="10"/>
  <c r="P17" i="10"/>
  <c r="Q18" i="10"/>
  <c r="H19" i="10"/>
  <c r="L23" i="10"/>
  <c r="M24" i="10"/>
  <c r="D25" i="10"/>
  <c r="Q26" i="10"/>
  <c r="H27" i="10"/>
  <c r="L31" i="10"/>
  <c r="M32" i="10"/>
  <c r="D33" i="10"/>
  <c r="Q36" i="10"/>
  <c r="H37" i="10"/>
  <c r="I38" i="10"/>
  <c r="M42" i="10"/>
  <c r="D44" i="10"/>
  <c r="Q48" i="10"/>
  <c r="I52" i="10"/>
  <c r="L54" i="10"/>
  <c r="E42" i="4"/>
  <c r="AA9" i="6"/>
  <c r="AC11" i="6"/>
  <c r="AI14" i="6"/>
  <c r="Y25" i="6"/>
  <c r="AE26" i="6"/>
  <c r="AG31" i="6"/>
  <c r="AE32" i="6"/>
  <c r="AH35" i="6"/>
  <c r="AB36" i="6"/>
  <c r="AE38" i="6"/>
  <c r="AH41" i="6"/>
  <c r="AC43" i="6"/>
  <c r="Y53" i="6"/>
  <c r="P10" i="10"/>
  <c r="D12" i="10"/>
  <c r="Q12" i="10"/>
  <c r="D14" i="10"/>
  <c r="P14" i="10"/>
  <c r="H15" i="10"/>
  <c r="L16" i="10"/>
  <c r="D17" i="10"/>
  <c r="Q17" i="10"/>
  <c r="I18" i="10"/>
  <c r="M19" i="10"/>
  <c r="I22" i="10"/>
  <c r="P26" i="10"/>
  <c r="I27" i="10"/>
  <c r="E30" i="10"/>
  <c r="Q30" i="10"/>
  <c r="I31" i="10"/>
  <c r="L38" i="10"/>
  <c r="D39" i="10"/>
  <c r="P39" i="10"/>
  <c r="L42" i="10"/>
  <c r="M48" i="10"/>
  <c r="P54" i="10"/>
  <c r="AH18" i="6"/>
  <c r="H10" i="10"/>
  <c r="I14" i="10"/>
  <c r="D22" i="10"/>
  <c r="L24" i="10"/>
  <c r="D31" i="10"/>
  <c r="L33" i="10"/>
  <c r="I39" i="10"/>
  <c r="P52" i="10"/>
  <c r="E21" i="4"/>
  <c r="M48" i="2"/>
  <c r="E35" i="8"/>
  <c r="AB9" i="6"/>
  <c r="AE11" i="6"/>
  <c r="Y17" i="6"/>
  <c r="AC18" i="6"/>
  <c r="AA25" i="6"/>
  <c r="AG26" i="6"/>
  <c r="AH31" i="6"/>
  <c r="AG32" i="6"/>
  <c r="AI35" i="6"/>
  <c r="AC36" i="6"/>
  <c r="Y37" i="6"/>
  <c r="AG38" i="6"/>
  <c r="AI41" i="6"/>
  <c r="AG43" i="6"/>
  <c r="D10" i="10"/>
  <c r="Q10" i="10"/>
  <c r="E12" i="10"/>
  <c r="E14" i="10"/>
  <c r="Q14" i="10"/>
  <c r="I15" i="10"/>
  <c r="M16" i="10"/>
  <c r="L22" i="10"/>
  <c r="D23" i="10"/>
  <c r="P23" i="10"/>
  <c r="H24" i="10"/>
  <c r="L25" i="10"/>
  <c r="E26" i="10"/>
  <c r="D32" i="10"/>
  <c r="P32" i="10"/>
  <c r="H33" i="10"/>
  <c r="D36" i="10"/>
  <c r="P36" i="10"/>
  <c r="I37" i="10"/>
  <c r="M38" i="10"/>
  <c r="E39" i="10"/>
  <c r="Q39" i="10"/>
  <c r="L52" i="10"/>
  <c r="E54" i="10"/>
  <c r="Q54" i="10"/>
  <c r="AH49" i="6"/>
  <c r="H23" i="10"/>
  <c r="Q25" i="10"/>
  <c r="H32" i="10"/>
  <c r="E38" i="10"/>
  <c r="D52" i="10"/>
  <c r="AC9" i="6"/>
  <c r="AA17" i="6"/>
  <c r="AE18" i="6"/>
  <c r="AA23" i="6"/>
  <c r="AG24" i="6"/>
  <c r="AB25" i="6"/>
  <c r="AI26" i="6"/>
  <c r="Y30" i="6"/>
  <c r="AI32" i="6"/>
  <c r="AG36" i="6"/>
  <c r="AA37" i="6"/>
  <c r="AI38" i="6"/>
  <c r="AH43" i="6"/>
  <c r="AB47" i="6"/>
  <c r="Y49" i="6"/>
  <c r="AG51" i="6"/>
  <c r="E10" i="10"/>
  <c r="H12" i="10"/>
  <c r="P16" i="10"/>
  <c r="H17" i="10"/>
  <c r="L18" i="10"/>
  <c r="D19" i="10"/>
  <c r="P19" i="10"/>
  <c r="M22" i="10"/>
  <c r="E23" i="10"/>
  <c r="Q23" i="10"/>
  <c r="I24" i="10"/>
  <c r="M25" i="10"/>
  <c r="H26" i="10"/>
  <c r="L27" i="10"/>
  <c r="H30" i="10"/>
  <c r="M31" i="10"/>
  <c r="E32" i="10"/>
  <c r="Q32" i="10"/>
  <c r="I33" i="10"/>
  <c r="E36" i="10"/>
  <c r="D42" i="10"/>
  <c r="P42" i="10"/>
  <c r="D48" i="10"/>
  <c r="P48" i="10"/>
  <c r="M52" i="10"/>
  <c r="AG22" i="6"/>
  <c r="AI47" i="6"/>
  <c r="L30" i="10"/>
  <c r="I36" i="10"/>
  <c r="Q38" i="10"/>
  <c r="E45" i="3"/>
  <c r="I15" i="8"/>
  <c r="I27" i="8"/>
  <c r="AE9" i="6"/>
  <c r="Y15" i="6"/>
  <c r="AC16" i="6"/>
  <c r="AB17" i="6"/>
  <c r="AG18" i="6"/>
  <c r="Y22" i="6"/>
  <c r="AB23" i="6"/>
  <c r="AH24" i="6"/>
  <c r="AC25" i="6"/>
  <c r="AC29" i="6"/>
  <c r="AA30" i="6"/>
  <c r="AH36" i="6"/>
  <c r="AC37" i="6"/>
  <c r="AI43" i="6"/>
  <c r="AC47" i="6"/>
  <c r="AE49" i="6"/>
  <c r="I12" i="10"/>
  <c r="H14" i="10"/>
  <c r="L15" i="10"/>
  <c r="E16" i="10"/>
  <c r="Q16" i="10"/>
  <c r="I17" i="10"/>
  <c r="M18" i="10"/>
  <c r="E19" i="10"/>
  <c r="Q19" i="10"/>
  <c r="P25" i="10"/>
  <c r="I26" i="10"/>
  <c r="M27" i="10"/>
  <c r="I30" i="10"/>
  <c r="H36" i="10"/>
  <c r="L37" i="10"/>
  <c r="D38" i="10"/>
  <c r="P38" i="10"/>
  <c r="H39" i="10"/>
  <c r="E42" i="10"/>
  <c r="Q42" i="10"/>
  <c r="E48" i="10"/>
  <c r="H54" i="10"/>
  <c r="Y13" i="6"/>
  <c r="AA15" i="6"/>
  <c r="AG16" i="6"/>
  <c r="AA21" i="6"/>
  <c r="AC23" i="6"/>
  <c r="AI24" i="6"/>
  <c r="AE29" i="6"/>
  <c r="AE30" i="6"/>
  <c r="Y31" i="6"/>
  <c r="Y35" i="6"/>
  <c r="AE37" i="6"/>
  <c r="Y41" i="6"/>
  <c r="P22" i="10"/>
  <c r="E25" i="10"/>
  <c r="P31" i="10"/>
  <c r="M37" i="10"/>
  <c r="H48" i="10"/>
  <c r="I54" i="10"/>
  <c r="AC31" i="6"/>
  <c r="AA36" i="6"/>
  <c r="AB43" i="6"/>
  <c r="D15" i="10"/>
  <c r="E18" i="10"/>
  <c r="H22" i="10"/>
  <c r="D24" i="10"/>
  <c r="Q31" i="10"/>
  <c r="E33" i="10"/>
  <c r="AG37" i="6"/>
  <c r="L32" i="10"/>
  <c r="Q52" i="10"/>
  <c r="H25" i="10"/>
  <c r="E47" i="3"/>
  <c r="I16" i="10"/>
  <c r="AG12" i="6"/>
  <c r="AB21" i="6"/>
  <c r="E15" i="10"/>
  <c r="H18" i="10"/>
  <c r="Q22" i="10"/>
  <c r="E24" i="10"/>
  <c r="P27" i="10"/>
  <c r="D30" i="10"/>
  <c r="M33" i="10"/>
  <c r="P37" i="10"/>
  <c r="L39" i="10"/>
  <c r="I48" i="10"/>
  <c r="M54" i="10"/>
  <c r="D22" i="8"/>
  <c r="AI16" i="6"/>
  <c r="I19" i="10"/>
  <c r="AI22" i="6"/>
  <c r="AI37" i="6"/>
  <c r="P12" i="10"/>
  <c r="E22" i="10"/>
  <c r="AI30" i="6"/>
  <c r="L19" i="10"/>
  <c r="I9" i="8"/>
  <c r="AE14" i="6"/>
  <c r="AC21" i="6"/>
  <c r="AG29" i="6"/>
  <c r="AA35" i="6"/>
  <c r="AA41" i="6"/>
  <c r="P18" i="10"/>
  <c r="Q27" i="10"/>
  <c r="M30" i="10"/>
  <c r="P33" i="10"/>
  <c r="Q37" i="10"/>
  <c r="M39" i="10"/>
  <c r="H42" i="10"/>
  <c r="E52" i="10"/>
  <c r="AA11" i="6"/>
  <c r="AC38" i="6"/>
  <c r="E31" i="10"/>
  <c r="AA31" i="6"/>
  <c r="M14" i="10"/>
  <c r="M23" i="10"/>
  <c r="I32" i="8"/>
  <c r="AC15" i="6"/>
  <c r="Y36" i="6"/>
  <c r="E27" i="10"/>
  <c r="E37" i="10"/>
  <c r="AG14" i="6"/>
  <c r="AG21" i="6"/>
  <c r="AE23" i="6"/>
  <c r="AH29" i="6"/>
  <c r="Y32" i="6"/>
  <c r="AE35" i="6"/>
  <c r="AA38" i="6"/>
  <c r="AB41" i="6"/>
  <c r="L10" i="10"/>
  <c r="P15" i="10"/>
  <c r="P24" i="10"/>
  <c r="L26" i="10"/>
  <c r="I32" i="10"/>
  <c r="Q33" i="10"/>
  <c r="L36" i="10"/>
  <c r="I42" i="10"/>
  <c r="L48" i="10"/>
  <c r="H21" i="8"/>
  <c r="Y11" i="6"/>
  <c r="AH14" i="6"/>
  <c r="AH16" i="6"/>
  <c r="AA32" i="6"/>
  <c r="AG35" i="6"/>
  <c r="AB38" i="6"/>
  <c r="AC41" i="6"/>
  <c r="M10" i="10"/>
  <c r="L12" i="10"/>
  <c r="Q15" i="10"/>
  <c r="L17" i="10"/>
  <c r="I23" i="10"/>
  <c r="Q24" i="10"/>
  <c r="M26" i="10"/>
  <c r="P30" i="10"/>
  <c r="M36" i="10"/>
  <c r="H38" i="10"/>
  <c r="H52" i="10"/>
  <c r="AA13" i="6"/>
  <c r="M17" i="10"/>
  <c r="AB13" i="6"/>
  <c r="H16" i="10"/>
  <c r="D27" i="10"/>
  <c r="D37" i="10"/>
  <c r="AC13" i="6"/>
  <c r="AB31" i="6"/>
  <c r="D18" i="10"/>
  <c r="I25" i="10"/>
  <c r="H31" i="10"/>
  <c r="J31" i="10" l="1"/>
  <c r="F18" i="10"/>
  <c r="T18" i="10"/>
  <c r="F37" i="10"/>
  <c r="T37" i="10"/>
  <c r="V37" i="10" s="1"/>
  <c r="F27" i="10"/>
  <c r="T27" i="10"/>
  <c r="V27" i="10" s="1"/>
  <c r="J16" i="10"/>
  <c r="D13" i="6"/>
  <c r="J52" i="10"/>
  <c r="J38" i="10"/>
  <c r="M40" i="10"/>
  <c r="P34" i="10"/>
  <c r="R30" i="10"/>
  <c r="R34" i="10" s="1"/>
  <c r="N17" i="10"/>
  <c r="N12" i="10"/>
  <c r="M20" i="10"/>
  <c r="D32" i="6"/>
  <c r="C11" i="6"/>
  <c r="E11" i="6" s="1"/>
  <c r="J21" i="8"/>
  <c r="N48" i="10"/>
  <c r="L40" i="10"/>
  <c r="N36" i="10"/>
  <c r="N40" i="10" s="1"/>
  <c r="N26" i="10"/>
  <c r="R24" i="10"/>
  <c r="R15" i="10"/>
  <c r="L20" i="10"/>
  <c r="L46" i="10" s="1"/>
  <c r="L56" i="10" s="1"/>
  <c r="L60" i="10" s="1"/>
  <c r="N10" i="10"/>
  <c r="N20" i="10" s="1"/>
  <c r="N46" i="10" s="1"/>
  <c r="N56" i="10" s="1"/>
  <c r="N60" i="10" s="1"/>
  <c r="D38" i="6"/>
  <c r="C32" i="6"/>
  <c r="U37" i="10"/>
  <c r="U27" i="10"/>
  <c r="C36" i="6"/>
  <c r="I37" i="8"/>
  <c r="D31" i="6"/>
  <c r="U31" i="10"/>
  <c r="D11" i="6"/>
  <c r="U52" i="10"/>
  <c r="J42" i="10"/>
  <c r="R33" i="10"/>
  <c r="M34" i="10"/>
  <c r="R18" i="10"/>
  <c r="D41" i="6"/>
  <c r="D35" i="6"/>
  <c r="D39" i="6" s="1"/>
  <c r="I18" i="8"/>
  <c r="N19" i="10"/>
  <c r="U22" i="10"/>
  <c r="U28" i="10" s="1"/>
  <c r="E28" i="10"/>
  <c r="R12" i="10"/>
  <c r="L22" i="8"/>
  <c r="F22" i="8"/>
  <c r="N39" i="10"/>
  <c r="R37" i="10"/>
  <c r="F30" i="10"/>
  <c r="F34" i="10" s="1"/>
  <c r="T30" i="10"/>
  <c r="D34" i="10"/>
  <c r="R27" i="10"/>
  <c r="U24" i="10"/>
  <c r="Q28" i="10"/>
  <c r="J18" i="10"/>
  <c r="U15" i="10"/>
  <c r="D47" i="1"/>
  <c r="D47" i="3"/>
  <c r="H43" i="13"/>
  <c r="J25" i="10"/>
  <c r="N32" i="10"/>
  <c r="U33" i="10"/>
  <c r="F24" i="10"/>
  <c r="T24" i="10"/>
  <c r="J22" i="10"/>
  <c r="J28" i="10" s="1"/>
  <c r="H28" i="10"/>
  <c r="U18" i="10"/>
  <c r="T15" i="10"/>
  <c r="F15" i="10"/>
  <c r="D36" i="6"/>
  <c r="J48" i="10"/>
  <c r="R31" i="10"/>
  <c r="U25" i="10"/>
  <c r="P28" i="10"/>
  <c r="R22" i="10"/>
  <c r="R28" i="10" s="1"/>
  <c r="C41" i="6"/>
  <c r="E41" i="6" s="1"/>
  <c r="C35" i="6"/>
  <c r="C31" i="6"/>
  <c r="D21" i="6"/>
  <c r="D27" i="6" s="1"/>
  <c r="D15" i="6"/>
  <c r="C13" i="6"/>
  <c r="T54" i="10"/>
  <c r="V54" i="10" s="1"/>
  <c r="J54" i="10"/>
  <c r="U48" i="10"/>
  <c r="U42" i="10"/>
  <c r="J39" i="10"/>
  <c r="R38" i="10"/>
  <c r="T38" i="10"/>
  <c r="F38" i="10"/>
  <c r="N37" i="10"/>
  <c r="H40" i="10"/>
  <c r="J36" i="10"/>
  <c r="J40" i="10" s="1"/>
  <c r="I34" i="10"/>
  <c r="R25" i="10"/>
  <c r="U19" i="10"/>
  <c r="U16" i="10"/>
  <c r="N15" i="10"/>
  <c r="J14" i="10"/>
  <c r="D30" i="6"/>
  <c r="C22" i="6"/>
  <c r="C15" i="6"/>
  <c r="I30" i="8"/>
  <c r="D45" i="3"/>
  <c r="F45" i="3"/>
  <c r="T45" i="1" s="1"/>
  <c r="V45" i="1" s="1"/>
  <c r="I40" i="10"/>
  <c r="L34" i="10"/>
  <c r="N30" i="10"/>
  <c r="N34" i="10" s="1"/>
  <c r="R48" i="10"/>
  <c r="F48" i="10"/>
  <c r="T48" i="10"/>
  <c r="R42" i="10"/>
  <c r="F42" i="10"/>
  <c r="T42" i="10"/>
  <c r="U36" i="10"/>
  <c r="U40" i="10" s="1"/>
  <c r="E40" i="10"/>
  <c r="U32" i="10"/>
  <c r="J30" i="10"/>
  <c r="J34" i="10" s="1"/>
  <c r="H34" i="10"/>
  <c r="N27" i="10"/>
  <c r="T26" i="10"/>
  <c r="J26" i="10"/>
  <c r="U23" i="10"/>
  <c r="M28" i="10"/>
  <c r="R19" i="10"/>
  <c r="T19" i="10"/>
  <c r="V19" i="10" s="1"/>
  <c r="F19" i="10"/>
  <c r="N18" i="10"/>
  <c r="J17" i="10"/>
  <c r="R16" i="10"/>
  <c r="J12" i="10"/>
  <c r="U10" i="10"/>
  <c r="U20" i="10" s="1"/>
  <c r="U46" i="10" s="1"/>
  <c r="U56" i="10" s="1"/>
  <c r="U60" i="10" s="1"/>
  <c r="E20" i="10"/>
  <c r="C49" i="6"/>
  <c r="D47" i="6"/>
  <c r="E47" i="6" s="1"/>
  <c r="D37" i="6"/>
  <c r="C30" i="6"/>
  <c r="E30" i="6" s="1"/>
  <c r="D23" i="6"/>
  <c r="D17" i="6"/>
  <c r="T52" i="10"/>
  <c r="V52" i="10" s="1"/>
  <c r="F52" i="10"/>
  <c r="U38" i="10"/>
  <c r="J32" i="10"/>
  <c r="J23" i="10"/>
  <c r="F54" i="10"/>
  <c r="U54" i="10"/>
  <c r="N52" i="10"/>
  <c r="U39" i="10"/>
  <c r="R36" i="10"/>
  <c r="R40" i="10" s="1"/>
  <c r="P40" i="10"/>
  <c r="F36" i="10"/>
  <c r="F40" i="10" s="1"/>
  <c r="T36" i="10"/>
  <c r="D40" i="10"/>
  <c r="J33" i="10"/>
  <c r="R32" i="10"/>
  <c r="T32" i="10"/>
  <c r="F32" i="10"/>
  <c r="F26" i="10"/>
  <c r="U26" i="10"/>
  <c r="N25" i="10"/>
  <c r="J24" i="10"/>
  <c r="R23" i="10"/>
  <c r="T23" i="10"/>
  <c r="F23" i="10"/>
  <c r="N22" i="10"/>
  <c r="N28" i="10" s="1"/>
  <c r="L28" i="10"/>
  <c r="U14" i="10"/>
  <c r="U12" i="10"/>
  <c r="Q20" i="10"/>
  <c r="F10" i="10"/>
  <c r="F20" i="10" s="1"/>
  <c r="T10" i="10"/>
  <c r="D20" i="10"/>
  <c r="C37" i="6"/>
  <c r="E37" i="6" s="1"/>
  <c r="D25" i="6"/>
  <c r="C17" i="6"/>
  <c r="E17" i="6" s="1"/>
  <c r="M35" i="8"/>
  <c r="C47" i="1"/>
  <c r="E47" i="1" s="1"/>
  <c r="N48" i="2"/>
  <c r="Q47" i="1" s="1"/>
  <c r="V47" i="1" s="1"/>
  <c r="D43" i="13"/>
  <c r="E26" i="4"/>
  <c r="D21" i="4"/>
  <c r="F21" i="4"/>
  <c r="R52" i="10"/>
  <c r="N33" i="10"/>
  <c r="T31" i="10"/>
  <c r="F31" i="10"/>
  <c r="N24" i="10"/>
  <c r="D28" i="10"/>
  <c r="F22" i="10"/>
  <c r="F28" i="10" s="1"/>
  <c r="T22" i="10"/>
  <c r="J10" i="10"/>
  <c r="J20" i="10" s="1"/>
  <c r="H20" i="10"/>
  <c r="R54" i="10"/>
  <c r="N42" i="10"/>
  <c r="R39" i="10"/>
  <c r="F39" i="10"/>
  <c r="T39" i="10"/>
  <c r="V39" i="10" s="1"/>
  <c r="N38" i="10"/>
  <c r="Q34" i="10"/>
  <c r="U30" i="10"/>
  <c r="U34" i="10" s="1"/>
  <c r="E34" i="10"/>
  <c r="R26" i="10"/>
  <c r="I28" i="10"/>
  <c r="F17" i="10"/>
  <c r="T17" i="10"/>
  <c r="N16" i="10"/>
  <c r="J15" i="10"/>
  <c r="R14" i="10"/>
  <c r="F14" i="10"/>
  <c r="T14" i="10"/>
  <c r="V14" i="10" s="1"/>
  <c r="F12" i="10"/>
  <c r="T12" i="10"/>
  <c r="R10" i="10"/>
  <c r="R20" i="10" s="1"/>
  <c r="P20" i="10"/>
  <c r="P46" i="10" s="1"/>
  <c r="P56" i="10" s="1"/>
  <c r="P60" i="10" s="1"/>
  <c r="C53" i="6"/>
  <c r="E53" i="6" s="1"/>
  <c r="C25" i="6"/>
  <c r="E25" i="6" s="1"/>
  <c r="D9" i="6"/>
  <c r="D19" i="6" s="1"/>
  <c r="D42" i="4"/>
  <c r="F42" i="4" s="1"/>
  <c r="S41" i="1" s="1"/>
  <c r="V41" i="1" s="1"/>
  <c r="N54" i="10"/>
  <c r="J37" i="10"/>
  <c r="Q40" i="10"/>
  <c r="F33" i="10"/>
  <c r="T33" i="10"/>
  <c r="N31" i="10"/>
  <c r="J27" i="10"/>
  <c r="T25" i="10"/>
  <c r="V25" i="10" s="1"/>
  <c r="F25" i="10"/>
  <c r="N23" i="10"/>
  <c r="J19" i="10"/>
  <c r="R17" i="10"/>
  <c r="U17" i="10"/>
  <c r="F16" i="10"/>
  <c r="T16" i="10"/>
  <c r="V16" i="10" s="1"/>
  <c r="N14" i="10"/>
  <c r="I20" i="10"/>
  <c r="I46" i="10" s="1"/>
  <c r="I56" i="10" s="1"/>
  <c r="I60" i="10" s="1"/>
  <c r="D51" i="6"/>
  <c r="E51" i="6" s="1"/>
  <c r="D49" i="6"/>
  <c r="D43" i="6"/>
  <c r="E43" i="6" s="1"/>
  <c r="C21" i="6"/>
  <c r="C9" i="6"/>
  <c r="J45" i="8"/>
  <c r="M13" i="8"/>
  <c r="D18" i="6"/>
  <c r="D16" i="6"/>
  <c r="L13" i="8"/>
  <c r="N13" i="8" s="1"/>
  <c r="F13" i="8"/>
  <c r="C29" i="6"/>
  <c r="D26" i="6"/>
  <c r="D24" i="6"/>
  <c r="C16" i="6"/>
  <c r="D14" i="6"/>
  <c r="D12" i="6"/>
  <c r="I36" i="8"/>
  <c r="M24" i="8"/>
  <c r="Q25" i="2"/>
  <c r="C23" i="1"/>
  <c r="E23" i="1" s="1"/>
  <c r="D22" i="13"/>
  <c r="D16" i="3"/>
  <c r="D16" i="1"/>
  <c r="F16" i="3"/>
  <c r="T16" i="1" s="1"/>
  <c r="H15" i="13"/>
  <c r="F15" i="4"/>
  <c r="S14" i="1" s="1"/>
  <c r="C26" i="6"/>
  <c r="C24" i="6"/>
  <c r="E24" i="6" s="1"/>
  <c r="D22" i="6"/>
  <c r="M28" i="8"/>
  <c r="M16" i="8"/>
  <c r="M10" i="8"/>
  <c r="C16" i="1"/>
  <c r="E16" i="1" s="1"/>
  <c r="Q17" i="2"/>
  <c r="D15" i="13"/>
  <c r="C38" i="6"/>
  <c r="E38" i="6" s="1"/>
  <c r="D29" i="6"/>
  <c r="D33" i="6" s="1"/>
  <c r="C23" i="6"/>
  <c r="E23" i="6" s="1"/>
  <c r="C18" i="6"/>
  <c r="E18" i="6" s="1"/>
  <c r="C14" i="6"/>
  <c r="E14" i="6" s="1"/>
  <c r="C10" i="6"/>
  <c r="M45" i="8"/>
  <c r="N45" i="8" s="1"/>
  <c r="F45" i="8"/>
  <c r="M39" i="8"/>
  <c r="F32" i="8"/>
  <c r="F37" i="8" s="1"/>
  <c r="D37" i="8"/>
  <c r="L32" i="8"/>
  <c r="F29" i="8"/>
  <c r="L29" i="8"/>
  <c r="L27" i="8"/>
  <c r="F27" i="8"/>
  <c r="F30" i="8" s="1"/>
  <c r="D30" i="8"/>
  <c r="F15" i="8"/>
  <c r="L15" i="8"/>
  <c r="N15" i="8" s="1"/>
  <c r="K14" i="4"/>
  <c r="N13" i="1" s="1"/>
  <c r="F39" i="8"/>
  <c r="L39" i="8"/>
  <c r="M21" i="8"/>
  <c r="J14" i="8"/>
  <c r="J28" i="8"/>
  <c r="J23" i="8"/>
  <c r="M14" i="8"/>
  <c r="K34" i="4"/>
  <c r="N33" i="1" s="1"/>
  <c r="M34" i="4"/>
  <c r="U33" i="1" s="1"/>
  <c r="J35" i="8"/>
  <c r="J33" i="8"/>
  <c r="M23" i="8"/>
  <c r="J10" i="8"/>
  <c r="D48" i="4"/>
  <c r="L38" i="4"/>
  <c r="K33" i="4"/>
  <c r="M33" i="4" s="1"/>
  <c r="M29" i="8"/>
  <c r="J27" i="8"/>
  <c r="J30" i="8" s="1"/>
  <c r="H30" i="8"/>
  <c r="J22" i="8"/>
  <c r="D25" i="8"/>
  <c r="F20" i="8"/>
  <c r="F25" i="8" s="1"/>
  <c r="L20" i="8"/>
  <c r="Q38" i="2"/>
  <c r="M40" i="2"/>
  <c r="K30" i="4"/>
  <c r="N29" i="1" s="1"/>
  <c r="M30" i="4"/>
  <c r="U29" i="1" s="1"/>
  <c r="D12" i="4"/>
  <c r="L11" i="1" s="1"/>
  <c r="D23" i="3"/>
  <c r="D23" i="1"/>
  <c r="H22" i="13"/>
  <c r="D11" i="3"/>
  <c r="R12" i="2" s="1"/>
  <c r="D11" i="1"/>
  <c r="H10" i="13"/>
  <c r="K36" i="4"/>
  <c r="M36" i="4" s="1"/>
  <c r="F23" i="4"/>
  <c r="S22" i="1" s="1"/>
  <c r="K42" i="4"/>
  <c r="N41" i="1" s="1"/>
  <c r="E37" i="4"/>
  <c r="Q39" i="2" s="1"/>
  <c r="S39" i="2" s="1"/>
  <c r="F35" i="4"/>
  <c r="F37" i="4" s="1"/>
  <c r="S34" i="1" s="1"/>
  <c r="K16" i="4"/>
  <c r="N15" i="1" s="1"/>
  <c r="D22" i="3"/>
  <c r="F22" i="3"/>
  <c r="T22" i="1" s="1"/>
  <c r="D22" i="1"/>
  <c r="H21" i="13"/>
  <c r="D10" i="3"/>
  <c r="H9" i="13"/>
  <c r="D10" i="1"/>
  <c r="F28" i="4"/>
  <c r="E31" i="4"/>
  <c r="K21" i="4"/>
  <c r="L26" i="4"/>
  <c r="J41" i="8"/>
  <c r="J34" i="8"/>
  <c r="J36" i="8" s="1"/>
  <c r="H36" i="8"/>
  <c r="L28" i="8"/>
  <c r="N28" i="8" s="1"/>
  <c r="F28" i="8"/>
  <c r="M27" i="8"/>
  <c r="M30" i="8" s="1"/>
  <c r="E30" i="8"/>
  <c r="M22" i="8"/>
  <c r="J16" i="8"/>
  <c r="M15" i="8"/>
  <c r="L14" i="8"/>
  <c r="F14" i="8"/>
  <c r="J11" i="8"/>
  <c r="Q23" i="2"/>
  <c r="D20" i="13"/>
  <c r="C21" i="1"/>
  <c r="E21" i="1" s="1"/>
  <c r="C14" i="1"/>
  <c r="Q15" i="2"/>
  <c r="D13" i="13"/>
  <c r="E36" i="3"/>
  <c r="D34" i="3"/>
  <c r="D36" i="3" s="1"/>
  <c r="F27" i="3"/>
  <c r="E30" i="3"/>
  <c r="D27" i="3"/>
  <c r="R30" i="2" s="1"/>
  <c r="R34" i="2" s="1"/>
  <c r="D27" i="1"/>
  <c r="D30" i="1" s="1"/>
  <c r="H26" i="13"/>
  <c r="D14" i="3"/>
  <c r="D14" i="1"/>
  <c r="H13" i="13"/>
  <c r="F11" i="4"/>
  <c r="S10" i="1" s="1"/>
  <c r="M41" i="8"/>
  <c r="L35" i="8"/>
  <c r="N35" i="8" s="1"/>
  <c r="F35" i="8"/>
  <c r="M34" i="8"/>
  <c r="M36" i="8" s="1"/>
  <c r="E36" i="8"/>
  <c r="J32" i="8"/>
  <c r="J37" i="8" s="1"/>
  <c r="H37" i="8"/>
  <c r="F24" i="8"/>
  <c r="L24" i="8"/>
  <c r="F23" i="8"/>
  <c r="L23" i="8"/>
  <c r="F16" i="8"/>
  <c r="L16" i="8"/>
  <c r="N16" i="8" s="1"/>
  <c r="J12" i="8"/>
  <c r="L11" i="8"/>
  <c r="N11" i="8" s="1"/>
  <c r="F11" i="8"/>
  <c r="Q36" i="2"/>
  <c r="C32" i="1"/>
  <c r="D31" i="13"/>
  <c r="F41" i="3"/>
  <c r="T41" i="1" s="1"/>
  <c r="D41" i="1"/>
  <c r="E41" i="1" s="1"/>
  <c r="H37" i="13"/>
  <c r="D20" i="3"/>
  <c r="E25" i="3"/>
  <c r="D20" i="1"/>
  <c r="D25" i="1" s="1"/>
  <c r="H19" i="13"/>
  <c r="D40" i="4"/>
  <c r="L37" i="1" s="1"/>
  <c r="F40" i="4"/>
  <c r="S37" i="1" s="1"/>
  <c r="K29" i="4"/>
  <c r="M29" i="4"/>
  <c r="U28" i="1" s="1"/>
  <c r="K25" i="4"/>
  <c r="N24" i="1" s="1"/>
  <c r="M25" i="4"/>
  <c r="U24" i="1" s="1"/>
  <c r="L19" i="4"/>
  <c r="K10" i="4"/>
  <c r="M10" i="4"/>
  <c r="F41" i="8"/>
  <c r="L41" i="8"/>
  <c r="N41" i="8" s="1"/>
  <c r="D36" i="8"/>
  <c r="F34" i="8"/>
  <c r="F36" i="8" s="1"/>
  <c r="L34" i="8"/>
  <c r="M33" i="8"/>
  <c r="I25" i="8"/>
  <c r="F17" i="8"/>
  <c r="L17" i="8"/>
  <c r="N17" i="8" s="1"/>
  <c r="Q14" i="2"/>
  <c r="C13" i="1"/>
  <c r="E13" i="1" s="1"/>
  <c r="D12" i="13"/>
  <c r="D39" i="3"/>
  <c r="F39" i="3" s="1"/>
  <c r="T37" i="1" s="1"/>
  <c r="D37" i="1"/>
  <c r="H36" i="13"/>
  <c r="F36" i="4"/>
  <c r="F33" i="4"/>
  <c r="E38" i="4"/>
  <c r="E44" i="4" s="1"/>
  <c r="K22" i="4"/>
  <c r="N21" i="1" s="1"/>
  <c r="D16" i="4"/>
  <c r="L15" i="1" s="1"/>
  <c r="F16" i="4"/>
  <c r="S15" i="1" s="1"/>
  <c r="D13" i="4"/>
  <c r="L12" i="1" s="1"/>
  <c r="F13" i="4"/>
  <c r="S12" i="1" s="1"/>
  <c r="J39" i="8"/>
  <c r="F33" i="8"/>
  <c r="L33" i="8"/>
  <c r="N33" i="8" s="1"/>
  <c r="E37" i="8"/>
  <c r="M32" i="8"/>
  <c r="M37" i="8" s="1"/>
  <c r="J29" i="8"/>
  <c r="J20" i="8"/>
  <c r="J25" i="8" s="1"/>
  <c r="H25" i="8"/>
  <c r="J13" i="8"/>
  <c r="M12" i="8"/>
  <c r="Q24" i="2"/>
  <c r="C22" i="1"/>
  <c r="D21" i="13"/>
  <c r="Q22" i="2"/>
  <c r="M28" i="2"/>
  <c r="C20" i="1"/>
  <c r="D19" i="13"/>
  <c r="Q12" i="2"/>
  <c r="C11" i="1"/>
  <c r="E11" i="1" s="1"/>
  <c r="D10" i="13"/>
  <c r="F17" i="3"/>
  <c r="T17" i="1" s="1"/>
  <c r="D17" i="1"/>
  <c r="H16" i="13"/>
  <c r="M24" i="4"/>
  <c r="U23" i="1" s="1"/>
  <c r="K24" i="4"/>
  <c r="N23" i="1" s="1"/>
  <c r="F18" i="4"/>
  <c r="S17" i="1" s="1"/>
  <c r="D18" i="4"/>
  <c r="L21" i="8"/>
  <c r="N21" i="8" s="1"/>
  <c r="F21" i="8"/>
  <c r="M20" i="8"/>
  <c r="M25" i="8" s="1"/>
  <c r="E25" i="8"/>
  <c r="J17" i="8"/>
  <c r="L12" i="8"/>
  <c r="N12" i="8" s="1"/>
  <c r="F12" i="8"/>
  <c r="M11" i="8"/>
  <c r="H18" i="8"/>
  <c r="J9" i="8"/>
  <c r="J18" i="8" s="1"/>
  <c r="Q44" i="2"/>
  <c r="C37" i="1"/>
  <c r="E37" i="1" s="1"/>
  <c r="D36" i="13"/>
  <c r="Q37" i="2"/>
  <c r="D32" i="13"/>
  <c r="Q26" i="2"/>
  <c r="C24" i="1"/>
  <c r="D23" i="13"/>
  <c r="N16" i="2"/>
  <c r="Q15" i="1" s="1"/>
  <c r="V15" i="1" s="1"/>
  <c r="Q16" i="2"/>
  <c r="C15" i="1"/>
  <c r="E15" i="1" s="1"/>
  <c r="D14" i="13"/>
  <c r="D33" i="3"/>
  <c r="F33" i="3" s="1"/>
  <c r="T33" i="1" s="1"/>
  <c r="D33" i="1"/>
  <c r="E33" i="1" s="1"/>
  <c r="H32" i="13"/>
  <c r="D29" i="1"/>
  <c r="D29" i="3"/>
  <c r="F29" i="3"/>
  <c r="T29" i="1" s="1"/>
  <c r="H28" i="13"/>
  <c r="D13" i="3"/>
  <c r="F13" i="3" s="1"/>
  <c r="T13" i="1" s="1"/>
  <c r="D13" i="1"/>
  <c r="H12" i="13"/>
  <c r="D24" i="4"/>
  <c r="L23" i="1" s="1"/>
  <c r="F24" i="4"/>
  <c r="S23" i="1" s="1"/>
  <c r="K17" i="4"/>
  <c r="N16" i="1" s="1"/>
  <c r="J24" i="8"/>
  <c r="M17" i="8"/>
  <c r="J15" i="8"/>
  <c r="L10" i="8"/>
  <c r="F10" i="8"/>
  <c r="M9" i="8"/>
  <c r="M18" i="8" s="1"/>
  <c r="M43" i="8" s="1"/>
  <c r="M47" i="8" s="1"/>
  <c r="E18" i="8"/>
  <c r="E43" i="8" s="1"/>
  <c r="E47" i="8" s="1"/>
  <c r="Q18" i="2"/>
  <c r="C17" i="1"/>
  <c r="D16" i="13"/>
  <c r="D35" i="3"/>
  <c r="F35" i="3"/>
  <c r="D15" i="3"/>
  <c r="F15" i="3"/>
  <c r="T15" i="1" s="1"/>
  <c r="H14" i="13"/>
  <c r="D15" i="1"/>
  <c r="F29" i="4"/>
  <c r="S28" i="1" s="1"/>
  <c r="D25" i="4"/>
  <c r="L24" i="1" s="1"/>
  <c r="K18" i="4"/>
  <c r="N17" i="1" s="1"/>
  <c r="M18" i="4"/>
  <c r="U17" i="1" s="1"/>
  <c r="K11" i="4"/>
  <c r="N10" i="1" s="1"/>
  <c r="M11" i="4"/>
  <c r="U10" i="1" s="1"/>
  <c r="D10" i="4"/>
  <c r="F10" i="4"/>
  <c r="E19" i="4"/>
  <c r="D18" i="8"/>
  <c r="F9" i="8"/>
  <c r="F18" i="8" s="1"/>
  <c r="L9" i="8"/>
  <c r="Q31" i="2"/>
  <c r="S31" i="2" s="1"/>
  <c r="C28" i="1"/>
  <c r="E28" i="1" s="1"/>
  <c r="D27" i="13"/>
  <c r="M34" i="2"/>
  <c r="C27" i="1"/>
  <c r="D26" i="13"/>
  <c r="Q30" i="2"/>
  <c r="M20" i="2"/>
  <c r="C9" i="1"/>
  <c r="Q10" i="2"/>
  <c r="D8" i="13"/>
  <c r="E37" i="3"/>
  <c r="F32" i="3"/>
  <c r="D32" i="1"/>
  <c r="D35" i="1" s="1"/>
  <c r="H31" i="13"/>
  <c r="F28" i="3"/>
  <c r="T28" i="1" s="1"/>
  <c r="D28" i="1"/>
  <c r="H27" i="13"/>
  <c r="D24" i="3"/>
  <c r="F24" i="3"/>
  <c r="T24" i="1" s="1"/>
  <c r="D24" i="1"/>
  <c r="H23" i="13"/>
  <c r="K35" i="4"/>
  <c r="K37" i="4" s="1"/>
  <c r="N34" i="1" s="1"/>
  <c r="M35" i="4"/>
  <c r="L37" i="4"/>
  <c r="M37" i="4" s="1"/>
  <c r="U34" i="1" s="1"/>
  <c r="K23" i="4"/>
  <c r="N22" i="1" s="1"/>
  <c r="D17" i="4"/>
  <c r="L16" i="1" s="1"/>
  <c r="Q32" i="2"/>
  <c r="C29" i="1"/>
  <c r="D28" i="13"/>
  <c r="Q11" i="2"/>
  <c r="C10" i="1"/>
  <c r="E10" i="1" s="1"/>
  <c r="D9" i="13"/>
  <c r="F21" i="3"/>
  <c r="T21" i="1" s="1"/>
  <c r="D21" i="3"/>
  <c r="D21" i="1"/>
  <c r="H20" i="13"/>
  <c r="E18" i="3"/>
  <c r="D9" i="3"/>
  <c r="D9" i="1"/>
  <c r="D18" i="1" s="1"/>
  <c r="D43" i="1" s="1"/>
  <c r="D51" i="1" s="1"/>
  <c r="D55" i="1" s="1"/>
  <c r="H8" i="13"/>
  <c r="M40" i="4"/>
  <c r="U37" i="1" s="1"/>
  <c r="K40" i="4"/>
  <c r="N37" i="1" s="1"/>
  <c r="F34" i="4"/>
  <c r="S33" i="1" s="1"/>
  <c r="D30" i="4"/>
  <c r="M28" i="4"/>
  <c r="L31" i="4"/>
  <c r="K28" i="4"/>
  <c r="F22" i="4"/>
  <c r="S21" i="1" s="1"/>
  <c r="K15" i="4"/>
  <c r="N14" i="1" s="1"/>
  <c r="F14" i="4"/>
  <c r="S13" i="1" s="1"/>
  <c r="K12" i="4"/>
  <c r="N11" i="1" s="1"/>
  <c r="J32" i="1"/>
  <c r="G35" i="1"/>
  <c r="T45" i="6"/>
  <c r="T55" i="6" s="1"/>
  <c r="T59" i="6" s="1"/>
  <c r="L38" i="13"/>
  <c r="M38" i="13" s="1"/>
  <c r="H38" i="18"/>
  <c r="K46" i="18"/>
  <c r="M46" i="18" s="1"/>
  <c r="E38" i="18"/>
  <c r="U45" i="6"/>
  <c r="U55" i="6" s="1"/>
  <c r="U59" i="6" s="1"/>
  <c r="T58" i="10"/>
  <c r="V58" i="10" s="1"/>
  <c r="M34" i="17"/>
  <c r="H18" i="1"/>
  <c r="L146" i="16"/>
  <c r="O144" i="16"/>
  <c r="Q144" i="16" s="1"/>
  <c r="O19" i="6"/>
  <c r="E37" i="18"/>
  <c r="K41" i="18"/>
  <c r="M41" i="18" s="1"/>
  <c r="E33" i="17"/>
  <c r="E34" i="17" s="1"/>
  <c r="E39" i="17" s="1"/>
  <c r="E45" i="17" s="1"/>
  <c r="E47" i="17" s="1"/>
  <c r="K33" i="17"/>
  <c r="M33" i="17" s="1"/>
  <c r="C34" i="17"/>
  <c r="C39" i="17" s="1"/>
  <c r="C45" i="17" s="1"/>
  <c r="C47" i="17" s="1"/>
  <c r="J11" i="1"/>
  <c r="I43" i="1"/>
  <c r="I51" i="1" s="1"/>
  <c r="I55" i="1" s="1"/>
  <c r="J33" i="6"/>
  <c r="O33" i="6" s="1"/>
  <c r="O29" i="6"/>
  <c r="J24" i="1"/>
  <c r="I46" i="18"/>
  <c r="O10" i="6"/>
  <c r="H25" i="1"/>
  <c r="G45" i="6"/>
  <c r="G55" i="6" s="1"/>
  <c r="G59" i="6" s="1"/>
  <c r="J15" i="1"/>
  <c r="J9" i="1"/>
  <c r="V27" i="6"/>
  <c r="M46" i="13"/>
  <c r="G17" i="17"/>
  <c r="L8" i="17"/>
  <c r="M8" i="17" s="1"/>
  <c r="M17" i="17" s="1"/>
  <c r="I8" i="17"/>
  <c r="I17" i="17" s="1"/>
  <c r="G18" i="1"/>
  <c r="M146" i="16"/>
  <c r="O100" i="16"/>
  <c r="N100" i="16"/>
  <c r="N37" i="2"/>
  <c r="Q33" i="1" s="1"/>
  <c r="V33" i="1" s="1"/>
  <c r="G41" i="9"/>
  <c r="G39" i="9"/>
  <c r="I30" i="1"/>
  <c r="Q71" i="16"/>
  <c r="V33" i="6"/>
  <c r="M24" i="17"/>
  <c r="O111" i="16"/>
  <c r="N111" i="16"/>
  <c r="K71" i="16"/>
  <c r="P71" i="16"/>
  <c r="N38" i="16"/>
  <c r="J39" i="6"/>
  <c r="O39" i="6" s="1"/>
  <c r="M36" i="17"/>
  <c r="K21" i="17"/>
  <c r="M21" i="17" s="1"/>
  <c r="G24" i="17"/>
  <c r="I25" i="1"/>
  <c r="Q122" i="16"/>
  <c r="O78" i="16"/>
  <c r="Q78" i="16" s="1"/>
  <c r="N78" i="16"/>
  <c r="D61" i="2"/>
  <c r="D28" i="2"/>
  <c r="I24" i="2"/>
  <c r="C23" i="9"/>
  <c r="H23" i="9" s="1"/>
  <c r="K23" i="9" s="1"/>
  <c r="M26" i="17"/>
  <c r="M29" i="17" s="1"/>
  <c r="J37" i="1"/>
  <c r="K90" i="12"/>
  <c r="H30" i="9"/>
  <c r="K30" i="9" s="1"/>
  <c r="C33" i="9"/>
  <c r="E37" i="13"/>
  <c r="C29" i="13"/>
  <c r="I33" i="17"/>
  <c r="I34" i="17" s="1"/>
  <c r="I39" i="17" s="1"/>
  <c r="I45" i="17" s="1"/>
  <c r="I47" i="17" s="1"/>
  <c r="H34" i="17"/>
  <c r="H39" i="17" s="1"/>
  <c r="H45" i="17" s="1"/>
  <c r="H47" i="17" s="1"/>
  <c r="I29" i="17"/>
  <c r="K9" i="17"/>
  <c r="M9" i="17" s="1"/>
  <c r="R43" i="1"/>
  <c r="R51" i="1" s="1"/>
  <c r="R55" i="1" s="1"/>
  <c r="O89" i="16"/>
  <c r="N89" i="16"/>
  <c r="P16" i="16"/>
  <c r="Q16" i="16" s="1"/>
  <c r="N44" i="2"/>
  <c r="Q37" i="1" s="1"/>
  <c r="V37" i="1" s="1"/>
  <c r="D52" i="2"/>
  <c r="J20" i="1"/>
  <c r="N14" i="2"/>
  <c r="Q13" i="1" s="1"/>
  <c r="V13" i="1" s="1"/>
  <c r="K89" i="16"/>
  <c r="P89" i="16"/>
  <c r="N27" i="16"/>
  <c r="O27" i="16"/>
  <c r="Q27" i="16" s="1"/>
  <c r="N11" i="2"/>
  <c r="Q10" i="1" s="1"/>
  <c r="V10" i="1" s="1"/>
  <c r="M38" i="12"/>
  <c r="J27" i="6"/>
  <c r="O27" i="6" s="1"/>
  <c r="P100" i="16"/>
  <c r="G146" i="16"/>
  <c r="H146" i="16" s="1"/>
  <c r="J146" i="16"/>
  <c r="K146" i="16" s="1"/>
  <c r="K144" i="16"/>
  <c r="P122" i="16"/>
  <c r="K111" i="16"/>
  <c r="P111" i="16"/>
  <c r="N60" i="16"/>
  <c r="Q38" i="16"/>
  <c r="L30" i="2"/>
  <c r="I34" i="2"/>
  <c r="G27" i="1"/>
  <c r="N23" i="2"/>
  <c r="Q21" i="1" s="1"/>
  <c r="V21" i="1" s="1"/>
  <c r="K29" i="9"/>
  <c r="K33" i="9" s="1"/>
  <c r="C27" i="9"/>
  <c r="H21" i="9"/>
  <c r="P60" i="16"/>
  <c r="Q60" i="16" s="1"/>
  <c r="N32" i="2"/>
  <c r="Q29" i="1" s="1"/>
  <c r="V29" i="1" s="1"/>
  <c r="N26" i="2"/>
  <c r="Q24" i="1" s="1"/>
  <c r="V24" i="1" s="1"/>
  <c r="D51" i="9"/>
  <c r="J34" i="1"/>
  <c r="H30" i="1"/>
  <c r="K49" i="16"/>
  <c r="P49" i="16"/>
  <c r="Q49" i="16" s="1"/>
  <c r="N22" i="2"/>
  <c r="N12" i="2"/>
  <c r="Q11" i="1" s="1"/>
  <c r="V11" i="1" s="1"/>
  <c r="E19" i="9"/>
  <c r="E51" i="9" s="1"/>
  <c r="J17" i="1"/>
  <c r="P144" i="16"/>
  <c r="D146" i="16"/>
  <c r="E146" i="16" s="1"/>
  <c r="P78" i="16"/>
  <c r="E42" i="2"/>
  <c r="N18" i="2"/>
  <c r="Q17" i="1" s="1"/>
  <c r="V17" i="1" s="1"/>
  <c r="M16" i="12"/>
  <c r="E90" i="12"/>
  <c r="M90" i="12" s="1"/>
  <c r="L13" i="2"/>
  <c r="D41" i="9"/>
  <c r="C41" i="9"/>
  <c r="H35" i="9"/>
  <c r="H25" i="9"/>
  <c r="K25" i="9" s="1"/>
  <c r="M10" i="12"/>
  <c r="H9" i="9"/>
  <c r="C19" i="9"/>
  <c r="C51" i="9" s="1"/>
  <c r="C53" i="13" s="1"/>
  <c r="R15" i="2"/>
  <c r="L15" i="2"/>
  <c r="N15" i="2" s="1"/>
  <c r="Q14" i="1" s="1"/>
  <c r="V14" i="1" s="1"/>
  <c r="N17" i="2"/>
  <c r="Q16" i="1" s="1"/>
  <c r="V16" i="1" s="1"/>
  <c r="G90" i="12"/>
  <c r="H36" i="9"/>
  <c r="K36" i="9" s="1"/>
  <c r="H22" i="9"/>
  <c r="K22" i="9" s="1"/>
  <c r="H12" i="9"/>
  <c r="K12" i="9" s="1"/>
  <c r="D39" i="9"/>
  <c r="L25" i="2"/>
  <c r="N25" i="2" s="1"/>
  <c r="Q23" i="1" s="1"/>
  <c r="V23" i="1" s="1"/>
  <c r="M88" i="12"/>
  <c r="J38" i="2" s="1"/>
  <c r="F39" i="9"/>
  <c r="F19" i="9"/>
  <c r="R36" i="2"/>
  <c r="I42" i="2"/>
  <c r="L36" i="2"/>
  <c r="L31" i="2"/>
  <c r="N31" i="2" s="1"/>
  <c r="Q28" i="1" s="1"/>
  <c r="V28" i="1" s="1"/>
  <c r="R31" i="2"/>
  <c r="K52" i="2"/>
  <c r="G27" i="9"/>
  <c r="H10" i="9"/>
  <c r="K10" i="9" s="1"/>
  <c r="R39" i="2"/>
  <c r="L39" i="2"/>
  <c r="N39" i="2" s="1"/>
  <c r="E52" i="2"/>
  <c r="C53" i="18" s="1"/>
  <c r="L10" i="2"/>
  <c r="I20" i="2"/>
  <c r="H47" i="9"/>
  <c r="K47" i="9" s="1"/>
  <c r="H37" i="9"/>
  <c r="C39" i="9"/>
  <c r="F41" i="9"/>
  <c r="G19" i="9"/>
  <c r="H11" i="9"/>
  <c r="K11" i="9" s="1"/>
  <c r="D11" i="10"/>
  <c r="I44" i="10"/>
  <c r="I11" i="10"/>
  <c r="H11" i="10"/>
  <c r="D50" i="10"/>
  <c r="AE12" i="6"/>
  <c r="Q13" i="10"/>
  <c r="AC12" i="6"/>
  <c r="AB12" i="6"/>
  <c r="L13" i="4"/>
  <c r="Y12" i="6"/>
  <c r="E44" i="10"/>
  <c r="H50" i="10"/>
  <c r="L13" i="10"/>
  <c r="P13" i="10"/>
  <c r="AC10" i="6"/>
  <c r="L50" i="10"/>
  <c r="P50" i="10"/>
  <c r="D13" i="10"/>
  <c r="M13" i="10"/>
  <c r="Q44" i="10"/>
  <c r="H13" i="10"/>
  <c r="P11" i="10"/>
  <c r="AH10" i="6"/>
  <c r="E50" i="10"/>
  <c r="L11" i="10"/>
  <c r="E12" i="3"/>
  <c r="I50" i="10"/>
  <c r="E13" i="10"/>
  <c r="AG10" i="6"/>
  <c r="Q11" i="10"/>
  <c r="AI12" i="6"/>
  <c r="AA10" i="6"/>
  <c r="M13" i="2"/>
  <c r="M44" i="10"/>
  <c r="H44" i="10"/>
  <c r="P44" i="10"/>
  <c r="L44" i="10"/>
  <c r="AB10" i="6"/>
  <c r="AH12" i="6"/>
  <c r="Q50" i="10"/>
  <c r="M50" i="10"/>
  <c r="M11" i="10"/>
  <c r="E11" i="10"/>
  <c r="I13" i="10"/>
  <c r="AI10" i="6"/>
  <c r="U11" i="10" l="1"/>
  <c r="N44" i="10"/>
  <c r="R44" i="10"/>
  <c r="J44" i="10"/>
  <c r="T44" i="10"/>
  <c r="V44" i="10" s="1"/>
  <c r="Q13" i="2"/>
  <c r="C12" i="1"/>
  <c r="E12" i="1" s="1"/>
  <c r="D11" i="13"/>
  <c r="D10" i="6"/>
  <c r="U13" i="10"/>
  <c r="D12" i="3"/>
  <c r="F12" i="3"/>
  <c r="T12" i="1" s="1"/>
  <c r="D12" i="1"/>
  <c r="H11" i="13"/>
  <c r="N11" i="10"/>
  <c r="U50" i="10"/>
  <c r="R11" i="10"/>
  <c r="J13" i="10"/>
  <c r="F13" i="10"/>
  <c r="T13" i="10"/>
  <c r="V13" i="10" s="1"/>
  <c r="R50" i="10"/>
  <c r="N50" i="10"/>
  <c r="R13" i="10"/>
  <c r="N13" i="10"/>
  <c r="J50" i="10"/>
  <c r="U44" i="10"/>
  <c r="F44" i="10"/>
  <c r="C12" i="6"/>
  <c r="E12" i="6" s="1"/>
  <c r="K13" i="4"/>
  <c r="N12" i="1" s="1"/>
  <c r="M13" i="4"/>
  <c r="U12" i="1" s="1"/>
  <c r="F50" i="10"/>
  <c r="T50" i="10"/>
  <c r="V50" i="10" s="1"/>
  <c r="J11" i="10"/>
  <c r="T11" i="10"/>
  <c r="V11" i="10" s="1"/>
  <c r="F11" i="10"/>
  <c r="M38" i="4"/>
  <c r="U32" i="1"/>
  <c r="U35" i="1" s="1"/>
  <c r="M39" i="17"/>
  <c r="M45" i="17" s="1"/>
  <c r="M47" i="17" s="1"/>
  <c r="M31" i="4"/>
  <c r="U27" i="1"/>
  <c r="U30" i="1" s="1"/>
  <c r="D18" i="3"/>
  <c r="M9" i="1"/>
  <c r="M18" i="1" s="1"/>
  <c r="G8" i="13"/>
  <c r="Q20" i="2"/>
  <c r="I14" i="13"/>
  <c r="H14" i="18"/>
  <c r="F38" i="4"/>
  <c r="S32" i="1"/>
  <c r="S35" i="1" s="1"/>
  <c r="D25" i="3"/>
  <c r="M20" i="1"/>
  <c r="M25" i="1" s="1"/>
  <c r="G19" i="13"/>
  <c r="L37" i="8"/>
  <c r="N32" i="8"/>
  <c r="N37" i="8" s="1"/>
  <c r="O34" i="1"/>
  <c r="J45" i="6"/>
  <c r="M12" i="4"/>
  <c r="U11" i="1" s="1"/>
  <c r="E9" i="1"/>
  <c r="E18" i="1" s="1"/>
  <c r="C18" i="1"/>
  <c r="F30" i="3"/>
  <c r="T27" i="1"/>
  <c r="T30" i="1" s="1"/>
  <c r="K26" i="4"/>
  <c r="N20" i="1"/>
  <c r="N25" i="1" s="1"/>
  <c r="F11" i="3"/>
  <c r="T11" i="1" s="1"/>
  <c r="C19" i="6"/>
  <c r="E9" i="6"/>
  <c r="E19" i="6" s="1"/>
  <c r="D26" i="4"/>
  <c r="L20" i="1"/>
  <c r="L25" i="1" s="1"/>
  <c r="L28" i="13"/>
  <c r="E28" i="13"/>
  <c r="D28" i="18"/>
  <c r="H36" i="18"/>
  <c r="H15" i="18"/>
  <c r="E21" i="6"/>
  <c r="E27" i="6" s="1"/>
  <c r="C27" i="6"/>
  <c r="M45" i="1"/>
  <c r="V15" i="10"/>
  <c r="E36" i="6"/>
  <c r="H41" i="9"/>
  <c r="K35" i="9"/>
  <c r="K41" i="9" s="1"/>
  <c r="H20" i="18"/>
  <c r="I20" i="13"/>
  <c r="H31" i="18"/>
  <c r="F43" i="8"/>
  <c r="F47" i="8" s="1"/>
  <c r="N10" i="8"/>
  <c r="E23" i="13"/>
  <c r="D23" i="18"/>
  <c r="L23" i="13"/>
  <c r="Q28" i="2"/>
  <c r="M19" i="4"/>
  <c r="U9" i="1"/>
  <c r="U18" i="1" s="1"/>
  <c r="M14" i="1"/>
  <c r="O14" i="1" s="1"/>
  <c r="G13" i="13"/>
  <c r="D34" i="1"/>
  <c r="H33" i="13"/>
  <c r="E46" i="4"/>
  <c r="E50" i="4" s="1"/>
  <c r="H22" i="18"/>
  <c r="D33" i="13"/>
  <c r="C34" i="1"/>
  <c r="V33" i="10"/>
  <c r="R46" i="10"/>
  <c r="R56" i="10" s="1"/>
  <c r="R60" i="10" s="1"/>
  <c r="L43" i="13"/>
  <c r="D43" i="18"/>
  <c r="E43" i="13"/>
  <c r="D46" i="10"/>
  <c r="D56" i="10" s="1"/>
  <c r="D60" i="10" s="1"/>
  <c r="I43" i="8"/>
  <c r="I47" i="8" s="1"/>
  <c r="G51" i="9"/>
  <c r="C55" i="13" s="1"/>
  <c r="C57" i="13" s="1"/>
  <c r="L42" i="2"/>
  <c r="N36" i="2"/>
  <c r="N28" i="2"/>
  <c r="Q20" i="1"/>
  <c r="Q89" i="16"/>
  <c r="Q100" i="16"/>
  <c r="N146" i="16"/>
  <c r="O146" i="16"/>
  <c r="M15" i="4"/>
  <c r="U14" i="1" s="1"/>
  <c r="S32" i="2"/>
  <c r="H23" i="18"/>
  <c r="L26" i="13"/>
  <c r="L29" i="13" s="1"/>
  <c r="D29" i="13"/>
  <c r="E26" i="13"/>
  <c r="E29" i="13" s="1"/>
  <c r="D26" i="18"/>
  <c r="D43" i="8"/>
  <c r="D47" i="8" s="1"/>
  <c r="F25" i="4"/>
  <c r="S24" i="1" s="1"/>
  <c r="E24" i="1"/>
  <c r="H43" i="8"/>
  <c r="H47" i="8" s="1"/>
  <c r="L21" i="13"/>
  <c r="D21" i="18"/>
  <c r="K19" i="4"/>
  <c r="N9" i="1"/>
  <c r="N18" i="1" s="1"/>
  <c r="H24" i="13"/>
  <c r="H19" i="18"/>
  <c r="L31" i="13"/>
  <c r="E31" i="13"/>
  <c r="E34" i="13" s="1"/>
  <c r="D31" i="18"/>
  <c r="F14" i="3"/>
  <c r="T14" i="1" s="1"/>
  <c r="F34" i="3"/>
  <c r="F36" i="3" s="1"/>
  <c r="T34" i="1" s="1"/>
  <c r="F31" i="4"/>
  <c r="F46" i="4" s="1"/>
  <c r="S27" i="1"/>
  <c r="S30" i="1" s="1"/>
  <c r="M22" i="1"/>
  <c r="G21" i="13"/>
  <c r="G21" i="18" s="1"/>
  <c r="V12" i="10"/>
  <c r="V31" i="10"/>
  <c r="V10" i="10"/>
  <c r="V20" i="10" s="1"/>
  <c r="T20" i="10"/>
  <c r="V32" i="10"/>
  <c r="V26" i="10"/>
  <c r="V42" i="10"/>
  <c r="E15" i="6"/>
  <c r="V38" i="10"/>
  <c r="E13" i="6"/>
  <c r="H43" i="18"/>
  <c r="M46" i="10"/>
  <c r="M56" i="10" s="1"/>
  <c r="M60" i="10" s="1"/>
  <c r="E36" i="13"/>
  <c r="L36" i="13"/>
  <c r="D36" i="18"/>
  <c r="S14" i="2"/>
  <c r="M11" i="1"/>
  <c r="G10" i="13"/>
  <c r="I10" i="13" s="1"/>
  <c r="J35" i="1"/>
  <c r="D31" i="4"/>
  <c r="L29" i="1"/>
  <c r="L30" i="1" s="1"/>
  <c r="L37" i="13"/>
  <c r="H37" i="18"/>
  <c r="I37" i="13"/>
  <c r="L20" i="13"/>
  <c r="E20" i="13"/>
  <c r="D20" i="18"/>
  <c r="C33" i="6"/>
  <c r="E29" i="6"/>
  <c r="E33" i="6" s="1"/>
  <c r="F9" i="3"/>
  <c r="R22" i="2"/>
  <c r="R28" i="2" s="1"/>
  <c r="O11" i="1"/>
  <c r="J43" i="8"/>
  <c r="J47" i="8" s="1"/>
  <c r="R24" i="2"/>
  <c r="G22" i="1"/>
  <c r="C21" i="13"/>
  <c r="E21" i="13" s="1"/>
  <c r="I28" i="2"/>
  <c r="I52" i="2" s="1"/>
  <c r="L24" i="2"/>
  <c r="P146" i="16"/>
  <c r="R23" i="2"/>
  <c r="M21" i="1"/>
  <c r="O21" i="1" s="1"/>
  <c r="G20" i="13"/>
  <c r="F17" i="4"/>
  <c r="S16" i="1" s="1"/>
  <c r="F37" i="3"/>
  <c r="T32" i="1"/>
  <c r="T35" i="1" s="1"/>
  <c r="E27" i="1"/>
  <c r="E30" i="1" s="1"/>
  <c r="C30" i="1"/>
  <c r="E16" i="13"/>
  <c r="L16" i="13"/>
  <c r="D16" i="18"/>
  <c r="R18" i="2"/>
  <c r="S18" i="2" s="1"/>
  <c r="L17" i="1"/>
  <c r="O17" i="1" s="1"/>
  <c r="G16" i="13"/>
  <c r="E10" i="13"/>
  <c r="L10" i="13"/>
  <c r="D10" i="18"/>
  <c r="E22" i="1"/>
  <c r="M22" i="4"/>
  <c r="U21" i="1" s="1"/>
  <c r="R44" i="2"/>
  <c r="S44" i="2" s="1"/>
  <c r="M37" i="1"/>
  <c r="O37" i="1" s="1"/>
  <c r="G36" i="13"/>
  <c r="I36" i="13" s="1"/>
  <c r="F20" i="3"/>
  <c r="C35" i="1"/>
  <c r="E32" i="1"/>
  <c r="E35" i="1" s="1"/>
  <c r="N23" i="8"/>
  <c r="H29" i="13"/>
  <c r="I26" i="13"/>
  <c r="I29" i="13" s="1"/>
  <c r="H26" i="18"/>
  <c r="L13" i="13"/>
  <c r="E13" i="13"/>
  <c r="D13" i="18"/>
  <c r="N14" i="8"/>
  <c r="M16" i="4"/>
  <c r="U15" i="1" s="1"/>
  <c r="G22" i="13"/>
  <c r="M23" i="1"/>
  <c r="O23" i="1" s="1"/>
  <c r="L25" i="8"/>
  <c r="N20" i="8"/>
  <c r="N25" i="8" s="1"/>
  <c r="K38" i="4"/>
  <c r="N32" i="1"/>
  <c r="N35" i="1" s="1"/>
  <c r="G31" i="13"/>
  <c r="N39" i="8"/>
  <c r="L30" i="8"/>
  <c r="N27" i="8"/>
  <c r="N30" i="8" s="1"/>
  <c r="M16" i="1"/>
  <c r="O16" i="1" s="1"/>
  <c r="R17" i="2"/>
  <c r="S17" i="2" s="1"/>
  <c r="G15" i="13"/>
  <c r="I15" i="13" s="1"/>
  <c r="G37" i="13"/>
  <c r="L41" i="1"/>
  <c r="O41" i="1" s="1"/>
  <c r="V17" i="10"/>
  <c r="H46" i="10"/>
  <c r="H56" i="10" s="1"/>
  <c r="H60" i="10" s="1"/>
  <c r="F46" i="10"/>
  <c r="F56" i="10" s="1"/>
  <c r="F60" i="10" s="1"/>
  <c r="V23" i="10"/>
  <c r="E22" i="6"/>
  <c r="G43" i="13"/>
  <c r="M47" i="1"/>
  <c r="O47" i="1" s="1"/>
  <c r="N22" i="8"/>
  <c r="V18" i="10"/>
  <c r="H19" i="9"/>
  <c r="K9" i="9"/>
  <c r="K19" i="9" s="1"/>
  <c r="I27" i="13"/>
  <c r="H27" i="18"/>
  <c r="E19" i="13"/>
  <c r="E24" i="13" s="1"/>
  <c r="L19" i="13"/>
  <c r="L24" i="13" s="1"/>
  <c r="D24" i="13"/>
  <c r="D19" i="18"/>
  <c r="T40" i="10"/>
  <c r="V36" i="10"/>
  <c r="V40" i="10" s="1"/>
  <c r="H33" i="9"/>
  <c r="E43" i="3"/>
  <c r="E49" i="3" s="1"/>
  <c r="I16" i="13"/>
  <c r="H16" i="18"/>
  <c r="H13" i="18"/>
  <c r="I21" i="13"/>
  <c r="H21" i="18"/>
  <c r="I21" i="18" s="1"/>
  <c r="R10" i="2"/>
  <c r="R20" i="2" s="1"/>
  <c r="O15" i="1"/>
  <c r="S23" i="2"/>
  <c r="M42" i="4"/>
  <c r="U41" i="1" s="1"/>
  <c r="N10" i="2"/>
  <c r="L20" i="2"/>
  <c r="Q34" i="2"/>
  <c r="S30" i="2"/>
  <c r="S34" i="2" s="1"/>
  <c r="H32" i="18"/>
  <c r="I32" i="13"/>
  <c r="N13" i="2"/>
  <c r="Q12" i="1" s="1"/>
  <c r="V12" i="1" s="1"/>
  <c r="K21" i="9"/>
  <c r="K27" i="9" s="1"/>
  <c r="H27" i="9"/>
  <c r="N30" i="2"/>
  <c r="L34" i="2"/>
  <c r="D44" i="4"/>
  <c r="G39" i="17"/>
  <c r="G45" i="17" s="1"/>
  <c r="G47" i="17" s="1"/>
  <c r="V45" i="6"/>
  <c r="V55" i="6" s="1"/>
  <c r="V59" i="6" s="1"/>
  <c r="H43" i="1"/>
  <c r="H51" i="1" s="1"/>
  <c r="H55" i="1" s="1"/>
  <c r="K31" i="4"/>
  <c r="N27" i="1"/>
  <c r="N30" i="1" s="1"/>
  <c r="I8" i="13"/>
  <c r="I17" i="13" s="1"/>
  <c r="H17" i="13"/>
  <c r="H8" i="18"/>
  <c r="M52" i="2"/>
  <c r="S9" i="1"/>
  <c r="S18" i="1" s="1"/>
  <c r="S43" i="1" s="1"/>
  <c r="S51" i="1" s="1"/>
  <c r="S55" i="1" s="1"/>
  <c r="F19" i="4"/>
  <c r="E17" i="1"/>
  <c r="R14" i="2"/>
  <c r="M13" i="1"/>
  <c r="O13" i="1" s="1"/>
  <c r="G12" i="13"/>
  <c r="D37" i="3"/>
  <c r="R37" i="2"/>
  <c r="S37" i="2" s="1"/>
  <c r="M33" i="1"/>
  <c r="G32" i="13"/>
  <c r="E32" i="13"/>
  <c r="L32" i="13"/>
  <c r="D32" i="18"/>
  <c r="S24" i="2"/>
  <c r="E12" i="13"/>
  <c r="L12" i="13"/>
  <c r="D12" i="18"/>
  <c r="N34" i="8"/>
  <c r="N36" i="8" s="1"/>
  <c r="L36" i="8"/>
  <c r="S36" i="2"/>
  <c r="S42" i="2" s="1"/>
  <c r="Q42" i="2"/>
  <c r="S15" i="2"/>
  <c r="H9" i="18"/>
  <c r="H10" i="18"/>
  <c r="F23" i="3"/>
  <c r="T23" i="1" s="1"/>
  <c r="N29" i="8"/>
  <c r="E10" i="6"/>
  <c r="L22" i="13"/>
  <c r="E22" i="13"/>
  <c r="D22" i="18"/>
  <c r="E16" i="6"/>
  <c r="D45" i="6"/>
  <c r="D55" i="6" s="1"/>
  <c r="D59" i="6" s="1"/>
  <c r="J46" i="10"/>
  <c r="J56" i="10" s="1"/>
  <c r="J60" i="10" s="1"/>
  <c r="Q46" i="10"/>
  <c r="Q56" i="10" s="1"/>
  <c r="Q60" i="10" s="1"/>
  <c r="E49" i="6"/>
  <c r="V24" i="10"/>
  <c r="V30" i="10"/>
  <c r="V34" i="10" s="1"/>
  <c r="T34" i="10"/>
  <c r="E32" i="6"/>
  <c r="D55" i="2"/>
  <c r="C52" i="18"/>
  <c r="C55" i="18" s="1"/>
  <c r="M10" i="1"/>
  <c r="O10" i="1" s="1"/>
  <c r="R11" i="2"/>
  <c r="S11" i="2" s="1"/>
  <c r="G9" i="13"/>
  <c r="F26" i="4"/>
  <c r="S20" i="1"/>
  <c r="S25" i="1" s="1"/>
  <c r="C39" i="6"/>
  <c r="E35" i="6"/>
  <c r="E39" i="6" s="1"/>
  <c r="J42" i="2"/>
  <c r="J52" i="2" s="1"/>
  <c r="L38" i="2"/>
  <c r="N38" i="2" s="1"/>
  <c r="N40" i="2" s="1"/>
  <c r="Q34" i="1" s="1"/>
  <c r="V34" i="1" s="1"/>
  <c r="O9" i="1"/>
  <c r="J18" i="1"/>
  <c r="L38" i="18"/>
  <c r="M38" i="18" s="1"/>
  <c r="I38" i="18"/>
  <c r="R32" i="2"/>
  <c r="M29" i="1"/>
  <c r="O29" i="1" s="1"/>
  <c r="G28" i="13"/>
  <c r="E20" i="1"/>
  <c r="E25" i="1" s="1"/>
  <c r="C25" i="1"/>
  <c r="N28" i="1"/>
  <c r="O28" i="1" s="1"/>
  <c r="G27" i="13"/>
  <c r="C54" i="13"/>
  <c r="G57" i="1"/>
  <c r="F30" i="4"/>
  <c r="S29" i="1" s="1"/>
  <c r="N9" i="8"/>
  <c r="N18" i="8" s="1"/>
  <c r="N43" i="8" s="1"/>
  <c r="N47" i="8" s="1"/>
  <c r="L18" i="8"/>
  <c r="M15" i="1"/>
  <c r="G14" i="13"/>
  <c r="R16" i="2"/>
  <c r="S16" i="2" s="1"/>
  <c r="M34" i="1"/>
  <c r="G33" i="13"/>
  <c r="M21" i="4"/>
  <c r="R25" i="2"/>
  <c r="S25" i="2" s="1"/>
  <c r="R38" i="2"/>
  <c r="S38" i="2" s="1"/>
  <c r="J27" i="1"/>
  <c r="G30" i="1"/>
  <c r="E29" i="1"/>
  <c r="I12" i="13"/>
  <c r="H12" i="18"/>
  <c r="R42" i="2"/>
  <c r="K37" i="9"/>
  <c r="K39" i="9" s="1"/>
  <c r="H39" i="9"/>
  <c r="F51" i="9"/>
  <c r="Q111" i="16"/>
  <c r="L46" i="4"/>
  <c r="L48" i="4" s="1"/>
  <c r="E9" i="13"/>
  <c r="L9" i="13"/>
  <c r="D9" i="18"/>
  <c r="M23" i="4"/>
  <c r="U22" i="1" s="1"/>
  <c r="R26" i="2"/>
  <c r="S26" i="2" s="1"/>
  <c r="M24" i="1"/>
  <c r="O24" i="1" s="1"/>
  <c r="G23" i="13"/>
  <c r="D17" i="13"/>
  <c r="E8" i="13"/>
  <c r="E17" i="13" s="1"/>
  <c r="D8" i="18"/>
  <c r="L8" i="13"/>
  <c r="L17" i="13" s="1"/>
  <c r="E27" i="13"/>
  <c r="L27" i="13"/>
  <c r="D27" i="18"/>
  <c r="D19" i="4"/>
  <c r="L9" i="1"/>
  <c r="L18" i="1" s="1"/>
  <c r="M17" i="4"/>
  <c r="U16" i="1" s="1"/>
  <c r="H28" i="18"/>
  <c r="L14" i="13"/>
  <c r="E14" i="13"/>
  <c r="D14" i="18"/>
  <c r="S12" i="2"/>
  <c r="D49" i="1"/>
  <c r="E49" i="1" s="1"/>
  <c r="H44" i="13"/>
  <c r="M42" i="2"/>
  <c r="N24" i="8"/>
  <c r="M27" i="1"/>
  <c r="M30" i="1" s="1"/>
  <c r="D30" i="3"/>
  <c r="G26" i="13"/>
  <c r="E14" i="1"/>
  <c r="F10" i="3"/>
  <c r="T10" i="1" s="1"/>
  <c r="F12" i="4"/>
  <c r="S11" i="1" s="1"/>
  <c r="F48" i="4"/>
  <c r="M14" i="4"/>
  <c r="U13" i="1" s="1"/>
  <c r="E15" i="13"/>
  <c r="L15" i="13"/>
  <c r="D15" i="18"/>
  <c r="E26" i="6"/>
  <c r="T28" i="10"/>
  <c r="V22" i="10"/>
  <c r="V28" i="10" s="1"/>
  <c r="E46" i="10"/>
  <c r="E56" i="10" s="1"/>
  <c r="E60" i="10" s="1"/>
  <c r="V48" i="10"/>
  <c r="E31" i="6"/>
  <c r="F47" i="3"/>
  <c r="T47" i="1" s="1"/>
  <c r="C56" i="13" l="1"/>
  <c r="E22" i="18"/>
  <c r="L22" i="18"/>
  <c r="I19" i="18"/>
  <c r="I24" i="18" s="1"/>
  <c r="H24" i="18"/>
  <c r="O45" i="6"/>
  <c r="J55" i="6"/>
  <c r="L27" i="18"/>
  <c r="E27" i="18"/>
  <c r="I12" i="18"/>
  <c r="K9" i="13"/>
  <c r="M9" i="13" s="1"/>
  <c r="G9" i="18"/>
  <c r="K9" i="18" s="1"/>
  <c r="I9" i="13"/>
  <c r="I8" i="18"/>
  <c r="I17" i="18" s="1"/>
  <c r="H17" i="18"/>
  <c r="N24" i="2"/>
  <c r="Q22" i="1" s="1"/>
  <c r="V22" i="1" s="1"/>
  <c r="L28" i="2"/>
  <c r="F50" i="4"/>
  <c r="H29" i="18"/>
  <c r="K13" i="13"/>
  <c r="M13" i="13" s="1"/>
  <c r="G13" i="18"/>
  <c r="K13" i="18" s="1"/>
  <c r="L44" i="13"/>
  <c r="I44" i="13"/>
  <c r="H44" i="18"/>
  <c r="L32" i="18"/>
  <c r="E32" i="18"/>
  <c r="G44" i="13"/>
  <c r="L49" i="1"/>
  <c r="O49" i="1" s="1"/>
  <c r="K51" i="9"/>
  <c r="E34" i="1"/>
  <c r="S10" i="2"/>
  <c r="S20" i="2" s="1"/>
  <c r="I28" i="18"/>
  <c r="L9" i="18"/>
  <c r="E9" i="18"/>
  <c r="K27" i="13"/>
  <c r="M27" i="13" s="1"/>
  <c r="G27" i="18"/>
  <c r="K27" i="18" s="1"/>
  <c r="M27" i="18" s="1"/>
  <c r="L52" i="2"/>
  <c r="H51" i="9"/>
  <c r="G22" i="18"/>
  <c r="K22" i="18" s="1"/>
  <c r="K22" i="13"/>
  <c r="M22" i="13" s="1"/>
  <c r="J22" i="1"/>
  <c r="G25" i="1"/>
  <c r="G43" i="1" s="1"/>
  <c r="G51" i="1" s="1"/>
  <c r="G55" i="1" s="1"/>
  <c r="D46" i="4"/>
  <c r="D50" i="4" s="1"/>
  <c r="L36" i="18"/>
  <c r="E36" i="18"/>
  <c r="L21" i="18"/>
  <c r="E33" i="13"/>
  <c r="L33" i="13"/>
  <c r="L34" i="13" s="1"/>
  <c r="L39" i="13" s="1"/>
  <c r="L45" i="13" s="1"/>
  <c r="L47" i="13" s="1"/>
  <c r="D33" i="18"/>
  <c r="I36" i="18"/>
  <c r="K19" i="13"/>
  <c r="G19" i="18"/>
  <c r="G24" i="13"/>
  <c r="F44" i="4"/>
  <c r="S49" i="1" s="1"/>
  <c r="V49" i="1" s="1"/>
  <c r="L8" i="18"/>
  <c r="E8" i="18"/>
  <c r="E17" i="18" s="1"/>
  <c r="D17" i="18"/>
  <c r="K14" i="13"/>
  <c r="M14" i="13" s="1"/>
  <c r="G14" i="18"/>
  <c r="K14" i="18" s="1"/>
  <c r="K46" i="4"/>
  <c r="K48" i="4" s="1"/>
  <c r="N34" i="2"/>
  <c r="N52" i="2" s="1"/>
  <c r="Q27" i="1"/>
  <c r="I13" i="13"/>
  <c r="D24" i="18"/>
  <c r="L19" i="18"/>
  <c r="E19" i="18"/>
  <c r="E24" i="18" s="1"/>
  <c r="L16" i="18"/>
  <c r="E16" i="18"/>
  <c r="G20" i="18"/>
  <c r="K20" i="18" s="1"/>
  <c r="M20" i="18" s="1"/>
  <c r="K20" i="13"/>
  <c r="M20" i="13" s="1"/>
  <c r="L20" i="18"/>
  <c r="E20" i="18"/>
  <c r="O32" i="1"/>
  <c r="D34" i="13"/>
  <c r="D39" i="13" s="1"/>
  <c r="D45" i="13" s="1"/>
  <c r="D47" i="13" s="1"/>
  <c r="H34" i="18"/>
  <c r="H39" i="18" s="1"/>
  <c r="H45" i="18" s="1"/>
  <c r="H47" i="18" s="1"/>
  <c r="E45" i="6"/>
  <c r="E55" i="6" s="1"/>
  <c r="E59" i="6" s="1"/>
  <c r="C43" i="1"/>
  <c r="C51" i="1" s="1"/>
  <c r="C55" i="1" s="1"/>
  <c r="G17" i="13"/>
  <c r="K8" i="13"/>
  <c r="G8" i="18"/>
  <c r="M12" i="1"/>
  <c r="O12" i="1" s="1"/>
  <c r="G11" i="13"/>
  <c r="R13" i="2"/>
  <c r="S13" i="2" s="1"/>
  <c r="L14" i="18"/>
  <c r="E14" i="18"/>
  <c r="G43" i="18"/>
  <c r="K43" i="18" s="1"/>
  <c r="K43" i="13"/>
  <c r="M43" i="13" s="1"/>
  <c r="T46" i="10"/>
  <c r="T56" i="10" s="1"/>
  <c r="T60" i="10" s="1"/>
  <c r="E11" i="13"/>
  <c r="D11" i="18"/>
  <c r="L11" i="13"/>
  <c r="G16" i="18"/>
  <c r="K16" i="18" s="1"/>
  <c r="M16" i="18" s="1"/>
  <c r="K16" i="13"/>
  <c r="M16" i="13" s="1"/>
  <c r="L37" i="18"/>
  <c r="V46" i="10"/>
  <c r="V56" i="10" s="1"/>
  <c r="V60" i="10" s="1"/>
  <c r="N42" i="2"/>
  <c r="Q32" i="1"/>
  <c r="L23" i="18"/>
  <c r="E23" i="18"/>
  <c r="O20" i="1"/>
  <c r="K12" i="13"/>
  <c r="M12" i="13" s="1"/>
  <c r="G12" i="18"/>
  <c r="K12" i="18" s="1"/>
  <c r="M12" i="18" s="1"/>
  <c r="I32" i="18"/>
  <c r="N43" i="1"/>
  <c r="N51" i="1" s="1"/>
  <c r="N55" i="1" s="1"/>
  <c r="L31" i="18"/>
  <c r="D34" i="18"/>
  <c r="D39" i="18" s="1"/>
  <c r="D45" i="18" s="1"/>
  <c r="D47" i="18" s="1"/>
  <c r="E31" i="18"/>
  <c r="E34" i="18" s="1"/>
  <c r="Q146" i="16"/>
  <c r="L15" i="18"/>
  <c r="E15" i="18"/>
  <c r="E39" i="13"/>
  <c r="E45" i="13" s="1"/>
  <c r="E47" i="13" s="1"/>
  <c r="J30" i="1"/>
  <c r="O30" i="1" s="1"/>
  <c r="O27" i="1"/>
  <c r="G32" i="18"/>
  <c r="K32" i="18" s="1"/>
  <c r="K32" i="13"/>
  <c r="M32" i="13" s="1"/>
  <c r="N20" i="2"/>
  <c r="Q9" i="1"/>
  <c r="G34" i="13"/>
  <c r="G31" i="18"/>
  <c r="I31" i="18" s="1"/>
  <c r="I34" i="18" s="1"/>
  <c r="K31" i="13"/>
  <c r="L10" i="18"/>
  <c r="E10" i="18"/>
  <c r="I22" i="13"/>
  <c r="S22" i="2"/>
  <c r="S28" i="2" s="1"/>
  <c r="I31" i="13"/>
  <c r="I34" i="13" s="1"/>
  <c r="C45" i="6"/>
  <c r="C55" i="6" s="1"/>
  <c r="C59" i="6" s="1"/>
  <c r="E43" i="1"/>
  <c r="E51" i="1" s="1"/>
  <c r="E55" i="1" s="1"/>
  <c r="G23" i="18"/>
  <c r="K23" i="18" s="1"/>
  <c r="K23" i="13"/>
  <c r="M23" i="13" s="1"/>
  <c r="K28" i="13"/>
  <c r="M28" i="13" s="1"/>
  <c r="G28" i="18"/>
  <c r="K28" i="18" s="1"/>
  <c r="I9" i="18"/>
  <c r="G15" i="18"/>
  <c r="K15" i="18" s="1"/>
  <c r="M15" i="18" s="1"/>
  <c r="K15" i="13"/>
  <c r="M15" i="13" s="1"/>
  <c r="F25" i="3"/>
  <c r="T20" i="1"/>
  <c r="T25" i="1" s="1"/>
  <c r="I23" i="13"/>
  <c r="I33" i="13"/>
  <c r="H33" i="18"/>
  <c r="M26" i="4"/>
  <c r="M46" i="4" s="1"/>
  <c r="U20" i="1"/>
  <c r="U25" i="1" s="1"/>
  <c r="U43" i="1" s="1"/>
  <c r="U51" i="1" s="1"/>
  <c r="U55" i="1" s="1"/>
  <c r="G36" i="18"/>
  <c r="K36" i="18" s="1"/>
  <c r="K36" i="13"/>
  <c r="M36" i="13" s="1"/>
  <c r="K10" i="13"/>
  <c r="M10" i="13" s="1"/>
  <c r="G10" i="18"/>
  <c r="K10" i="18" s="1"/>
  <c r="M10" i="18" s="1"/>
  <c r="I43" i="13"/>
  <c r="K33" i="13"/>
  <c r="G33" i="18"/>
  <c r="K33" i="18" s="1"/>
  <c r="F18" i="3"/>
  <c r="F43" i="3" s="1"/>
  <c r="F49" i="3" s="1"/>
  <c r="T9" i="1"/>
  <c r="T18" i="1" s="1"/>
  <c r="T43" i="1" s="1"/>
  <c r="T51" i="1" s="1"/>
  <c r="T55" i="1" s="1"/>
  <c r="I11" i="13"/>
  <c r="H11" i="18"/>
  <c r="I28" i="13"/>
  <c r="I39" i="13"/>
  <c r="I45" i="13" s="1"/>
  <c r="I47" i="13" s="1"/>
  <c r="C24" i="13"/>
  <c r="C39" i="13" s="1"/>
  <c r="C45" i="13" s="1"/>
  <c r="C47" i="13" s="1"/>
  <c r="K21" i="13"/>
  <c r="M21" i="13" s="1"/>
  <c r="C21" i="18"/>
  <c r="L26" i="18"/>
  <c r="D29" i="18"/>
  <c r="E26" i="18"/>
  <c r="E29" i="18" s="1"/>
  <c r="K26" i="13"/>
  <c r="G29" i="13"/>
  <c r="G26" i="18"/>
  <c r="L43" i="1"/>
  <c r="L51" i="1" s="1"/>
  <c r="L55" i="1" s="1"/>
  <c r="F17" i="13"/>
  <c r="L50" i="4"/>
  <c r="M48" i="4"/>
  <c r="H42" i="13"/>
  <c r="D45" i="1"/>
  <c r="E45" i="1" s="1"/>
  <c r="L43" i="8"/>
  <c r="L47" i="8" s="1"/>
  <c r="O18" i="1"/>
  <c r="I10" i="18"/>
  <c r="L12" i="18"/>
  <c r="E12" i="18"/>
  <c r="M35" i="1"/>
  <c r="M43" i="1" s="1"/>
  <c r="M51" i="1" s="1"/>
  <c r="M55" i="1" s="1"/>
  <c r="O33" i="1"/>
  <c r="K37" i="13"/>
  <c r="M37" i="13" s="1"/>
  <c r="G37" i="18"/>
  <c r="I37" i="18" s="1"/>
  <c r="L13" i="18"/>
  <c r="E13" i="18"/>
  <c r="I19" i="13"/>
  <c r="I24" i="13" s="1"/>
  <c r="I23" i="18"/>
  <c r="Q25" i="1"/>
  <c r="V20" i="1"/>
  <c r="V25" i="1" s="1"/>
  <c r="L43" i="18"/>
  <c r="E43" i="18"/>
  <c r="H34" i="13"/>
  <c r="H39" i="13" s="1"/>
  <c r="H45" i="13" s="1"/>
  <c r="H47" i="13" s="1"/>
  <c r="L28" i="18"/>
  <c r="E28" i="18"/>
  <c r="D43" i="3"/>
  <c r="D49" i="3" s="1"/>
  <c r="V27" i="1" l="1"/>
  <c r="V30" i="1" s="1"/>
  <c r="Q30" i="1"/>
  <c r="O22" i="1"/>
  <c r="J25" i="1"/>
  <c r="M26" i="13"/>
  <c r="M29" i="13" s="1"/>
  <c r="K29" i="13"/>
  <c r="M50" i="4"/>
  <c r="U45" i="1"/>
  <c r="I33" i="18"/>
  <c r="M28" i="18"/>
  <c r="I15" i="18"/>
  <c r="V32" i="1"/>
  <c r="V35" i="1" s="1"/>
  <c r="Q35" i="1"/>
  <c r="L11" i="18"/>
  <c r="E11" i="18"/>
  <c r="G11" i="18"/>
  <c r="K11" i="18" s="1"/>
  <c r="M11" i="18" s="1"/>
  <c r="K11" i="13"/>
  <c r="M11" i="13" s="1"/>
  <c r="K50" i="4"/>
  <c r="N45" i="1"/>
  <c r="O45" i="1" s="1"/>
  <c r="G42" i="13"/>
  <c r="M22" i="18"/>
  <c r="I14" i="18"/>
  <c r="M9" i="18"/>
  <c r="I11" i="18"/>
  <c r="I13" i="18"/>
  <c r="I22" i="18"/>
  <c r="G24" i="18"/>
  <c r="K19" i="18"/>
  <c r="M19" i="18" s="1"/>
  <c r="M24" i="18" s="1"/>
  <c r="E39" i="18"/>
  <c r="E45" i="18" s="1"/>
  <c r="E47" i="18" s="1"/>
  <c r="I20" i="18"/>
  <c r="I43" i="18"/>
  <c r="I42" i="13"/>
  <c r="L42" i="13"/>
  <c r="H42" i="18"/>
  <c r="M33" i="13"/>
  <c r="L44" i="18"/>
  <c r="I44" i="18"/>
  <c r="G17" i="18"/>
  <c r="K8" i="18"/>
  <c r="M8" i="18" s="1"/>
  <c r="M17" i="18" s="1"/>
  <c r="M14" i="18"/>
  <c r="M23" i="18"/>
  <c r="M8" i="13"/>
  <c r="M17" i="13" s="1"/>
  <c r="K17" i="13"/>
  <c r="E21" i="18"/>
  <c r="K21" i="18"/>
  <c r="M21" i="18" s="1"/>
  <c r="C24" i="18"/>
  <c r="C39" i="18" s="1"/>
  <c r="C45" i="18" s="1"/>
  <c r="C47" i="18" s="1"/>
  <c r="M43" i="18"/>
  <c r="G39" i="13"/>
  <c r="G45" i="13" s="1"/>
  <c r="G47" i="13" s="1"/>
  <c r="K44" i="13"/>
  <c r="M44" i="13" s="1"/>
  <c r="G44" i="18"/>
  <c r="K44" i="18" s="1"/>
  <c r="I27" i="18"/>
  <c r="M31" i="13"/>
  <c r="M34" i="13" s="1"/>
  <c r="K34" i="13"/>
  <c r="K31" i="18"/>
  <c r="M31" i="18" s="1"/>
  <c r="M34" i="18" s="1"/>
  <c r="G34" i="18"/>
  <c r="G39" i="18" s="1"/>
  <c r="G45" i="18" s="1"/>
  <c r="G47" i="18" s="1"/>
  <c r="Q18" i="1"/>
  <c r="Q43" i="1" s="1"/>
  <c r="Q51" i="1" s="1"/>
  <c r="Q55" i="1" s="1"/>
  <c r="V9" i="1"/>
  <c r="V18" i="1" s="1"/>
  <c r="M19" i="13"/>
  <c r="M24" i="13" s="1"/>
  <c r="K24" i="13"/>
  <c r="K37" i="18"/>
  <c r="M37" i="18" s="1"/>
  <c r="O35" i="1"/>
  <c r="M13" i="18"/>
  <c r="I16" i="18"/>
  <c r="K26" i="18"/>
  <c r="M26" i="18" s="1"/>
  <c r="M29" i="18" s="1"/>
  <c r="G29" i="18"/>
  <c r="M36" i="18"/>
  <c r="M32" i="18"/>
  <c r="L33" i="18"/>
  <c r="M33" i="18" s="1"/>
  <c r="E33" i="18"/>
  <c r="I26" i="18"/>
  <c r="I29" i="18" s="1"/>
  <c r="I39" i="18" s="1"/>
  <c r="I45" i="18" s="1"/>
  <c r="I47" i="18" s="1"/>
  <c r="O55" i="6"/>
  <c r="J59" i="6"/>
  <c r="O59" i="6" s="1"/>
  <c r="M39" i="18" l="1"/>
  <c r="M45" i="18" s="1"/>
  <c r="M47" i="18" s="1"/>
  <c r="K42" i="13"/>
  <c r="M42" i="13" s="1"/>
  <c r="G42" i="18"/>
  <c r="K42" i="18" s="1"/>
  <c r="O25" i="1"/>
  <c r="J43" i="1"/>
  <c r="K39" i="13"/>
  <c r="K45" i="13" s="1"/>
  <c r="K47" i="13" s="1"/>
  <c r="V43" i="1"/>
  <c r="V51" i="1" s="1"/>
  <c r="V55" i="1" s="1"/>
  <c r="M44" i="18"/>
  <c r="M39" i="13"/>
  <c r="M45" i="13" s="1"/>
  <c r="M47" i="13" s="1"/>
  <c r="L42" i="18"/>
  <c r="O43" i="1" l="1"/>
  <c r="J51" i="1"/>
  <c r="M42" i="18"/>
  <c r="I42" i="18"/>
  <c r="J55" i="1" l="1"/>
  <c r="O55" i="1" s="1"/>
  <c r="O51" i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<sst xmlns="http://schemas.openxmlformats.org/spreadsheetml/2006/main" count="1254" uniqueCount="272">
  <si>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</si>
  <si>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</si>
  <si>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</si>
  <si>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</si>
  <si>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</si>
  <si>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</si>
  <si>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</si>
  <si>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</si>
  <si>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</si>
  <si>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</si>
  <si>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</si>
  <si>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</si>
  <si>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</si>
  <si>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</si>
  <si>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</si>
  <si>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</si>
  <si>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</si>
  <si>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</si>
  <si>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</si>
  <si>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</si>
  <si>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</si>
  <si>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</si>
  <si>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</si>
  <si>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</si>
  <si>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</si>
  <si>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</si>
  <si>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</si>
  <si>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</si>
  <si>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</si>
  <si>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</si>
  <si>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</si>
  <si>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</si>
  <si>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</si>
  <si>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</si>
  <si>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</si>
  <si>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</si>
  <si>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</si>
  <si>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</si>
  <si>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</si>
  <si>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</si>
  <si>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</si>
  <si>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</si>
  <si>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</si>
  <si>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</si>
  <si>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</si>
  <si>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</si>
  <si>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</si>
  <si>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</si>
  <si>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</si>
  <si>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</si>
  <si>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</si>
  <si>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</si>
  <si>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</si>
  <si>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</si>
  <si>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</si>
  <si>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</si>
  <si>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</si>
  <si>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</si>
  <si>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</si>
  <si>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</si>
  <si>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</si>
  <si>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</si>
  <si>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</si>
  <si>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</si>
  <si>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</si>
  <si>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</si>
  <si>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</si>
  <si>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</si>
  <si>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</si>
  <si>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</si>
  <si>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</si>
  <si>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</si>
  <si>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</si>
  <si>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</si>
  <si>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</si>
  <si>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</si>
  <si>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</si>
  <si>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</si>
  <si>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</si>
  <si>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</si>
  <si>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</si>
  <si>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</si>
  <si>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</si>
  <si>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</si>
  <si>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</si>
  <si>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</si>
  <si>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</si>
  <si>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</si>
  <si>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</si>
  <si>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</si>
  <si>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</si>
  <si>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</si>
  <si>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</si>
  <si>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</si>
  <si>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</si>
  <si>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</si>
  <si>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</si>
  <si>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</si>
  <si>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</si>
  <si>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</si>
  <si>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</si>
  <si>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</si>
  <si>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</si>
  <si>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</si>
  <si>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</si>
  <si>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</si>
  <si>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</si>
  <si>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</si>
  <si>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</si>
  <si>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</si>
  <si>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</si>
  <si>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</si>
  <si>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</si>
  <si>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</si>
  <si>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</si>
  <si>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</si>
  <si>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</si>
  <si>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</si>
  <si>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</si>
  <si>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</si>
  <si>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</si>
  <si>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</si>
  <si>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</si>
  <si>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</si>
  <si>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</si>
  <si>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</si>
  <si>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</si>
  <si>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</si>
  <si>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</si>
  <si>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</si>
  <si>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</si>
  <si>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</si>
  <si>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</si>
  <si>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</si>
  <si>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</si>
  <si>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</si>
  <si>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</si>
  <si>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</si>
  <si>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</si>
  <si>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</si>
  <si>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</si>
  <si>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</si>
  <si>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</si>
  <si>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</si>
  <si>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</si>
  <si>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</si>
  <si>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</si>
  <si>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</si>
  <si>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</si>
  <si>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</si>
  <si>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</si>
  <si>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</si>
  <si>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</si>
  <si>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</si>
  <si>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</si>
  <si>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</si>
  <si>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</si>
  <si>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</si>
  <si>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</si>
  <si>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</si>
  <si>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</si>
  <si>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</si>
  <si>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</si>
  <si>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</si>
  <si>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</si>
  <si>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</si>
  <si>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</si>
  <si>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</si>
  <si>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</si>
  <si>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</si>
  <si>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</si>
  <si>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</si>
  <si>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</si>
  <si>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</si>
  <si>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</si>
  <si>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</si>
  <si>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</si>
  <si>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</si>
  <si>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</si>
  <si>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</si>
  <si>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</si>
  <si>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</si>
  <si>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DPR Change:</t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</si>
  <si>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</si>
  <si>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</si>
  <si>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</si>
  <si>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</si>
  <si>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</si>
  <si>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</si>
  <si>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</si>
  <si>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</si>
  <si>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</si>
  <si>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</si>
  <si>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</si>
  <si>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</si>
  <si>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</si>
  <si>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</si>
  <si>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</si>
  <si>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</si>
  <si>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</si>
  <si>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</si>
  <si>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</si>
  <si>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</si>
  <si>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</si>
  <si>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</si>
  <si>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</si>
  <si>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</si>
  <si>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</si>
  <si>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</si>
  <si>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</si>
  <si>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</si>
  <si>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</si>
  <si>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</si>
  <si>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</si>
  <si>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</si>
  <si>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</si>
  <si>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</si>
  <si>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</si>
  <si>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</si>
  <si>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</si>
  <si>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</si>
  <si>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</si>
  <si>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</si>
  <si>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</si>
  <si>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</si>
  <si>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</si>
  <si>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</si>
  <si>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</si>
  <si>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</si>
  <si>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</si>
  <si>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</si>
  <si>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</si>
  <si>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</si>
  <si>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</si>
  <si>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</si>
  <si>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</si>
  <si>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</si>
  <si>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</si>
  <si>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 xml:space="preserve">Industrial </t>
  </si>
  <si>
    <t>Downstream</t>
  </si>
  <si>
    <t>IPP</t>
  </si>
  <si>
    <t>GRM</t>
  </si>
  <si>
    <t>New Products</t>
  </si>
  <si>
    <t>Generation</t>
  </si>
  <si>
    <t>Investments</t>
  </si>
  <si>
    <t>Principal</t>
  </si>
  <si>
    <t>Investing</t>
  </si>
  <si>
    <t>Energy</t>
  </si>
  <si>
    <t>Restructuring</t>
  </si>
  <si>
    <t>EBIT</t>
  </si>
  <si>
    <t>EEX Insurance</t>
  </si>
  <si>
    <t>Overdyke</t>
  </si>
  <si>
    <t>Plan*</t>
  </si>
  <si>
    <t>Industrial Downstream</t>
  </si>
  <si>
    <t>Actual margin changes from:</t>
  </si>
  <si>
    <t>DWNSTRM_IND_ORIG</t>
  </si>
  <si>
    <t>GAS_TRAD</t>
  </si>
  <si>
    <t>GAS_trad</t>
  </si>
  <si>
    <t xml:space="preserve">Industrial Downstream </t>
  </si>
  <si>
    <t>Other Marketing</t>
  </si>
  <si>
    <t>CP&amp;L</t>
  </si>
  <si>
    <t>DEALS COMPLETED</t>
  </si>
  <si>
    <t>DEALS IDENTIFIED</t>
  </si>
  <si>
    <t>Prior Week:</t>
  </si>
  <si>
    <t>This Week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</si>
  <si>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</si>
  <si>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</si>
  <si>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</si>
  <si>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</si>
  <si>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</si>
  <si>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</si>
  <si>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Results based on Activity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</si>
</sst>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sz val="14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45" fillId="0" borderId="10" xfId="0" applyFont="1" applyFill="1" applyBorder="1"/>
    <xf numFmtId="0" fontId="45" fillId="0" borderId="11" xfId="0" applyFont="1" applyFill="1" applyBorder="1"/>
    <xf numFmtId="165" fontId="13" fillId="0" borderId="4" xfId="0" applyNumberFormat="1" applyFont="1" applyBorder="1"/>
    <xf numFmtId="165" fontId="13" fillId="0" borderId="1" xfId="0" applyNumberFormat="1" applyFont="1" applyBorder="1"/>
    <xf numFmtId="0" fontId="0" fillId="0" borderId="4" xfId="0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9" fillId="0" borderId="2" xfId="1" applyNumberFormat="1" applyFont="1" applyBorder="1" applyAlignment="1"/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/>
    <xf numFmtId="0" fontId="46" fillId="0" borderId="0" xfId="0" applyFont="1" applyFill="1" applyAlignment="1">
      <alignment horizontal="right"/>
    </xf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44" fillId="2" borderId="25" xfId="1" applyNumberFormat="1" applyFont="1" applyFill="1" applyBorder="1" applyAlignment="1">
      <alignment vertical="center"/>
    </xf>
    <xf numFmtId="0" fontId="45" fillId="2" borderId="10" xfId="0" applyFont="1" applyFill="1" applyBorder="1"/>
    <xf numFmtId="0" fontId="45" fillId="2" borderId="11" xfId="0" applyFont="1" applyFill="1" applyBorder="1"/>
    <xf numFmtId="169" fontId="45" fillId="2" borderId="12" xfId="0" applyNumberFormat="1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15" fillId="0" borderId="10" xfId="0" applyFont="1" applyBorder="1"/>
    <xf numFmtId="175" fontId="15" fillId="0" borderId="11" xfId="0" applyNumberFormat="1" applyFont="1" applyBorder="1" applyAlignment="1">
      <alignment horizontal="right"/>
    </xf>
    <xf numFmtId="169" fontId="45" fillId="0" borderId="12" xfId="2" applyNumberFormat="1" applyFont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44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5" fillId="0" borderId="12" xfId="1" applyNumberFormat="1" applyFont="1" applyFill="1" applyBorder="1"/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37" fillId="0" borderId="42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175" fontId="45" fillId="2" borderId="11" xfId="0" applyNumberFormat="1" applyFont="1" applyFill="1" applyBorder="1" applyAlignment="1">
      <alignment horizontal="right"/>
    </xf>
    <xf numFmtId="175" fontId="45" fillId="2" borderId="12" xfId="0" applyNumberFormat="1" applyFon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166" fontId="33" fillId="0" borderId="0" xfId="0" applyNumberFormat="1" applyFont="1" applyFill="1" applyAlignment="1">
      <alignment horizontal="right" vertical="top"/>
    </xf>
    <xf numFmtId="0" fontId="41" fillId="0" borderId="6" xfId="0" applyFont="1" applyBorder="1" applyAlignment="1">
      <alignment horizontal="center" vertical="center" textRotation="90"/>
    </xf>
    <xf numFmtId="0" fontId="41" fillId="0" borderId="0" xfId="0" applyFont="1" applyBorder="1" applyAlignment="1">
      <alignment horizontal="center" vertical="center" textRotation="90"/>
    </xf>
    <xf numFmtId="0" fontId="41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56285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67341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057400" y="809625"/>
          <a:ext cx="46101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-0410a_rev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rm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"/>
      <sheetName val="Greensheet"/>
      <sheetName val="web_summary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</sheetNames>
    <sheetDataSet>
      <sheetData sheetId="0"/>
      <sheetData sheetId="1"/>
      <sheetData sheetId="2">
        <row r="62">
          <cell r="C62">
            <v>-8488</v>
          </cell>
        </row>
      </sheetData>
      <sheetData sheetId="3"/>
      <sheetData sheetId="4"/>
      <sheetData sheetId="5"/>
      <sheetData sheetId="6">
        <row r="10">
          <cell r="D10">
            <v>1800</v>
          </cell>
        </row>
        <row r="11">
          <cell r="D11">
            <v>-8194</v>
          </cell>
        </row>
        <row r="12">
          <cell r="D12">
            <v>2263</v>
          </cell>
        </row>
        <row r="13">
          <cell r="D13">
            <v>-5497</v>
          </cell>
        </row>
        <row r="14">
          <cell r="D14">
            <v>2314</v>
          </cell>
          <cell r="E14">
            <v>1822</v>
          </cell>
        </row>
        <row r="15">
          <cell r="D15">
            <v>-3</v>
          </cell>
          <cell r="E15">
            <v>3</v>
          </cell>
        </row>
        <row r="16">
          <cell r="D16">
            <v>221</v>
          </cell>
        </row>
        <row r="17">
          <cell r="D17">
            <v>-1172</v>
          </cell>
        </row>
        <row r="24">
          <cell r="D24">
            <v>643</v>
          </cell>
        </row>
        <row r="28">
          <cell r="F28">
            <v>0</v>
          </cell>
          <cell r="G28">
            <v>0</v>
          </cell>
          <cell r="H28">
            <v>0</v>
          </cell>
        </row>
        <row r="31">
          <cell r="D31">
            <v>0</v>
          </cell>
          <cell r="G31">
            <v>16373</v>
          </cell>
        </row>
        <row r="32">
          <cell r="D32">
            <v>2908</v>
          </cell>
        </row>
        <row r="36">
          <cell r="E36">
            <v>-6852</v>
          </cell>
        </row>
        <row r="37">
          <cell r="E37">
            <v>-883</v>
          </cell>
        </row>
        <row r="38">
          <cell r="E38">
            <v>-6180</v>
          </cell>
        </row>
        <row r="39">
          <cell r="E39">
            <v>-8054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workbookViewId="0">
      <selection activeCell="C33" sqref="C3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5703125" style="27" customWidth="1"/>
    <col min="10" max="10" width="0.85546875" style="27" customWidth="1"/>
    <col min="11" max="13" width="8.7109375" style="27" customWidth="1"/>
    <col min="14" max="14" width="0.85546875" style="27" customWidth="1"/>
    <col min="15" max="15" width="8.7109375" style="27" customWidth="1"/>
    <col min="16" max="19" width="7.7109375" style="27" customWidth="1"/>
    <col min="20" max="21" width="8.7109375" style="27" customWidth="1"/>
    <col min="22" max="22" width="0.85546875" style="27" customWidth="1"/>
    <col min="23" max="16384" width="9.140625" style="27"/>
  </cols>
  <sheetData>
    <row r="1" spans="1:22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270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 s="201" t="str">
        <f>'Old Mgmt Summary'!A3</f>
        <v>Results based on Activity through April 14, 2000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">
      <c r="A6" s="282" t="s">
        <v>16</v>
      </c>
      <c r="B6" s="270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5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5">
      <c r="A8" s="230" t="s">
        <v>3</v>
      </c>
      <c r="B8" s="270"/>
      <c r="C8" s="304">
        <f>'Q1 Mgmt Summary'!C8+'QTD Mgmt Summary'!C8</f>
        <v>73499</v>
      </c>
      <c r="D8" s="60" t="e">
        <f ca="1">'Q1 Mgmt Summary'!D8+'QTD Mgmt Summary'!D8</f>
        <v>#NAME?</v>
      </c>
      <c r="E8" s="234" t="e">
        <f ca="1">+C8-D8</f>
        <v>#NAME?</v>
      </c>
      <c r="F8" s="274"/>
      <c r="G8" s="304" t="e">
        <f ca="1">'Q1 Mgmt Summary'!G8+'QTD Mgmt Summary'!G8</f>
        <v>#NAME?</v>
      </c>
      <c r="H8" s="60" t="e">
        <f ca="1">'Q1 Mgmt Summary'!H8+'QTD Mgmt Summary'!H8</f>
        <v>#NAME?</v>
      </c>
      <c r="I8" s="234" t="e">
        <f ca="1">+H8-G8</f>
        <v>#NAME?</v>
      </c>
      <c r="J8" s="237"/>
      <c r="K8" s="233" t="e">
        <f ca="1">+C8-G8</f>
        <v>#NAME?</v>
      </c>
      <c r="L8" s="59" t="e">
        <f ca="1">+D8-H8</f>
        <v>#NAME?</v>
      </c>
      <c r="M8" s="234" t="e">
        <f ca="1">+K8-L8</f>
        <v>#NAME?</v>
      </c>
    </row>
    <row r="9" spans="1:22" ht="12" customHeight="1" x14ac:dyDescent="0.25">
      <c r="A9" s="230" t="s">
        <v>106</v>
      </c>
      <c r="B9" s="270"/>
      <c r="C9" s="305">
        <f>+'Q1 Mgmt Summary'!C9+'QTD Mgmt Summary'!C9</f>
        <v>76963</v>
      </c>
      <c r="D9" s="43" t="e">
        <f ca="1">+'Q1 Mgmt Summary'!D9+'QTD Mgmt Summary'!D9</f>
        <v>#NAME?</v>
      </c>
      <c r="E9" s="236" t="e">
        <f ca="1">+C9-D9</f>
        <v>#NAME?</v>
      </c>
      <c r="F9" s="274"/>
      <c r="G9" s="305" t="e">
        <f ca="1">+'Q1 Mgmt Summary'!G9+'QTD Mgmt Summary'!G9</f>
        <v>#NAME?</v>
      </c>
      <c r="H9" s="43" t="e">
        <f ca="1">+'Q1 Mgmt Summary'!H9+'QTD Mgmt Summary'!H9</f>
        <v>#NAME?</v>
      </c>
      <c r="I9" s="236" t="e">
        <f ca="1">+H9-G9</f>
        <v>#NAME?</v>
      </c>
      <c r="J9" s="237"/>
      <c r="K9" s="235" t="e">
        <f ca="1">+C9-G9</f>
        <v>#NAME?</v>
      </c>
      <c r="L9" s="41" t="e">
        <f ca="1">+D9-H9</f>
        <v>#NAME?</v>
      </c>
      <c r="M9" s="236" t="e">
        <f ca="1">+K9-L9</f>
        <v>#NAME?</v>
      </c>
    </row>
    <row r="10" spans="1:22" ht="12" customHeight="1" x14ac:dyDescent="0.25">
      <c r="A10" s="230" t="s">
        <v>132</v>
      </c>
      <c r="B10" s="270"/>
      <c r="C10" s="305">
        <f>+'Q1 Mgmt Summary'!C10+'QTD Mgmt Summary'!C10</f>
        <v>30575</v>
      </c>
      <c r="D10" s="43" t="e">
        <f ca="1">+'Q1 Mgmt Summary'!D10+'QTD Mgmt Summary'!D10</f>
        <v>#NAME?</v>
      </c>
      <c r="E10" s="236" t="e">
        <f t="shared" ref="E10:E16" ca="1" si="0">+C10-D10</f>
        <v>#NAME?</v>
      </c>
      <c r="F10" s="274"/>
      <c r="G10" s="305" t="e">
        <f ca="1">+'Q1 Mgmt Summary'!G10+'QTD Mgmt Summary'!G10</f>
        <v>#NAME?</v>
      </c>
      <c r="H10" s="43" t="e">
        <f ca="1">+'Q1 Mgmt Summary'!H10+'QTD Mgmt Summary'!H10</f>
        <v>#NAME?</v>
      </c>
      <c r="I10" s="236" t="e">
        <f t="shared" ref="I10:I16" ca="1" si="1">+H10-G10</f>
        <v>#NAME?</v>
      </c>
      <c r="J10" s="237"/>
      <c r="K10" s="235" t="e">
        <f t="shared" ref="K10:L16" ca="1" si="2">+C10-G10</f>
        <v>#NAME?</v>
      </c>
      <c r="L10" s="41" t="e">
        <f t="shared" ca="1" si="2"/>
        <v>#NAME?</v>
      </c>
      <c r="M10" s="236" t="e">
        <f t="shared" ref="M10:M16" ca="1" si="3">+K10-L10</f>
        <v>#NAME?</v>
      </c>
    </row>
    <row r="11" spans="1:22" ht="12" customHeight="1" x14ac:dyDescent="0.25">
      <c r="A11" s="230" t="s">
        <v>133</v>
      </c>
      <c r="B11" s="270"/>
      <c r="C11" s="305">
        <f>+'Q1 Mgmt Summary'!C11+'QTD Mgmt Summary'!C11</f>
        <v>30174</v>
      </c>
      <c r="D11" s="43" t="e">
        <f ca="1">+'Q1 Mgmt Summary'!D11+'QTD Mgmt Summary'!D11</f>
        <v>#NAME?</v>
      </c>
      <c r="E11" s="236" t="e">
        <f t="shared" ca="1" si="0"/>
        <v>#NAME?</v>
      </c>
      <c r="F11" s="274"/>
      <c r="G11" s="305" t="e">
        <f ca="1">+'Q1 Mgmt Summary'!G11+'QTD Mgmt Summary'!G11</f>
        <v>#NAME?</v>
      </c>
      <c r="H11" s="43" t="e">
        <f ca="1">+'Q1 Mgmt Summary'!H11+'QTD Mgmt Summary'!H11</f>
        <v>#NAME?</v>
      </c>
      <c r="I11" s="236" t="e">
        <f t="shared" ca="1" si="1"/>
        <v>#NAME?</v>
      </c>
      <c r="J11" s="237"/>
      <c r="K11" s="235" t="e">
        <f t="shared" ca="1" si="2"/>
        <v>#NAME?</v>
      </c>
      <c r="L11" s="41" t="e">
        <f t="shared" ca="1" si="2"/>
        <v>#NAME?</v>
      </c>
      <c r="M11" s="236" t="e">
        <f t="shared" ca="1" si="3"/>
        <v>#NAME?</v>
      </c>
    </row>
    <row r="12" spans="1:22" ht="12" customHeight="1" x14ac:dyDescent="0.25">
      <c r="A12" s="230" t="s">
        <v>114</v>
      </c>
      <c r="B12" s="270"/>
      <c r="C12" s="305">
        <f>+'Q1 Mgmt Summary'!C12+'QTD Mgmt Summary'!C12</f>
        <v>28909</v>
      </c>
      <c r="D12" s="43" t="e">
        <f ca="1">+'Q1 Mgmt Summary'!D12+'QTD Mgmt Summary'!D12</f>
        <v>#NAME?</v>
      </c>
      <c r="E12" s="236" t="e">
        <f t="shared" ca="1" si="0"/>
        <v>#NAME?</v>
      </c>
      <c r="F12" s="274"/>
      <c r="G12" s="305" t="e">
        <f ca="1">+'Q1 Mgmt Summary'!G12+'QTD Mgmt Summary'!G12</f>
        <v>#NAME?</v>
      </c>
      <c r="H12" s="43" t="e">
        <f ca="1">+'Q1 Mgmt Summary'!H12+'QTD Mgmt Summary'!H12</f>
        <v>#NAME?</v>
      </c>
      <c r="I12" s="236" t="e">
        <f t="shared" ca="1" si="1"/>
        <v>#NAME?</v>
      </c>
      <c r="J12" s="237"/>
      <c r="K12" s="235" t="e">
        <f t="shared" ca="1" si="2"/>
        <v>#NAME?</v>
      </c>
      <c r="L12" s="41" t="e">
        <f t="shared" ca="1" si="2"/>
        <v>#NAME?</v>
      </c>
      <c r="M12" s="236" t="e">
        <f t="shared" ca="1" si="3"/>
        <v>#NAME?</v>
      </c>
    </row>
    <row r="13" spans="1:22" ht="12" customHeight="1" x14ac:dyDescent="0.25">
      <c r="A13" s="230" t="s">
        <v>5</v>
      </c>
      <c r="B13" s="270"/>
      <c r="C13" s="305">
        <f>+'Q1 Mgmt Summary'!C13+'QTD Mgmt Summary'!C13</f>
        <v>2279</v>
      </c>
      <c r="D13" s="43" t="e">
        <f ca="1">+'Q1 Mgmt Summary'!D13+'QTD Mgmt Summary'!D13</f>
        <v>#NAME?</v>
      </c>
      <c r="E13" s="236" t="e">
        <f t="shared" ca="1" si="0"/>
        <v>#NAME?</v>
      </c>
      <c r="F13" s="274"/>
      <c r="G13" s="305" t="e">
        <f ca="1">+'Q1 Mgmt Summary'!G13+'QTD Mgmt Summary'!G13</f>
        <v>#NAME?</v>
      </c>
      <c r="H13" s="43" t="e">
        <f ca="1">+'Q1 Mgmt Summary'!H13+'QTD Mgmt Summary'!H13</f>
        <v>#NAME?</v>
      </c>
      <c r="I13" s="236" t="e">
        <f t="shared" ca="1" si="1"/>
        <v>#NAME?</v>
      </c>
      <c r="J13" s="237"/>
      <c r="K13" s="235" t="e">
        <f t="shared" ca="1" si="2"/>
        <v>#NAME?</v>
      </c>
      <c r="L13" s="41" t="e">
        <f t="shared" ca="1" si="2"/>
        <v>#NAME?</v>
      </c>
      <c r="M13" s="236" t="e">
        <f t="shared" ca="1" si="3"/>
        <v>#NAME?</v>
      </c>
    </row>
    <row r="14" spans="1:22" ht="12" customHeight="1" x14ac:dyDescent="0.25">
      <c r="A14" s="230" t="s">
        <v>155</v>
      </c>
      <c r="B14" s="270"/>
      <c r="C14" s="305">
        <f>+'Q1 Mgmt Summary'!C14+'QTD Mgmt Summary'!C14</f>
        <v>5879</v>
      </c>
      <c r="D14" s="43" t="e">
        <f ca="1">+'Q1 Mgmt Summary'!D14+'QTD Mgmt Summary'!D14</f>
        <v>#NAME?</v>
      </c>
      <c r="E14" s="236" t="e">
        <f t="shared" ca="1" si="0"/>
        <v>#NAME?</v>
      </c>
      <c r="F14" s="274"/>
      <c r="G14" s="305" t="e">
        <f ca="1">+'Q1 Mgmt Summary'!G14+'QTD Mgmt Summary'!G14</f>
        <v>#NAME?</v>
      </c>
      <c r="H14" s="43" t="e">
        <f ca="1">+'Q1 Mgmt Summary'!H14+'QTD Mgmt Summary'!H14</f>
        <v>#NAME?</v>
      </c>
      <c r="I14" s="236" t="e">
        <f t="shared" ca="1" si="1"/>
        <v>#NAME?</v>
      </c>
      <c r="J14" s="237"/>
      <c r="K14" s="235" t="e">
        <f t="shared" ca="1" si="2"/>
        <v>#NAME?</v>
      </c>
      <c r="L14" s="41" t="e">
        <f t="shared" ca="1" si="2"/>
        <v>#NAME?</v>
      </c>
      <c r="M14" s="236" t="e">
        <f t="shared" ca="1" si="3"/>
        <v>#NAME?</v>
      </c>
    </row>
    <row r="15" spans="1:22" ht="12" customHeight="1" x14ac:dyDescent="0.25">
      <c r="A15" s="230" t="s">
        <v>107</v>
      </c>
      <c r="B15" s="270"/>
      <c r="C15" s="305">
        <f>+'Q1 Mgmt Summary'!C15+'QTD Mgmt Summary'!C15</f>
        <v>2186</v>
      </c>
      <c r="D15" s="43" t="e">
        <f ca="1">+'Q1 Mgmt Summary'!D15+'QTD Mgmt Summary'!D15</f>
        <v>#NAME?</v>
      </c>
      <c r="E15" s="236" t="e">
        <f t="shared" ca="1" si="0"/>
        <v>#NAME?</v>
      </c>
      <c r="F15" s="274"/>
      <c r="G15" s="305" t="e">
        <f ca="1">+'Q1 Mgmt Summary'!G15+'QTD Mgmt Summary'!G15</f>
        <v>#NAME?</v>
      </c>
      <c r="H15" s="43" t="e">
        <f ca="1">+'Q1 Mgmt Summary'!H15+'QTD Mgmt Summary'!H15</f>
        <v>#NAME?</v>
      </c>
      <c r="I15" s="236" t="e">
        <f t="shared" ca="1" si="1"/>
        <v>#NAME?</v>
      </c>
      <c r="J15" s="237"/>
      <c r="K15" s="235" t="e">
        <f t="shared" ca="1" si="2"/>
        <v>#NAME?</v>
      </c>
      <c r="L15" s="41" t="e">
        <f t="shared" ca="1" si="2"/>
        <v>#NAME?</v>
      </c>
      <c r="M15" s="236" t="e">
        <f t="shared" ca="1" si="3"/>
        <v>#NAME?</v>
      </c>
    </row>
    <row r="16" spans="1:22" ht="12" customHeight="1" x14ac:dyDescent="0.25">
      <c r="A16" s="230" t="s">
        <v>156</v>
      </c>
      <c r="B16" s="270"/>
      <c r="C16" s="306">
        <f>+'Q1 Mgmt Summary'!C16+'QTD Mgmt Summary'!C16</f>
        <v>0</v>
      </c>
      <c r="D16" s="43" t="e">
        <f ca="1">+'Q1 Mgmt Summary'!D16+'QTD Mgmt Summary'!D16</f>
        <v>#NAME?</v>
      </c>
      <c r="E16" s="236" t="e">
        <f t="shared" ca="1" si="0"/>
        <v>#NAME?</v>
      </c>
      <c r="F16" s="274"/>
      <c r="G16" s="306" t="e">
        <f ca="1">+'Q1 Mgmt Summary'!G16+'QTD Mgmt Summary'!G16</f>
        <v>#NAME?</v>
      </c>
      <c r="H16" s="43" t="e">
        <f ca="1">+'Q1 Mgmt Summary'!H16+'QTD Mgmt Summary'!H16</f>
        <v>#NAME?</v>
      </c>
      <c r="I16" s="236" t="e">
        <f t="shared" ca="1" si="1"/>
        <v>#NAME?</v>
      </c>
      <c r="J16" s="237"/>
      <c r="K16" s="235" t="e">
        <f t="shared" ca="1" si="2"/>
        <v>#NAME?</v>
      </c>
      <c r="L16" s="41" t="e">
        <f t="shared" ca="1" si="2"/>
        <v>#NAME?</v>
      </c>
      <c r="M16" s="236" t="e">
        <f t="shared" ca="1" si="3"/>
        <v>#NAME?</v>
      </c>
    </row>
    <row r="17" spans="1:13" s="204" customFormat="1" ht="12" customHeight="1" x14ac:dyDescent="0.2">
      <c r="A17" s="261" t="s">
        <v>130</v>
      </c>
      <c r="B17" s="271"/>
      <c r="C17" s="297">
        <f>SUM(C8:C16)</f>
        <v>250464</v>
      </c>
      <c r="D17" s="297" t="e">
        <f ca="1">SUM(D8:D16)</f>
        <v>#NAME?</v>
      </c>
      <c r="E17" s="298" t="e">
        <f ca="1">SUM(E8:E16)</f>
        <v>#NAME?</v>
      </c>
      <c r="F17" s="275">
        <v>129970</v>
      </c>
      <c r="G17" s="297" t="e">
        <f ca="1">SUM(G8:G16)</f>
        <v>#NAME?</v>
      </c>
      <c r="H17" s="297" t="e">
        <f ca="1">SUM(H8:H16)</f>
        <v>#NAME?</v>
      </c>
      <c r="I17" s="298" t="e">
        <f ca="1">SUM(I8:I16)</f>
        <v>#NAME?</v>
      </c>
      <c r="J17" s="238"/>
      <c r="K17" s="262">
        <v>-8675</v>
      </c>
      <c r="L17" s="263">
        <v>129850</v>
      </c>
      <c r="M17" s="298" t="e">
        <f ca="1">SUM(M8:M16)</f>
        <v>#NAME?</v>
      </c>
    </row>
    <row r="18" spans="1:13" ht="12" customHeight="1" x14ac:dyDescent="0.25">
      <c r="A18" s="230"/>
      <c r="B18" s="270"/>
      <c r="C18" s="235"/>
      <c r="D18" s="295"/>
      <c r="E18" s="236"/>
      <c r="F18" s="274"/>
      <c r="G18" s="235"/>
      <c r="H18" s="295"/>
      <c r="I18" s="236"/>
      <c r="J18" s="237"/>
      <c r="K18" s="235"/>
      <c r="L18" s="41"/>
      <c r="M18" s="236"/>
    </row>
    <row r="19" spans="1:13" ht="12" customHeight="1" x14ac:dyDescent="0.25">
      <c r="A19" s="230" t="s">
        <v>88</v>
      </c>
      <c r="B19" s="270"/>
      <c r="C19" s="305">
        <f>+'Q1 Mgmt Summary'!C19+'QTD Mgmt Summary'!C19</f>
        <v>2838</v>
      </c>
      <c r="D19" s="43" t="e">
        <f ca="1">+'Q1 Mgmt Summary'!D19+'QTD Mgmt Summary'!D19</f>
        <v>#NAME?</v>
      </c>
      <c r="E19" s="236" t="e">
        <f ca="1">+C19-D19</f>
        <v>#NAME?</v>
      </c>
      <c r="F19" s="274"/>
      <c r="G19" s="305" t="e">
        <f ca="1">+'Q1 Mgmt Summary'!G19+'QTD Mgmt Summary'!G19</f>
        <v>#NAME?</v>
      </c>
      <c r="H19" s="43" t="e">
        <f ca="1">+'Q1 Mgmt Summary'!H19+'QTD Mgmt Summary'!H19</f>
        <v>#NAME?</v>
      </c>
      <c r="I19" s="236" t="e">
        <f ca="1">+H19-G19</f>
        <v>#NAME?</v>
      </c>
      <c r="J19" s="237"/>
      <c r="K19" s="235" t="e">
        <f t="shared" ref="K19:L23" ca="1" si="4">+C19-G19</f>
        <v>#NAME?</v>
      </c>
      <c r="L19" s="41" t="e">
        <f t="shared" ca="1" si="4"/>
        <v>#NAME?</v>
      </c>
      <c r="M19" s="236" t="e">
        <f ca="1">+K19-L19</f>
        <v>#NAME?</v>
      </c>
    </row>
    <row r="20" spans="1:13" ht="12" customHeight="1" x14ac:dyDescent="0.25">
      <c r="A20" s="230" t="s">
        <v>89</v>
      </c>
      <c r="B20" s="270"/>
      <c r="C20" s="305">
        <f>+'Q1 Mgmt Summary'!C20+'QTD Mgmt Summary'!C20</f>
        <v>8356</v>
      </c>
      <c r="D20" s="43" t="e">
        <f ca="1">+'Q1 Mgmt Summary'!D20+'QTD Mgmt Summary'!D20</f>
        <v>#NAME?</v>
      </c>
      <c r="E20" s="236" t="e">
        <f ca="1">+C20-D20</f>
        <v>#NAME?</v>
      </c>
      <c r="F20" s="274"/>
      <c r="G20" s="305" t="e">
        <f ca="1">+'Q1 Mgmt Summary'!G20+'QTD Mgmt Summary'!G20</f>
        <v>#NAME?</v>
      </c>
      <c r="H20" s="43" t="e">
        <f ca="1">+'Q1 Mgmt Summary'!H20+'QTD Mgmt Summary'!H20</f>
        <v>#NAME?</v>
      </c>
      <c r="I20" s="236" t="e">
        <f ca="1">+H20-G20</f>
        <v>#NAME?</v>
      </c>
      <c r="J20" s="237"/>
      <c r="K20" s="235" t="e">
        <f t="shared" ca="1" si="4"/>
        <v>#NAME?</v>
      </c>
      <c r="L20" s="41" t="e">
        <f t="shared" ca="1" si="4"/>
        <v>#NAME?</v>
      </c>
      <c r="M20" s="236" t="e">
        <f ca="1">+K20-L20</f>
        <v>#NAME?</v>
      </c>
    </row>
    <row r="21" spans="1:13" ht="12" customHeight="1" x14ac:dyDescent="0.25">
      <c r="A21" s="230" t="s">
        <v>258</v>
      </c>
      <c r="B21" s="270"/>
      <c r="C21" s="305">
        <f>+'Q1 Mgmt Summary'!C21+'QTD Mgmt Summary'!C21</f>
        <v>3647</v>
      </c>
      <c r="D21" s="43" t="e">
        <f ca="1">+'Q1 Mgmt Summary'!D21+'QTD Mgmt Summary'!D21</f>
        <v>#NAME?</v>
      </c>
      <c r="E21" s="236" t="e">
        <f ca="1">+C21-D21</f>
        <v>#NAME?</v>
      </c>
      <c r="F21" s="274"/>
      <c r="G21" s="305" t="e">
        <f ca="1">+'Q1 Mgmt Summary'!G21+'QTD Mgmt Summary'!G21</f>
        <v>#NAME?</v>
      </c>
      <c r="H21" s="43" t="e">
        <f ca="1">+'Q1 Mgmt Summary'!H21+'QTD Mgmt Summary'!H21</f>
        <v>#NAME?</v>
      </c>
      <c r="I21" s="236" t="e">
        <f ca="1">+H21-G21</f>
        <v>#NAME?</v>
      </c>
      <c r="J21" s="237"/>
      <c r="K21" s="235" t="e">
        <f t="shared" ca="1" si="4"/>
        <v>#NAME?</v>
      </c>
      <c r="L21" s="41" t="e">
        <f t="shared" ca="1" si="4"/>
        <v>#NAME?</v>
      </c>
      <c r="M21" s="236" t="e">
        <f ca="1">+K21-L21</f>
        <v>#NAME?</v>
      </c>
    </row>
    <row r="22" spans="1:13" ht="12" customHeight="1" x14ac:dyDescent="0.25">
      <c r="A22" s="230" t="s">
        <v>104</v>
      </c>
      <c r="B22" s="270"/>
      <c r="C22" s="305">
        <f>+'Q1 Mgmt Summary'!C22+'QTD Mgmt Summary'!C22</f>
        <v>0</v>
      </c>
      <c r="D22" s="43" t="e">
        <f ca="1">+'Q1 Mgmt Summary'!D22+'QTD Mgmt Summary'!D22</f>
        <v>#NAME?</v>
      </c>
      <c r="E22" s="236" t="e">
        <f ca="1">+C22-D22</f>
        <v>#NAME?</v>
      </c>
      <c r="F22" s="274"/>
      <c r="G22" s="305" t="e">
        <f ca="1">+'Q1 Mgmt Summary'!G22+'QTD Mgmt Summary'!G22</f>
        <v>#NAME?</v>
      </c>
      <c r="H22" s="43" t="e">
        <f ca="1">+'Q1 Mgmt Summary'!H22+'QTD Mgmt Summary'!H22</f>
        <v>#NAME?</v>
      </c>
      <c r="I22" s="236" t="e">
        <f ca="1">+H22-G22</f>
        <v>#NAME?</v>
      </c>
      <c r="J22" s="237"/>
      <c r="K22" s="235" t="e">
        <f t="shared" ca="1" si="4"/>
        <v>#NAME?</v>
      </c>
      <c r="L22" s="41" t="e">
        <f t="shared" ca="1" si="4"/>
        <v>#NAME?</v>
      </c>
      <c r="M22" s="236" t="e">
        <f ca="1">+K22-L22</f>
        <v>#NAME?</v>
      </c>
    </row>
    <row r="23" spans="1:13" ht="12" customHeight="1" x14ac:dyDescent="0.25">
      <c r="A23" s="230" t="s">
        <v>0</v>
      </c>
      <c r="B23" s="270"/>
      <c r="C23" s="306">
        <f>+'Q1 Mgmt Summary'!C23+'QTD Mgmt Summary'!C23</f>
        <v>11</v>
      </c>
      <c r="D23" s="43" t="e">
        <f ca="1">+'Q1 Mgmt Summary'!D23+'QTD Mgmt Summary'!D23</f>
        <v>#NAME?</v>
      </c>
      <c r="E23" s="236" t="e">
        <f ca="1">+C23-D23</f>
        <v>#NAME?</v>
      </c>
      <c r="F23" s="274"/>
      <c r="G23" s="306" t="e">
        <f ca="1">+'Q1 Mgmt Summary'!G23+'QTD Mgmt Summary'!G23</f>
        <v>#NAME?</v>
      </c>
      <c r="H23" s="43" t="e">
        <f ca="1">+'Q1 Mgmt Summary'!H23+'QTD Mgmt Summary'!H23</f>
        <v>#NAME?</v>
      </c>
      <c r="I23" s="236" t="e">
        <f ca="1">+H23-G23</f>
        <v>#NAME?</v>
      </c>
      <c r="J23" s="237"/>
      <c r="K23" s="235" t="e">
        <f t="shared" ca="1" si="4"/>
        <v>#NAME?</v>
      </c>
      <c r="L23" s="41" t="e">
        <f t="shared" ca="1" si="4"/>
        <v>#NAME?</v>
      </c>
      <c r="M23" s="236" t="e">
        <f ca="1">+K23-L23</f>
        <v>#NAME?</v>
      </c>
    </row>
    <row r="24" spans="1:13" s="204" customFormat="1" ht="12" customHeight="1" x14ac:dyDescent="0.2">
      <c r="A24" s="261" t="s">
        <v>1</v>
      </c>
      <c r="B24" s="271"/>
      <c r="C24" s="297">
        <f>SUM(C19:C23)</f>
        <v>14852</v>
      </c>
      <c r="D24" s="297" t="e">
        <f ca="1">SUM(D19:D23)</f>
        <v>#NAME?</v>
      </c>
      <c r="E24" s="264" t="e">
        <f ca="1">SUM(E19:E23)</f>
        <v>#NAME?</v>
      </c>
      <c r="F24" s="275">
        <v>0</v>
      </c>
      <c r="G24" s="297" t="e">
        <f ca="1">SUM(G19:G23)</f>
        <v>#NAME?</v>
      </c>
      <c r="H24" s="297" t="e">
        <f ca="1">SUM(H19:H23)</f>
        <v>#NAME?</v>
      </c>
      <c r="I24" s="264" t="e">
        <f ca="1">SUM(I19:I23)</f>
        <v>#NAME?</v>
      </c>
      <c r="J24" s="238"/>
      <c r="K24" s="262">
        <v>62310</v>
      </c>
      <c r="L24" s="263">
        <v>39821</v>
      </c>
      <c r="M24" s="264" t="e">
        <f ca="1">SUM(M19:M23)</f>
        <v>#NAME?</v>
      </c>
    </row>
    <row r="25" spans="1:13" ht="12" customHeight="1" x14ac:dyDescent="0.25">
      <c r="A25" s="230"/>
      <c r="B25" s="270"/>
      <c r="C25" s="235"/>
      <c r="D25" s="295"/>
      <c r="E25" s="236"/>
      <c r="F25" s="274"/>
      <c r="G25" s="235"/>
      <c r="H25" s="295"/>
      <c r="I25" s="236"/>
      <c r="J25" s="237"/>
      <c r="K25" s="235"/>
      <c r="L25" s="41"/>
      <c r="M25" s="236"/>
    </row>
    <row r="26" spans="1:13" ht="12" customHeight="1" x14ac:dyDescent="0.25">
      <c r="A26" s="230" t="s">
        <v>67</v>
      </c>
      <c r="B26" s="270"/>
      <c r="C26" s="305">
        <f>+'Q1 Mgmt Summary'!C26+'QTD Mgmt Summary'!C26</f>
        <v>10772</v>
      </c>
      <c r="D26" s="43" t="e">
        <f ca="1">+'Q1 Mgmt Summary'!D26+'QTD Mgmt Summary'!D26</f>
        <v>#NAME?</v>
      </c>
      <c r="E26" s="236" t="e">
        <f ca="1">+C26-D26</f>
        <v>#NAME?</v>
      </c>
      <c r="F26" s="274"/>
      <c r="G26" s="305" t="e">
        <f ca="1">+'Q1 Mgmt Summary'!G26+'QTD Mgmt Summary'!G26</f>
        <v>#NAME?</v>
      </c>
      <c r="H26" s="43" t="e">
        <f ca="1">+'Q1 Mgmt Summary'!H26+'QTD Mgmt Summary'!H26</f>
        <v>#NAME?</v>
      </c>
      <c r="I26" s="236" t="e">
        <f ca="1">+H26-G26</f>
        <v>#NAME?</v>
      </c>
      <c r="J26" s="237"/>
      <c r="K26" s="235" t="e">
        <f t="shared" ref="K26:L28" ca="1" si="5">+C26-G26</f>
        <v>#NAME?</v>
      </c>
      <c r="L26" s="41" t="e">
        <f t="shared" ca="1" si="5"/>
        <v>#NAME?</v>
      </c>
      <c r="M26" s="236" t="e">
        <f ca="1">+K26-L26</f>
        <v>#NAME?</v>
      </c>
    </row>
    <row r="27" spans="1:13" ht="12" customHeight="1" x14ac:dyDescent="0.25">
      <c r="A27" s="230" t="s">
        <v>92</v>
      </c>
      <c r="B27" s="270"/>
      <c r="C27" s="305">
        <f>+'Q1 Mgmt Summary'!C27+'QTD Mgmt Summary'!C27</f>
        <v>40499</v>
      </c>
      <c r="D27" s="43" t="e">
        <f ca="1">+'Q1 Mgmt Summary'!D27+'QTD Mgmt Summary'!D27</f>
        <v>#NAME?</v>
      </c>
      <c r="E27" s="236" t="e">
        <f ca="1">+C27-D27</f>
        <v>#NAME?</v>
      </c>
      <c r="F27" s="274"/>
      <c r="G27" s="305" t="e">
        <f ca="1">+'Q1 Mgmt Summary'!G27+'QTD Mgmt Summary'!G27</f>
        <v>#NAME?</v>
      </c>
      <c r="H27" s="43" t="e">
        <f ca="1">+'Q1 Mgmt Summary'!H27+'QTD Mgmt Summary'!H27</f>
        <v>#NAME?</v>
      </c>
      <c r="I27" s="236" t="e">
        <f ca="1">+H27-G27</f>
        <v>#NAME?</v>
      </c>
      <c r="J27" s="237"/>
      <c r="K27" s="235" t="e">
        <f t="shared" ca="1" si="5"/>
        <v>#NAME?</v>
      </c>
      <c r="L27" s="41" t="e">
        <f t="shared" ca="1" si="5"/>
        <v>#NAME?</v>
      </c>
      <c r="M27" s="236" t="e">
        <f ca="1">+K27-L27</f>
        <v>#NAME?</v>
      </c>
    </row>
    <row r="28" spans="1:13" ht="12" customHeight="1" x14ac:dyDescent="0.25">
      <c r="A28" s="230" t="s">
        <v>93</v>
      </c>
      <c r="B28" s="270"/>
      <c r="C28" s="306">
        <f>+'Q1 Mgmt Summary'!C28+'QTD Mgmt Summary'!C28</f>
        <v>22724</v>
      </c>
      <c r="D28" s="43" t="e">
        <f ca="1">+'Q1 Mgmt Summary'!D28+'QTD Mgmt Summary'!D28</f>
        <v>#NAME?</v>
      </c>
      <c r="E28" s="236" t="e">
        <f ca="1">+C28-D28</f>
        <v>#NAME?</v>
      </c>
      <c r="F28" s="274"/>
      <c r="G28" s="306" t="e">
        <f ca="1">+'Q1 Mgmt Summary'!G28+'QTD Mgmt Summary'!G28</f>
        <v>#NAME?</v>
      </c>
      <c r="H28" s="43" t="e">
        <f ca="1">+'Q1 Mgmt Summary'!H28+'QTD Mgmt Summary'!H28</f>
        <v>#NAME?</v>
      </c>
      <c r="I28" s="236" t="e">
        <f ca="1">+H28-G28</f>
        <v>#NAME?</v>
      </c>
      <c r="J28" s="237"/>
      <c r="K28" s="235" t="e">
        <f t="shared" ca="1" si="5"/>
        <v>#NAME?</v>
      </c>
      <c r="L28" s="41" t="e">
        <f t="shared" ca="1" si="5"/>
        <v>#NAME?</v>
      </c>
      <c r="M28" s="236" t="e">
        <f ca="1">+K28-L28</f>
        <v>#NAME?</v>
      </c>
    </row>
    <row r="29" spans="1:13" s="204" customFormat="1" ht="12" customHeight="1" x14ac:dyDescent="0.2">
      <c r="A29" s="261" t="s">
        <v>86</v>
      </c>
      <c r="B29" s="271"/>
      <c r="C29" s="297">
        <f>SUM(C26:C28)</f>
        <v>73995</v>
      </c>
      <c r="D29" s="297" t="e">
        <f ca="1">SUM(D26:D28)</f>
        <v>#NAME?</v>
      </c>
      <c r="E29" s="264" t="e">
        <f ca="1">SUM(E26:E28)</f>
        <v>#NAME?</v>
      </c>
      <c r="F29" s="275"/>
      <c r="G29" s="297" t="e">
        <f ca="1">SUM(G26:G28)</f>
        <v>#NAME?</v>
      </c>
      <c r="H29" s="297" t="e">
        <f ca="1">SUM(H26:H28)</f>
        <v>#NAME?</v>
      </c>
      <c r="I29" s="264" t="e">
        <f ca="1">SUM(I26:I28)</f>
        <v>#NAME?</v>
      </c>
      <c r="J29" s="238"/>
      <c r="K29" s="262">
        <v>-9167</v>
      </c>
      <c r="L29" s="263">
        <v>-20328</v>
      </c>
      <c r="M29" s="264" t="e">
        <f ca="1">SUM(M26:M28)</f>
        <v>#NAME?</v>
      </c>
    </row>
    <row r="30" spans="1:13" ht="12" customHeight="1" x14ac:dyDescent="0.25">
      <c r="A30" s="230"/>
      <c r="B30" s="270"/>
      <c r="C30" s="235"/>
      <c r="D30" s="295"/>
      <c r="E30" s="236"/>
      <c r="F30" s="274"/>
      <c r="G30" s="235"/>
      <c r="H30" s="295"/>
      <c r="I30" s="236"/>
      <c r="J30" s="237"/>
      <c r="K30" s="235"/>
      <c r="L30" s="41"/>
      <c r="M30" s="236"/>
    </row>
    <row r="31" spans="1:13" ht="12" customHeight="1" x14ac:dyDescent="0.25">
      <c r="A31" s="230" t="s">
        <v>9</v>
      </c>
      <c r="B31" s="270"/>
      <c r="C31" s="305">
        <f>+'Q1 Mgmt Summary'!C31+'QTD Mgmt Summary'!C31</f>
        <v>68851</v>
      </c>
      <c r="D31" s="43" t="e">
        <f ca="1">+'Q1 Mgmt Summary'!D31+'QTD Mgmt Summary'!D31</f>
        <v>#NAME?</v>
      </c>
      <c r="E31" s="236" t="e">
        <f ca="1">+C31-D31</f>
        <v>#NAME?</v>
      </c>
      <c r="F31" s="274"/>
      <c r="G31" s="305" t="e">
        <f ca="1">+'Q1 Mgmt Summary'!G31+'QTD Mgmt Summary'!G31</f>
        <v>#NAME?</v>
      </c>
      <c r="H31" s="43" t="e">
        <f ca="1">+'Q1 Mgmt Summary'!H31+'QTD Mgmt Summary'!H31</f>
        <v>#NAME?</v>
      </c>
      <c r="I31" s="236" t="e">
        <f ca="1">+H31-G31</f>
        <v>#NAME?</v>
      </c>
      <c r="J31" s="237"/>
      <c r="K31" s="235" t="e">
        <f t="shared" ref="K31:L33" ca="1" si="6">+C31-G31</f>
        <v>#NAME?</v>
      </c>
      <c r="L31" s="41" t="e">
        <f t="shared" ca="1" si="6"/>
        <v>#NAME?</v>
      </c>
      <c r="M31" s="236" t="e">
        <f ca="1">+K31-L31</f>
        <v>#NAME?</v>
      </c>
    </row>
    <row r="32" spans="1:13" ht="12" customHeight="1" x14ac:dyDescent="0.25">
      <c r="A32" s="230" t="s">
        <v>151</v>
      </c>
      <c r="B32" s="270"/>
      <c r="C32" s="305">
        <f>+'Q1 Mgmt Summary'!C32+'QTD Mgmt Summary'!C32</f>
        <v>353</v>
      </c>
      <c r="D32" s="43" t="e">
        <f ca="1">+'Q1 Mgmt Summary'!D32+'QTD Mgmt Summary'!D32</f>
        <v>#NAME?</v>
      </c>
      <c r="E32" s="236" t="e">
        <f ca="1">+C32-D32</f>
        <v>#NAME?</v>
      </c>
      <c r="F32" s="274"/>
      <c r="G32" s="305" t="e">
        <f ca="1">+'Q1 Mgmt Summary'!G32+'QTD Mgmt Summary'!G32</f>
        <v>#NAME?</v>
      </c>
      <c r="H32" s="43" t="e">
        <f ca="1">+'Q1 Mgmt Summary'!H32+'QTD Mgmt Summary'!H32</f>
        <v>#NAME?</v>
      </c>
      <c r="I32" s="236" t="e">
        <f ca="1">+H32-G32</f>
        <v>#NAME?</v>
      </c>
      <c r="J32" s="237"/>
      <c r="K32" s="235" t="e">
        <f t="shared" ca="1" si="6"/>
        <v>#NAME?</v>
      </c>
      <c r="L32" s="41" t="e">
        <f t="shared" ca="1" si="6"/>
        <v>#NAME?</v>
      </c>
      <c r="M32" s="236" t="e">
        <f ca="1">+K32-L32</f>
        <v>#NAME?</v>
      </c>
    </row>
    <row r="33" spans="1:13" x14ac:dyDescent="0.25">
      <c r="A33" s="230" t="s">
        <v>154</v>
      </c>
      <c r="B33" s="270"/>
      <c r="C33" s="306">
        <f>+'Q1 Mgmt Summary'!C33+'QTD Mgmt Summary'!C33</f>
        <v>-22058</v>
      </c>
      <c r="D33" s="51" t="e">
        <f ca="1">+'Q1 Mgmt Summary'!D33+'QTD Mgmt Summary'!D33</f>
        <v>#NAME?</v>
      </c>
      <c r="E33" s="236" t="e">
        <f ca="1">+C33-D33</f>
        <v>#NAME?</v>
      </c>
      <c r="F33" s="229"/>
      <c r="G33" s="306" t="e">
        <f ca="1">+'Q1 Mgmt Summary'!G33+'QTD Mgmt Summary'!G33</f>
        <v>#NAME?</v>
      </c>
      <c r="H33" s="51" t="e">
        <f ca="1">+'Q1 Mgmt Summary'!H33+'QTD Mgmt Summary'!H33</f>
        <v>#NAME?</v>
      </c>
      <c r="I33" s="236" t="e">
        <f ca="1">+H33-G33</f>
        <v>#NAME?</v>
      </c>
      <c r="J33" s="229"/>
      <c r="K33" s="235" t="e">
        <f t="shared" ca="1" si="6"/>
        <v>#NAME?</v>
      </c>
      <c r="L33" s="41" t="e">
        <f t="shared" ca="1" si="6"/>
        <v>#NAME?</v>
      </c>
      <c r="M33" s="236" t="e">
        <f ca="1">+K33-L33</f>
        <v>#NAME?</v>
      </c>
    </row>
    <row r="34" spans="1:13" s="204" customFormat="1" ht="12" customHeight="1" x14ac:dyDescent="0.2">
      <c r="A34" s="261" t="s">
        <v>87</v>
      </c>
      <c r="B34" s="271"/>
      <c r="C34" s="297">
        <f>SUM(C31:C33)</f>
        <v>47146</v>
      </c>
      <c r="D34" s="297" t="e">
        <f ca="1">SUM(D31:D33)</f>
        <v>#NAME?</v>
      </c>
      <c r="E34" s="264" t="e">
        <f ca="1">SUM(E31:E33)</f>
        <v>#NAME?</v>
      </c>
      <c r="F34" s="275"/>
      <c r="G34" s="297" t="e">
        <f ca="1">SUM(G31:G33)</f>
        <v>#NAME?</v>
      </c>
      <c r="H34" s="297" t="e">
        <f ca="1">SUM(H31:H33)</f>
        <v>#NAME?</v>
      </c>
      <c r="I34" s="264" t="e">
        <f ca="1">SUM(I31:I33)</f>
        <v>#NAME?</v>
      </c>
      <c r="J34" s="238"/>
      <c r="K34" s="262">
        <v>-49969</v>
      </c>
      <c r="L34" s="263">
        <v>24814</v>
      </c>
      <c r="M34" s="264" t="e">
        <f ca="1">SUM(M31:M33)</f>
        <v>#NAME?</v>
      </c>
    </row>
    <row r="35" spans="1:13" ht="12" customHeight="1" x14ac:dyDescent="0.25">
      <c r="A35" s="240"/>
      <c r="B35" s="270"/>
      <c r="C35" s="241"/>
      <c r="D35" s="300"/>
      <c r="E35" s="242"/>
      <c r="F35" s="274"/>
      <c r="G35" s="241"/>
      <c r="H35" s="300"/>
      <c r="I35" s="242"/>
      <c r="J35" s="237"/>
      <c r="K35" s="241"/>
      <c r="L35" s="104"/>
      <c r="M35" s="242"/>
    </row>
    <row r="36" spans="1:13" ht="12" customHeight="1" x14ac:dyDescent="0.25">
      <c r="A36" s="240" t="s">
        <v>8</v>
      </c>
      <c r="B36" s="270"/>
      <c r="C36" s="305">
        <f>+'Q1 Mgmt Summary'!C36+'QTD Mgmt Summary'!C36</f>
        <v>1400</v>
      </c>
      <c r="D36" s="43" t="e">
        <f ca="1">+'Q1 Mgmt Summary'!D36+'QTD Mgmt Summary'!D36</f>
        <v>#NAME?</v>
      </c>
      <c r="E36" s="236" t="e">
        <f ca="1">+C36-D36</f>
        <v>#NAME?</v>
      </c>
      <c r="F36" s="274"/>
      <c r="G36" s="305" t="e">
        <f ca="1">+'Q1 Mgmt Summary'!G36+'QTD Mgmt Summary'!G36</f>
        <v>#NAME?</v>
      </c>
      <c r="H36" s="43" t="e">
        <f ca="1">+'Q1 Mgmt Summary'!H36+'QTD Mgmt Summary'!H36</f>
        <v>#NAME?</v>
      </c>
      <c r="I36" s="236" t="e">
        <f ca="1">+H36-G36</f>
        <v>#NAME?</v>
      </c>
      <c r="J36" s="237"/>
      <c r="K36" s="235" t="e">
        <f t="shared" ref="K36:L38" ca="1" si="7">+C36-G36</f>
        <v>#NAME?</v>
      </c>
      <c r="L36" s="41" t="e">
        <f t="shared" ca="1" si="7"/>
        <v>#NAME?</v>
      </c>
      <c r="M36" s="236" t="e">
        <f ca="1">+K36-L36</f>
        <v>#NAME?</v>
      </c>
    </row>
    <row r="37" spans="1:13" ht="12" customHeight="1" x14ac:dyDescent="0.25">
      <c r="A37" s="240" t="s">
        <v>7</v>
      </c>
      <c r="B37" s="270"/>
      <c r="C37" s="305">
        <f>+'Q1 Mgmt Summary'!C37+'QTD Mgmt Summary'!C37</f>
        <v>0</v>
      </c>
      <c r="D37" s="43">
        <f>+'Q1 Mgmt Summary'!D37+'QTD Mgmt Summary'!D37</f>
        <v>0</v>
      </c>
      <c r="E37" s="236">
        <f>+C37-D37</f>
        <v>0</v>
      </c>
      <c r="F37" s="274"/>
      <c r="G37" s="305" t="e">
        <f ca="1">+'Q1 Mgmt Summary'!G37+'QTD Mgmt Summary'!G37</f>
        <v>#NAME?</v>
      </c>
      <c r="H37" s="43" t="e">
        <f ca="1">+'Q1 Mgmt Summary'!H37+'QTD Mgmt Summary'!H37</f>
        <v>#NAME?</v>
      </c>
      <c r="I37" s="236" t="e">
        <f ca="1">+H37-G37</f>
        <v>#NAME?</v>
      </c>
      <c r="J37" s="237"/>
      <c r="K37" s="235" t="e">
        <f t="shared" ca="1" si="7"/>
        <v>#NAME?</v>
      </c>
      <c r="L37" s="41" t="e">
        <f t="shared" ca="1" si="7"/>
        <v>#NAME?</v>
      </c>
      <c r="M37" s="236" t="e">
        <f ca="1">+K37-L37</f>
        <v>#NAME?</v>
      </c>
    </row>
    <row r="38" spans="1:13" ht="12" customHeight="1" x14ac:dyDescent="0.25">
      <c r="A38" s="240" t="s">
        <v>19</v>
      </c>
      <c r="B38" s="270"/>
      <c r="C38" s="306">
        <f>+'Q1 Mgmt Summary'!C38+'QTD Mgmt Summary'!C38</f>
        <v>0</v>
      </c>
      <c r="D38" s="51">
        <f>+'Q1 Mgmt Summary'!D38+'QTD Mgmt Summary'!D38</f>
        <v>76450</v>
      </c>
      <c r="E38" s="236">
        <f>+C38-D38</f>
        <v>-76450</v>
      </c>
      <c r="F38" s="274"/>
      <c r="G38" s="306">
        <f>+'Q1 Mgmt Summary'!G38+'QTD Mgmt Summary'!G38</f>
        <v>0</v>
      </c>
      <c r="H38" s="51">
        <f>+'Q1 Mgmt Summary'!H38+'QTD Mgmt Summary'!H38</f>
        <v>0</v>
      </c>
      <c r="I38" s="236">
        <f>+H38-G38</f>
        <v>0</v>
      </c>
      <c r="J38" s="237"/>
      <c r="K38" s="235">
        <f t="shared" si="7"/>
        <v>0</v>
      </c>
      <c r="L38" s="41">
        <f t="shared" si="7"/>
        <v>76450</v>
      </c>
      <c r="M38" s="236">
        <f>+K38-L38</f>
        <v>-76450</v>
      </c>
    </row>
    <row r="39" spans="1:13" s="204" customFormat="1" ht="12" customHeight="1" x14ac:dyDescent="0.2">
      <c r="A39" s="261" t="s">
        <v>10</v>
      </c>
      <c r="B39" s="271"/>
      <c r="C39" s="297">
        <f>C38+C37+C36+C34+C29+C24+C17</f>
        <v>387857</v>
      </c>
      <c r="D39" s="297" t="e">
        <f ca="1">D38+D37+D36+D34+D29+D24+D17</f>
        <v>#NAME?</v>
      </c>
      <c r="E39" s="264" t="e">
        <f ca="1">E38+E37+E36+E34+E29+E24+E17</f>
        <v>#NAME?</v>
      </c>
      <c r="F39" s="275"/>
      <c r="G39" s="297" t="e">
        <f ca="1">G38+G37+G36+G34+G29+G24+G17</f>
        <v>#NAME?</v>
      </c>
      <c r="H39" s="297" t="e">
        <f ca="1">H38+H37+H36+H34+H29+H24+H17</f>
        <v>#NAME?</v>
      </c>
      <c r="I39" s="264" t="e">
        <f ca="1">I38+I37+I36+I34+I29+I24+I17</f>
        <v>#NAME?</v>
      </c>
      <c r="J39" s="238"/>
      <c r="K39" s="262">
        <v>-21321</v>
      </c>
      <c r="L39" s="263">
        <v>199411</v>
      </c>
      <c r="M39" s="264" t="e">
        <f ca="1">M38+M37+M36+M34+M29+M24+M17</f>
        <v>#NAME?</v>
      </c>
    </row>
    <row r="40" spans="1:13" ht="12" customHeight="1" x14ac:dyDescent="0.25">
      <c r="A40" s="240"/>
      <c r="B40" s="270"/>
      <c r="C40" s="241"/>
      <c r="D40" s="300"/>
      <c r="E40" s="242"/>
      <c r="F40" s="274"/>
      <c r="G40" s="241"/>
      <c r="H40" s="300"/>
      <c r="I40" s="242"/>
      <c r="J40" s="237"/>
      <c r="K40" s="241"/>
      <c r="L40" s="104"/>
      <c r="M40" s="242"/>
    </row>
    <row r="41" spans="1:13" ht="12" customHeight="1" x14ac:dyDescent="0.25">
      <c r="A41" s="240" t="s">
        <v>265</v>
      </c>
      <c r="B41" s="270"/>
      <c r="C41" s="305">
        <f>+'Q1 Mgmt Summary'!C41+'QTD Mgmt Summary'!C41</f>
        <v>0</v>
      </c>
      <c r="D41" s="43">
        <f>+'Q1 Mgmt Summary'!D41+'QTD Mgmt Summary'!D41</f>
        <v>0</v>
      </c>
      <c r="E41" s="236">
        <f>+C41-D41</f>
        <v>0</v>
      </c>
      <c r="F41" s="274"/>
      <c r="G41" s="305">
        <f>+'Q1 Mgmt Summary'!G41+'QTD Mgmt Summary'!G41</f>
        <v>0</v>
      </c>
      <c r="H41" s="43">
        <f>+'Q1 Mgmt Summary'!H41+'QTD Mgmt Summary'!H41</f>
        <v>0</v>
      </c>
      <c r="I41" s="236">
        <f>+H41-G41</f>
        <v>0</v>
      </c>
      <c r="J41" s="237"/>
      <c r="K41" s="235">
        <f>+C41-G41</f>
        <v>0</v>
      </c>
      <c r="L41" s="41">
        <f>+D41-H41</f>
        <v>0</v>
      </c>
      <c r="M41" s="236">
        <f>+K41-L41</f>
        <v>0</v>
      </c>
    </row>
    <row r="42" spans="1:13" ht="12" customHeight="1" x14ac:dyDescent="0.25">
      <c r="A42" s="240" t="s">
        <v>266</v>
      </c>
      <c r="B42" s="270"/>
      <c r="C42" s="305">
        <f>+'Q1 Mgmt Summary'!C42+'QTD Mgmt Summary'!C42</f>
        <v>0</v>
      </c>
      <c r="D42" s="43">
        <f>+'Q1 Mgmt Summary'!D42+'QTD Mgmt Summary'!D42</f>
        <v>0</v>
      </c>
      <c r="E42" s="236">
        <f>+C42-D42</f>
        <v>0</v>
      </c>
      <c r="F42" s="274"/>
      <c r="G42" s="305" t="e">
        <f ca="1">+'Q1 Mgmt Summary'!G42+'QTD Mgmt Summary'!G42</f>
        <v>#NAME?</v>
      </c>
      <c r="H42" s="43" t="e">
        <f ca="1">+'Q1 Mgmt Summary'!H42+'QTD Mgmt Summary'!H42</f>
        <v>#NAME?</v>
      </c>
      <c r="I42" s="236" t="e">
        <f ca="1">+H42-G42</f>
        <v>#NAME?</v>
      </c>
      <c r="J42" s="237"/>
      <c r="K42" s="235" t="e">
        <f t="shared" ref="K42:L44" ca="1" si="8">+C42-G42</f>
        <v>#NAME?</v>
      </c>
      <c r="L42" s="41" t="e">
        <f t="shared" ca="1" si="8"/>
        <v>#NAME?</v>
      </c>
      <c r="M42" s="236" t="e">
        <f ca="1">+K42-L42</f>
        <v>#NAME?</v>
      </c>
    </row>
    <row r="43" spans="1:13" ht="12" customHeight="1" x14ac:dyDescent="0.25">
      <c r="A43" s="240" t="s">
        <v>18</v>
      </c>
      <c r="B43" s="270"/>
      <c r="C43" s="305">
        <f>+'Q1 Mgmt Summary'!C43+'QTD Mgmt Summary'!C43</f>
        <v>-41525</v>
      </c>
      <c r="D43" s="43" t="e">
        <f ca="1">+'Q1 Mgmt Summary'!D43+'QTD Mgmt Summary'!D43</f>
        <v>#NAME?</v>
      </c>
      <c r="E43" s="236" t="e">
        <f ca="1">+C43-D43</f>
        <v>#NAME?</v>
      </c>
      <c r="F43" s="276"/>
      <c r="G43" s="305" t="e">
        <f ca="1">+'Q1 Mgmt Summary'!G43+'QTD Mgmt Summary'!G43</f>
        <v>#NAME?</v>
      </c>
      <c r="H43" s="43" t="e">
        <f ca="1">+'Q1 Mgmt Summary'!H43+'QTD Mgmt Summary'!H43</f>
        <v>#NAME?</v>
      </c>
      <c r="I43" s="236" t="e">
        <f ca="1">+H43-G43</f>
        <v>#NAME?</v>
      </c>
      <c r="J43" s="237"/>
      <c r="K43" s="235" t="e">
        <f t="shared" ca="1" si="8"/>
        <v>#NAME?</v>
      </c>
      <c r="L43" s="41" t="e">
        <f t="shared" ca="1" si="8"/>
        <v>#NAME?</v>
      </c>
      <c r="M43" s="236" t="e">
        <f ca="1">+K43-L43</f>
        <v>#NAME?</v>
      </c>
    </row>
    <row r="44" spans="1:13" ht="12" customHeight="1" x14ac:dyDescent="0.25">
      <c r="A44" s="240" t="s">
        <v>60</v>
      </c>
      <c r="B44" s="270"/>
      <c r="C44" s="305">
        <f>+'Q1 Mgmt Summary'!C44+'QTD Mgmt Summary'!C44</f>
        <v>0</v>
      </c>
      <c r="D44" s="43">
        <f>+'Q1 Mgmt Summary'!D44+'QTD Mgmt Summary'!D44</f>
        <v>0</v>
      </c>
      <c r="E44" s="236">
        <f>+C44-D44</f>
        <v>0</v>
      </c>
      <c r="F44" s="274"/>
      <c r="G44" s="305" t="e">
        <f ca="1">+'Q1 Mgmt Summary'!G44+'QTD Mgmt Summary'!G44</f>
        <v>#NAME?</v>
      </c>
      <c r="H44" s="43" t="e">
        <f ca="1">+'Q1 Mgmt Summary'!H44+'QTD Mgmt Summary'!H44</f>
        <v>#NAME?</v>
      </c>
      <c r="I44" s="236" t="e">
        <f ca="1">+H44-G44</f>
        <v>#NAME?</v>
      </c>
      <c r="J44" s="237"/>
      <c r="K44" s="235" t="e">
        <f t="shared" ca="1" si="8"/>
        <v>#NAME?</v>
      </c>
      <c r="L44" s="41" t="e">
        <f t="shared" ca="1" si="8"/>
        <v>#NAME?</v>
      </c>
      <c r="M44" s="236" t="e">
        <f ca="1">+K44-L44</f>
        <v>#NAME?</v>
      </c>
    </row>
    <row r="45" spans="1:13" s="204" customFormat="1" ht="12" customHeight="1" x14ac:dyDescent="0.2">
      <c r="A45" s="261" t="s">
        <v>65</v>
      </c>
      <c r="B45" s="271"/>
      <c r="C45" s="297">
        <f>SUM(C39:C44)</f>
        <v>346332</v>
      </c>
      <c r="D45" s="297" t="e">
        <f ca="1">SUM(D39:D44)</f>
        <v>#NAME?</v>
      </c>
      <c r="E45" s="265" t="e">
        <f ca="1">SUM(E39:E44)</f>
        <v>#NAME?</v>
      </c>
      <c r="F45" s="275"/>
      <c r="G45" s="297" t="e">
        <f ca="1">SUM(G39:G44)</f>
        <v>#NAME?</v>
      </c>
      <c r="H45" s="297" t="e">
        <f ca="1">SUM(H39:H44)</f>
        <v>#NAME?</v>
      </c>
      <c r="I45" s="265" t="e">
        <f ca="1">SUM(I39:I44)</f>
        <v>#NAME?</v>
      </c>
      <c r="J45" s="238"/>
      <c r="K45" s="262">
        <v>-45083</v>
      </c>
      <c r="L45" s="263">
        <v>187598</v>
      </c>
      <c r="M45" s="265" t="e">
        <f ca="1">SUM(M39:M44)</f>
        <v>#NAME?</v>
      </c>
    </row>
    <row r="46" spans="1:13" ht="12" customHeight="1" thickBot="1" x14ac:dyDescent="0.3">
      <c r="A46" s="240" t="s">
        <v>150</v>
      </c>
      <c r="B46" s="270"/>
      <c r="C46" s="235">
        <f>+'[2]1Q'!C46+'[2]2QTD'!C46</f>
        <v>0</v>
      </c>
      <c r="D46" s="295">
        <f>+'[2]1Q'!D46+'[2]2QTD'!D46</f>
        <v>0</v>
      </c>
      <c r="E46" s="236">
        <f>+C46-D46</f>
        <v>0</v>
      </c>
      <c r="F46" s="274"/>
      <c r="G46" s="235">
        <f>+'[2]1Q'!G46+'[2]2QTD'!G46</f>
        <v>9823</v>
      </c>
      <c r="H46" s="295">
        <f>+'[2]1Q'!H46+'[2]2QTD'!H46</f>
        <v>20600</v>
      </c>
      <c r="I46" s="236">
        <f>+H46-G46</f>
        <v>10777</v>
      </c>
      <c r="J46" s="237"/>
      <c r="K46" s="235">
        <f>+C46-G46</f>
        <v>-9823</v>
      </c>
      <c r="L46" s="41">
        <f>+D46-H46</f>
        <v>-20600</v>
      </c>
      <c r="M46" s="236">
        <f>+K46-L46</f>
        <v>10777</v>
      </c>
    </row>
    <row r="47" spans="1:13" s="204" customFormat="1" ht="12" customHeight="1" thickBot="1" x14ac:dyDescent="0.25">
      <c r="A47" s="287" t="s">
        <v>66</v>
      </c>
      <c r="B47" s="288"/>
      <c r="C47" s="302">
        <f>SUM(C45:C46)</f>
        <v>346332</v>
      </c>
      <c r="D47" s="302" t="e">
        <f ca="1">SUM(D45:D46)</f>
        <v>#NAME?</v>
      </c>
      <c r="E47" s="291" t="e">
        <f ca="1">SUM(E45:E46)</f>
        <v>#NAME?</v>
      </c>
      <c r="F47" s="292"/>
      <c r="G47" s="302" t="e">
        <f ca="1">SUM(G45:G46)</f>
        <v>#NAME?</v>
      </c>
      <c r="H47" s="302" t="e">
        <f ca="1">SUM(H45:H46)</f>
        <v>#NAME?</v>
      </c>
      <c r="I47" s="291" t="e">
        <f ca="1">SUM(I45:I46)</f>
        <v>#NAME?</v>
      </c>
      <c r="J47" s="292"/>
      <c r="K47" s="289">
        <v>-53683</v>
      </c>
      <c r="L47" s="290">
        <v>178998</v>
      </c>
      <c r="M47" s="291" t="e">
        <f ca="1">SUM(M45:M46)</f>
        <v>#NAME?</v>
      </c>
    </row>
    <row r="48" spans="1:13" ht="3" customHeight="1" x14ac:dyDescent="0.25">
      <c r="A48" s="185"/>
      <c r="C48" s="186"/>
      <c r="D48" s="42"/>
      <c r="E48" s="185"/>
      <c r="F48" s="44"/>
      <c r="I48" s="177"/>
    </row>
    <row r="49" spans="1:8" x14ac:dyDescent="0.25">
      <c r="A49" s="177" t="s">
        <v>149</v>
      </c>
      <c r="C49" s="44"/>
      <c r="D49" s="42"/>
      <c r="E49" s="44"/>
      <c r="F49" s="44"/>
    </row>
    <row r="50" spans="1:8" ht="13.5" customHeight="1" x14ac:dyDescent="0.25">
      <c r="D50" s="38"/>
      <c r="E50" s="38"/>
      <c r="F50" s="38"/>
      <c r="G50" s="38"/>
      <c r="H50" s="38"/>
    </row>
    <row r="51" spans="1:8" ht="13.5" x14ac:dyDescent="0.25">
      <c r="A51" s="266" t="s">
        <v>254</v>
      </c>
      <c r="B51" s="310">
        <v>36525</v>
      </c>
      <c r="C51" s="311"/>
    </row>
    <row r="52" spans="1:8" x14ac:dyDescent="0.25">
      <c r="A52" s="244" t="s">
        <v>182</v>
      </c>
      <c r="B52" s="205"/>
      <c r="C52" s="66">
        <f>254171+GrossMargin!D52</f>
        <v>276370</v>
      </c>
    </row>
    <row r="53" spans="1:8" x14ac:dyDescent="0.25">
      <c r="A53" s="244" t="s">
        <v>136</v>
      </c>
      <c r="B53" s="205"/>
      <c r="C53" s="66">
        <f>93733+GrossMargin!E52</f>
        <v>43198</v>
      </c>
    </row>
    <row r="54" spans="1:8" x14ac:dyDescent="0.25">
      <c r="A54" s="245" t="s">
        <v>183</v>
      </c>
      <c r="B54" s="246"/>
      <c r="C54" s="247">
        <f>18528+GrossMargin!F52+GrossMargin!G52+GrossMargin!H52</f>
        <v>26764</v>
      </c>
    </row>
    <row r="55" spans="1:8" ht="13.5" x14ac:dyDescent="0.25">
      <c r="A55" s="266" t="s">
        <v>184</v>
      </c>
      <c r="B55" s="267"/>
      <c r="C55" s="268">
        <f>SUM(C52:C54)</f>
        <v>346332</v>
      </c>
    </row>
  </sheetData>
  <mergeCells count="4">
    <mergeCell ref="C5:E5"/>
    <mergeCell ref="G5:I5"/>
    <mergeCell ref="K5:M5"/>
    <mergeCell ref="B51:C51"/>
  </mergeCells>
  <pageMargins left="0.75" right="0.75" top="1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zoomScale="75" workbookViewId="0">
      <selection activeCell="E16" sqref="E16"/>
    </sheetView>
  </sheetViews>
  <sheetFormatPr defaultRowHeight="12.75" x14ac:dyDescent="0.25"/>
  <cols>
    <col min="1" max="2" width="2.7109375" style="27" customWidth="1"/>
    <col min="3" max="3" width="16.28515625" style="27" bestFit="1" customWidth="1"/>
    <col min="4" max="5" width="7.7109375" style="27" customWidth="1"/>
    <col min="6" max="6" width="13.7109375" style="27" customWidth="1"/>
    <col min="7" max="8" width="7.7109375" style="27" customWidth="1"/>
    <col min="9" max="9" width="13.7109375" style="27" customWidth="1"/>
    <col min="10" max="11" width="7.7109375" style="27" customWidth="1"/>
    <col min="12" max="12" width="13.7109375" style="27" customWidth="1"/>
    <col min="13" max="14" width="7.7109375" style="27" customWidth="1"/>
    <col min="15" max="15" width="7.42578125" style="27" customWidth="1"/>
    <col min="16" max="17" width="7.710937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5"/>
      <c r="C1" s="195"/>
      <c r="D1" s="195"/>
      <c r="E1" s="153"/>
    </row>
    <row r="2" spans="1:23" s="208" customFormat="1" ht="27" customHeight="1" x14ac:dyDescent="0.4">
      <c r="A2" s="196" t="s">
        <v>227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261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28" t="str">
        <f>'Old Mgmt Summary'!A3</f>
        <v>Results based on Activity through April 14, 2000</v>
      </c>
      <c r="M3" s="328"/>
      <c r="N3" s="328"/>
      <c r="O3" s="328"/>
      <c r="P3" s="328"/>
      <c r="Q3" s="328"/>
      <c r="R3" s="212"/>
      <c r="S3" s="212"/>
      <c r="T3" s="213"/>
      <c r="W3" s="214"/>
    </row>
    <row r="4" spans="1:23" s="209" customFormat="1" ht="15" customHeight="1" x14ac:dyDescent="0.2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6.5" x14ac:dyDescent="0.25">
      <c r="C5" s="325" t="s">
        <v>228</v>
      </c>
      <c r="D5" s="326"/>
      <c r="E5" s="327"/>
      <c r="F5" s="325" t="s">
        <v>229</v>
      </c>
      <c r="G5" s="326"/>
      <c r="H5" s="327"/>
      <c r="I5" s="325" t="s">
        <v>230</v>
      </c>
      <c r="J5" s="326"/>
      <c r="K5" s="327"/>
      <c r="L5" s="325" t="s">
        <v>231</v>
      </c>
      <c r="M5" s="326"/>
      <c r="N5" s="327"/>
      <c r="O5" s="325" t="s">
        <v>14</v>
      </c>
      <c r="P5" s="326"/>
      <c r="Q5" s="327"/>
      <c r="U5" s="38"/>
    </row>
    <row r="6" spans="1:23" ht="15" x14ac:dyDescent="0.4">
      <c r="A6" s="319" t="s">
        <v>232</v>
      </c>
      <c r="B6" s="322" t="s">
        <v>233</v>
      </c>
      <c r="C6" s="215" t="s">
        <v>234</v>
      </c>
      <c r="D6" s="216" t="s">
        <v>235</v>
      </c>
      <c r="E6" s="217"/>
      <c r="F6" s="215" t="s">
        <v>234</v>
      </c>
      <c r="G6" s="216" t="s">
        <v>235</v>
      </c>
      <c r="H6" s="217"/>
      <c r="I6" s="215" t="s">
        <v>234</v>
      </c>
      <c r="J6" s="216" t="s">
        <v>235</v>
      </c>
      <c r="K6" s="217"/>
      <c r="L6" s="215" t="s">
        <v>234</v>
      </c>
      <c r="M6" s="216" t="s">
        <v>235</v>
      </c>
      <c r="N6" s="217"/>
      <c r="O6" s="215"/>
      <c r="P6" s="216"/>
      <c r="Q6" s="217"/>
      <c r="U6" s="38"/>
    </row>
    <row r="7" spans="1:23" x14ac:dyDescent="0.25">
      <c r="A7" s="320"/>
      <c r="B7" s="323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5">
      <c r="A8" s="320"/>
      <c r="B8" s="323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320"/>
      <c r="B9" s="323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5">
      <c r="A10" s="320"/>
      <c r="B10" s="323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5">
      <c r="A11" s="320"/>
      <c r="B11" s="323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5">
      <c r="A12" s="320"/>
      <c r="B12" s="323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5">
      <c r="A13" s="320"/>
      <c r="B13" s="323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5">
      <c r="A14" s="320"/>
      <c r="B14" s="323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5" x14ac:dyDescent="0.4">
      <c r="A15" s="320"/>
      <c r="B15" s="323"/>
      <c r="C15" s="219" t="s">
        <v>236</v>
      </c>
      <c r="D15" s="220"/>
      <c r="E15" s="221" t="s">
        <v>19</v>
      </c>
      <c r="F15" s="219" t="s">
        <v>236</v>
      </c>
      <c r="G15" s="220"/>
      <c r="H15" s="221" t="s">
        <v>19</v>
      </c>
      <c r="I15" s="219" t="s">
        <v>236</v>
      </c>
      <c r="J15" s="220"/>
      <c r="K15" s="221" t="s">
        <v>19</v>
      </c>
      <c r="L15" s="219" t="s">
        <v>236</v>
      </c>
      <c r="M15" s="220"/>
      <c r="N15" s="221" t="s">
        <v>19</v>
      </c>
      <c r="O15" s="219" t="s">
        <v>236</v>
      </c>
      <c r="P15" s="220"/>
      <c r="Q15" s="221" t="s">
        <v>19</v>
      </c>
    </row>
    <row r="16" spans="1:23" x14ac:dyDescent="0.25">
      <c r="A16" s="321"/>
      <c r="B16" s="324"/>
      <c r="C16" s="222">
        <v>20493</v>
      </c>
      <c r="D16" s="222">
        <f>SUM(D7:D15)</f>
        <v>0</v>
      </c>
      <c r="E16" s="222">
        <f>IF(C16-D16&gt;0,C16-D16,)</f>
        <v>20493</v>
      </c>
      <c r="F16" s="222">
        <v>21493</v>
      </c>
      <c r="G16" s="222">
        <f>SUM(G7:G15)</f>
        <v>0</v>
      </c>
      <c r="H16" s="222">
        <f>IF(F16-G16&gt;0,F16-G16,)</f>
        <v>21493</v>
      </c>
      <c r="I16" s="222">
        <v>22344</v>
      </c>
      <c r="J16" s="222">
        <f>SUM(J7:J15)</f>
        <v>0</v>
      </c>
      <c r="K16" s="222">
        <f>IF(I16-J16&gt;0,I16-J16,)</f>
        <v>22344</v>
      </c>
      <c r="L16" s="222">
        <f>14243*1.35</f>
        <v>19228.050000000003</v>
      </c>
      <c r="M16" s="222">
        <f>SUM(M7:M15)</f>
        <v>0</v>
      </c>
      <c r="N16" s="222">
        <f>IF(L16-M16&gt;0,L16-M16,)</f>
        <v>19228.050000000003</v>
      </c>
      <c r="O16" s="222">
        <f>L16+I16+F16+C16</f>
        <v>83558.05</v>
      </c>
      <c r="P16" s="222">
        <f>M16+J16+G16+D16</f>
        <v>0</v>
      </c>
      <c r="Q16" s="222">
        <f>IF(O16-P16&gt;0,O16-P16,)</f>
        <v>83558.05</v>
      </c>
    </row>
    <row r="17" spans="1:17" ht="15" x14ac:dyDescent="0.4">
      <c r="A17" s="319" t="s">
        <v>237</v>
      </c>
      <c r="B17" s="322" t="s">
        <v>233</v>
      </c>
      <c r="C17" s="215" t="s">
        <v>234</v>
      </c>
      <c r="D17" s="216" t="s">
        <v>235</v>
      </c>
      <c r="E17" s="217"/>
      <c r="F17" s="215" t="s">
        <v>234</v>
      </c>
      <c r="G17" s="216" t="s">
        <v>235</v>
      </c>
      <c r="H17" s="217"/>
      <c r="I17" s="215" t="s">
        <v>234</v>
      </c>
      <c r="J17" s="216" t="s">
        <v>235</v>
      </c>
      <c r="K17" s="217"/>
      <c r="L17" s="215" t="s">
        <v>234</v>
      </c>
      <c r="M17" s="216" t="s">
        <v>235</v>
      </c>
      <c r="N17" s="217"/>
      <c r="O17" s="215"/>
      <c r="P17" s="216"/>
      <c r="Q17" s="217"/>
    </row>
    <row r="18" spans="1:17" x14ac:dyDescent="0.25">
      <c r="A18" s="320"/>
      <c r="B18" s="323"/>
      <c r="C18" s="41"/>
      <c r="D18" s="42"/>
      <c r="E18" s="43"/>
      <c r="F18" s="41"/>
      <c r="G18" s="42"/>
      <c r="H18" s="43"/>
      <c r="I18" s="41"/>
      <c r="J18" s="42"/>
      <c r="K18" s="43"/>
      <c r="L18" s="41"/>
      <c r="M18" s="42"/>
      <c r="N18" s="43"/>
      <c r="O18" s="41"/>
      <c r="P18" s="42"/>
      <c r="Q18" s="43"/>
    </row>
    <row r="19" spans="1:17" x14ac:dyDescent="0.25">
      <c r="A19" s="320"/>
      <c r="B19" s="323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5">
      <c r="A20" s="320"/>
      <c r="B20" s="323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5">
      <c r="A21" s="320"/>
      <c r="B21" s="323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5">
      <c r="A22" s="320"/>
      <c r="B22" s="323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5">
      <c r="A23" s="320"/>
      <c r="B23" s="323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5">
      <c r="A24" s="320"/>
      <c r="B24" s="323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5">
      <c r="A25" s="320"/>
      <c r="B25" s="323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5" x14ac:dyDescent="0.4">
      <c r="A26" s="320"/>
      <c r="B26" s="323"/>
      <c r="C26" s="219" t="s">
        <v>236</v>
      </c>
      <c r="D26" s="220"/>
      <c r="E26" s="221" t="s">
        <v>19</v>
      </c>
      <c r="F26" s="219" t="s">
        <v>236</v>
      </c>
      <c r="G26" s="220"/>
      <c r="H26" s="221" t="s">
        <v>19</v>
      </c>
      <c r="I26" s="219" t="s">
        <v>236</v>
      </c>
      <c r="J26" s="220"/>
      <c r="K26" s="221" t="s">
        <v>19</v>
      </c>
      <c r="L26" s="219" t="s">
        <v>236</v>
      </c>
      <c r="M26" s="220"/>
      <c r="N26" s="221" t="s">
        <v>19</v>
      </c>
      <c r="O26" s="219" t="s">
        <v>236</v>
      </c>
      <c r="P26" s="220"/>
      <c r="Q26" s="221" t="s">
        <v>19</v>
      </c>
    </row>
    <row r="27" spans="1:17" x14ac:dyDescent="0.25">
      <c r="A27" s="321"/>
      <c r="B27" s="324"/>
      <c r="C27" s="222">
        <v>13235</v>
      </c>
      <c r="D27" s="222">
        <f>SUM(D18:D26)</f>
        <v>0</v>
      </c>
      <c r="E27" s="222">
        <f>IF(C27-D27&gt;0,C27-D27,)</f>
        <v>13235</v>
      </c>
      <c r="F27" s="222">
        <v>17163</v>
      </c>
      <c r="G27" s="222">
        <f>SUM(G18:G26)</f>
        <v>0</v>
      </c>
      <c r="H27" s="222">
        <f>IF(F27-G27&gt;0,F27-G27,)</f>
        <v>17163</v>
      </c>
      <c r="I27" s="222">
        <v>43231</v>
      </c>
      <c r="J27" s="222">
        <f>SUM(J18:J26)</f>
        <v>0</v>
      </c>
      <c r="K27" s="222">
        <f>IF(I27-J27&gt;0,I27-J27,)</f>
        <v>43231</v>
      </c>
      <c r="L27" s="222">
        <f>13235*1.35</f>
        <v>17867.25</v>
      </c>
      <c r="M27" s="222">
        <f>SUM(M18:M26)</f>
        <v>0</v>
      </c>
      <c r="N27" s="222">
        <f>IF(L27-M27&gt;0,L27-M27,)</f>
        <v>17867.25</v>
      </c>
      <c r="O27" s="222">
        <f>L27+I27+F27+C27</f>
        <v>91496.25</v>
      </c>
      <c r="P27" s="222">
        <f>M27+J27+G27+D27</f>
        <v>0</v>
      </c>
      <c r="Q27" s="222">
        <f>IF(O27-P27&gt;0,O27-P27,)</f>
        <v>91496.25</v>
      </c>
    </row>
    <row r="28" spans="1:17" ht="15" x14ac:dyDescent="0.4">
      <c r="A28" s="319" t="s">
        <v>238</v>
      </c>
      <c r="B28" s="322" t="s">
        <v>239</v>
      </c>
      <c r="C28" s="215" t="s">
        <v>234</v>
      </c>
      <c r="D28" s="216" t="s">
        <v>235</v>
      </c>
      <c r="E28" s="217"/>
      <c r="F28" s="215" t="s">
        <v>234</v>
      </c>
      <c r="G28" s="216" t="s">
        <v>235</v>
      </c>
      <c r="H28" s="217"/>
      <c r="I28" s="215" t="s">
        <v>234</v>
      </c>
      <c r="J28" s="216" t="s">
        <v>235</v>
      </c>
      <c r="K28" s="217"/>
      <c r="L28" s="215" t="s">
        <v>234</v>
      </c>
      <c r="M28" s="216" t="s">
        <v>235</v>
      </c>
      <c r="N28" s="217"/>
      <c r="O28" s="215"/>
      <c r="P28" s="216"/>
      <c r="Q28" s="217"/>
    </row>
    <row r="29" spans="1:17" x14ac:dyDescent="0.25">
      <c r="A29" s="320"/>
      <c r="B29" s="323"/>
      <c r="C29" s="27" t="s">
        <v>195</v>
      </c>
      <c r="D29" s="44">
        <v>116</v>
      </c>
      <c r="E29" s="43"/>
      <c r="F29" s="41"/>
      <c r="G29" s="42"/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5">
      <c r="A30" s="320"/>
      <c r="B30" s="323"/>
      <c r="C30" s="27" t="s">
        <v>196</v>
      </c>
      <c r="D30" s="44">
        <v>220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5">
      <c r="A31" s="320"/>
      <c r="B31" s="323"/>
      <c r="C31" s="41"/>
      <c r="D31" s="42"/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5">
      <c r="A32" s="320"/>
      <c r="B32" s="323"/>
      <c r="C32" s="41"/>
      <c r="D32" s="42"/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5">
      <c r="A33" s="320"/>
      <c r="B33" s="323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5">
      <c r="A34" s="320"/>
      <c r="B34" s="323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5">
      <c r="A35" s="320"/>
      <c r="B35" s="323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5">
      <c r="A36" s="320"/>
      <c r="B36" s="323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5" x14ac:dyDescent="0.4">
      <c r="A37" s="320"/>
      <c r="B37" s="323"/>
      <c r="C37" s="219" t="s">
        <v>236</v>
      </c>
      <c r="D37" s="220"/>
      <c r="E37" s="221" t="s">
        <v>19</v>
      </c>
      <c r="F37" s="219" t="s">
        <v>236</v>
      </c>
      <c r="G37" s="220"/>
      <c r="H37" s="221" t="s">
        <v>19</v>
      </c>
      <c r="I37" s="219" t="s">
        <v>236</v>
      </c>
      <c r="J37" s="220"/>
      <c r="K37" s="221" t="s">
        <v>19</v>
      </c>
      <c r="L37" s="219" t="s">
        <v>236</v>
      </c>
      <c r="M37" s="220"/>
      <c r="N37" s="221" t="s">
        <v>19</v>
      </c>
      <c r="O37" s="219" t="s">
        <v>236</v>
      </c>
      <c r="P37" s="220"/>
      <c r="Q37" s="221" t="s">
        <v>19</v>
      </c>
    </row>
    <row r="38" spans="1:17" x14ac:dyDescent="0.25">
      <c r="A38" s="321"/>
      <c r="B38" s="324"/>
      <c r="C38" s="222">
        <f>14164+8697</f>
        <v>22861</v>
      </c>
      <c r="D38" s="222">
        <f>SUM(D29:D37)</f>
        <v>336</v>
      </c>
      <c r="E38" s="222">
        <f>IF(C38-D38&gt;0,C38-D38,)</f>
        <v>22525</v>
      </c>
      <c r="F38" s="222">
        <f>18664+9697</f>
        <v>28361</v>
      </c>
      <c r="G38" s="222">
        <f>SUM(G29:G37)</f>
        <v>0</v>
      </c>
      <c r="H38" s="222">
        <f>IF(F38-G38&gt;0,F38-G38,)</f>
        <v>28361</v>
      </c>
      <c r="I38" s="222">
        <f>18664+9697</f>
        <v>28361</v>
      </c>
      <c r="J38" s="222">
        <f>SUM(J29:J37)</f>
        <v>0</v>
      </c>
      <c r="K38" s="222">
        <f>IF(I38-J38&gt;0,I38-J38,)</f>
        <v>28361</v>
      </c>
      <c r="L38" s="222">
        <f>(14164*1.35)+(2697*1.35)</f>
        <v>22762.350000000002</v>
      </c>
      <c r="M38" s="222">
        <f>SUM(M29:M37)</f>
        <v>0</v>
      </c>
      <c r="N38" s="222">
        <f>IF(L38-M38&gt;0,L38-M38,)</f>
        <v>22762.350000000002</v>
      </c>
      <c r="O38" s="222">
        <f>L38+I38+F38+C38</f>
        <v>102345.35</v>
      </c>
      <c r="P38" s="222">
        <f>M38+J38+G38+D38</f>
        <v>336</v>
      </c>
      <c r="Q38" s="222">
        <f>IF(O38-P38&gt;0,O38-P38,)</f>
        <v>102009.35</v>
      </c>
    </row>
    <row r="39" spans="1:17" ht="15" x14ac:dyDescent="0.4">
      <c r="A39" s="319" t="s">
        <v>233</v>
      </c>
      <c r="B39" s="322" t="s">
        <v>240</v>
      </c>
      <c r="C39" s="215" t="s">
        <v>234</v>
      </c>
      <c r="D39" s="216" t="s">
        <v>235</v>
      </c>
      <c r="E39" s="217"/>
      <c r="F39" s="215" t="s">
        <v>234</v>
      </c>
      <c r="G39" s="216" t="s">
        <v>235</v>
      </c>
      <c r="H39" s="217"/>
      <c r="I39" s="215" t="s">
        <v>234</v>
      </c>
      <c r="J39" s="216" t="s">
        <v>235</v>
      </c>
      <c r="K39" s="217"/>
      <c r="L39" s="215" t="s">
        <v>234</v>
      </c>
      <c r="M39" s="216" t="s">
        <v>235</v>
      </c>
      <c r="N39" s="217"/>
      <c r="O39" s="215"/>
      <c r="P39" s="216"/>
      <c r="Q39" s="217"/>
    </row>
    <row r="40" spans="1:17" x14ac:dyDescent="0.25">
      <c r="A40" s="320"/>
      <c r="B40" s="323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5">
      <c r="A41" s="320"/>
      <c r="B41" s="323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320"/>
      <c r="B42" s="323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320"/>
      <c r="B43" s="323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5">
      <c r="A44" s="320"/>
      <c r="B44" s="323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5">
      <c r="A45" s="320"/>
      <c r="B45" s="323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5">
      <c r="A46" s="320"/>
      <c r="B46" s="323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5">
      <c r="A47" s="320"/>
      <c r="B47" s="323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5" x14ac:dyDescent="0.4">
      <c r="A48" s="320"/>
      <c r="B48" s="323"/>
      <c r="C48" s="219" t="s">
        <v>236</v>
      </c>
      <c r="D48" s="220"/>
      <c r="E48" s="221" t="s">
        <v>19</v>
      </c>
      <c r="F48" s="219" t="s">
        <v>236</v>
      </c>
      <c r="G48" s="220"/>
      <c r="H48" s="221" t="s">
        <v>19</v>
      </c>
      <c r="I48" s="219" t="s">
        <v>236</v>
      </c>
      <c r="J48" s="220"/>
      <c r="K48" s="221" t="s">
        <v>19</v>
      </c>
      <c r="L48" s="219" t="s">
        <v>236</v>
      </c>
      <c r="M48" s="220"/>
      <c r="N48" s="221" t="s">
        <v>19</v>
      </c>
      <c r="O48" s="219" t="s">
        <v>236</v>
      </c>
      <c r="P48" s="220"/>
      <c r="Q48" s="221" t="s">
        <v>19</v>
      </c>
    </row>
    <row r="49" spans="1:17" x14ac:dyDescent="0.25">
      <c r="A49" s="321"/>
      <c r="B49" s="324"/>
      <c r="C49" s="222">
        <v>6477</v>
      </c>
      <c r="D49" s="222">
        <f>SUM(D40:D48)</f>
        <v>0</v>
      </c>
      <c r="E49" s="222">
        <f>IF(C49-D49&gt;0,C49-D49,)</f>
        <v>6477</v>
      </c>
      <c r="F49" s="222">
        <v>6477</v>
      </c>
      <c r="G49" s="222">
        <f>SUM(G40:G48)</f>
        <v>0</v>
      </c>
      <c r="H49" s="222">
        <f>IF(F49-G49&gt;0,F49-G49,)</f>
        <v>6477</v>
      </c>
      <c r="I49" s="222">
        <v>6477</v>
      </c>
      <c r="J49" s="222">
        <f>SUM(J40:J48)</f>
        <v>0</v>
      </c>
      <c r="K49" s="222">
        <f>IF(I49-J49&gt;0,I49-J49,)</f>
        <v>6477</v>
      </c>
      <c r="L49" s="222">
        <f>6477*1.35</f>
        <v>8743.9500000000007</v>
      </c>
      <c r="M49" s="222">
        <f>SUM(M40:M48)</f>
        <v>0</v>
      </c>
      <c r="N49" s="222">
        <f>IF(L49-M49&gt;0,L49-M49,)</f>
        <v>8743.9500000000007</v>
      </c>
      <c r="O49" s="222">
        <f>L49+I49+F49+C49</f>
        <v>28174.95</v>
      </c>
      <c r="P49" s="222">
        <f>M49+J49+G49+D49</f>
        <v>0</v>
      </c>
      <c r="Q49" s="222">
        <f>IF(O49-P49&gt;0,O49-P49,)</f>
        <v>28174.95</v>
      </c>
    </row>
    <row r="50" spans="1:17" ht="15" x14ac:dyDescent="0.4">
      <c r="A50" s="319" t="s">
        <v>241</v>
      </c>
      <c r="B50" s="322" t="s">
        <v>242</v>
      </c>
      <c r="C50" s="215" t="s">
        <v>234</v>
      </c>
      <c r="D50" s="216" t="s">
        <v>235</v>
      </c>
      <c r="E50" s="217"/>
      <c r="F50" s="215" t="s">
        <v>234</v>
      </c>
      <c r="G50" s="216" t="s">
        <v>235</v>
      </c>
      <c r="H50" s="217"/>
      <c r="I50" s="215" t="s">
        <v>234</v>
      </c>
      <c r="J50" s="216" t="s">
        <v>235</v>
      </c>
      <c r="K50" s="217"/>
      <c r="L50" s="215" t="s">
        <v>234</v>
      </c>
      <c r="M50" s="216" t="s">
        <v>235</v>
      </c>
      <c r="N50" s="217"/>
      <c r="O50" s="215"/>
      <c r="P50" s="216"/>
      <c r="Q50" s="217"/>
    </row>
    <row r="51" spans="1:17" x14ac:dyDescent="0.25">
      <c r="A51" s="320"/>
      <c r="B51" s="323"/>
      <c r="C51" s="41"/>
      <c r="D51" s="42"/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5">
      <c r="A52" s="320"/>
      <c r="B52" s="323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5">
      <c r="A53" s="320"/>
      <c r="B53" s="323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5">
      <c r="A54" s="320"/>
      <c r="B54" s="323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5">
      <c r="A55" s="320"/>
      <c r="B55" s="323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5">
      <c r="A56" s="320"/>
      <c r="B56" s="323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5">
      <c r="A57" s="320"/>
      <c r="B57" s="323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5">
      <c r="A58" s="320"/>
      <c r="B58" s="323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5" x14ac:dyDescent="0.4">
      <c r="A59" s="320"/>
      <c r="B59" s="323"/>
      <c r="C59" s="219" t="s">
        <v>236</v>
      </c>
      <c r="D59" s="220"/>
      <c r="E59" s="221" t="s">
        <v>19</v>
      </c>
      <c r="F59" s="219" t="s">
        <v>236</v>
      </c>
      <c r="G59" s="220"/>
      <c r="H59" s="221" t="s">
        <v>19</v>
      </c>
      <c r="I59" s="219" t="s">
        <v>236</v>
      </c>
      <c r="J59" s="220"/>
      <c r="K59" s="221" t="s">
        <v>19</v>
      </c>
      <c r="L59" s="219" t="s">
        <v>236</v>
      </c>
      <c r="M59" s="220"/>
      <c r="N59" s="221" t="s">
        <v>19</v>
      </c>
      <c r="O59" s="219" t="s">
        <v>236</v>
      </c>
      <c r="P59" s="220"/>
      <c r="Q59" s="221" t="s">
        <v>19</v>
      </c>
    </row>
    <row r="60" spans="1:17" x14ac:dyDescent="0.25">
      <c r="A60" s="321"/>
      <c r="B60" s="324"/>
      <c r="C60" s="222">
        <v>7712</v>
      </c>
      <c r="D60" s="222">
        <f>SUM(D51:D59)</f>
        <v>0</v>
      </c>
      <c r="E60" s="222">
        <f>IF(C60-D60&gt;0,C60-D60,)</f>
        <v>7712</v>
      </c>
      <c r="F60" s="222">
        <v>7712</v>
      </c>
      <c r="G60" s="222">
        <f>SUM(G51:G59)</f>
        <v>0</v>
      </c>
      <c r="H60" s="222">
        <f>IF(F60-G60&gt;0,F60-G60,)</f>
        <v>7712</v>
      </c>
      <c r="I60" s="222">
        <v>7712</v>
      </c>
      <c r="J60" s="222">
        <f>SUM(J51:J59)</f>
        <v>0</v>
      </c>
      <c r="K60" s="222">
        <f>IF(I60-J60&gt;0,I60-J60,)</f>
        <v>7712</v>
      </c>
      <c r="L60" s="222">
        <f>7712*1.35</f>
        <v>10411.200000000001</v>
      </c>
      <c r="M60" s="222">
        <f>SUM(M51:M59)</f>
        <v>0</v>
      </c>
      <c r="N60" s="222">
        <f>IF(L60-M60&gt;0,L60-M60,)</f>
        <v>10411.200000000001</v>
      </c>
      <c r="O60" s="222">
        <f>L60+I60+F60+C60</f>
        <v>33547.199999999997</v>
      </c>
      <c r="P60" s="222">
        <f>M60+J60+G60+D60</f>
        <v>0</v>
      </c>
      <c r="Q60" s="222">
        <f>IF(O60-P60&gt;0,O60-P60,)</f>
        <v>33547.199999999997</v>
      </c>
    </row>
    <row r="61" spans="1:17" ht="15" x14ac:dyDescent="0.4">
      <c r="A61" s="319"/>
      <c r="B61" s="322" t="s">
        <v>0</v>
      </c>
      <c r="C61" s="215" t="s">
        <v>234</v>
      </c>
      <c r="D61" s="216" t="s">
        <v>235</v>
      </c>
      <c r="E61" s="217"/>
      <c r="F61" s="215" t="s">
        <v>234</v>
      </c>
      <c r="G61" s="216" t="s">
        <v>235</v>
      </c>
      <c r="H61" s="217"/>
      <c r="I61" s="215" t="s">
        <v>234</v>
      </c>
      <c r="J61" s="216" t="s">
        <v>235</v>
      </c>
      <c r="K61" s="217"/>
      <c r="L61" s="215" t="s">
        <v>234</v>
      </c>
      <c r="M61" s="216" t="s">
        <v>235</v>
      </c>
      <c r="N61" s="217"/>
      <c r="O61" s="215"/>
      <c r="P61" s="216"/>
      <c r="Q61" s="217"/>
    </row>
    <row r="62" spans="1:17" x14ac:dyDescent="0.25">
      <c r="A62" s="320"/>
      <c r="B62" s="323"/>
      <c r="C62" s="41"/>
      <c r="D62" s="42"/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320"/>
      <c r="B63" s="323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320"/>
      <c r="B64" s="323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5">
      <c r="A65" s="320"/>
      <c r="B65" s="323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5">
      <c r="A66" s="320"/>
      <c r="B66" s="323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5">
      <c r="A67" s="320"/>
      <c r="B67" s="323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5">
      <c r="A68" s="320"/>
      <c r="B68" s="323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5">
      <c r="A69" s="320"/>
      <c r="B69" s="323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5" x14ac:dyDescent="0.4">
      <c r="A70" s="320"/>
      <c r="B70" s="323"/>
      <c r="C70" s="219" t="s">
        <v>236</v>
      </c>
      <c r="D70" s="220"/>
      <c r="E70" s="221" t="s">
        <v>19</v>
      </c>
      <c r="F70" s="219" t="s">
        <v>236</v>
      </c>
      <c r="G70" s="220"/>
      <c r="H70" s="221" t="s">
        <v>19</v>
      </c>
      <c r="I70" s="219" t="s">
        <v>236</v>
      </c>
      <c r="J70" s="220"/>
      <c r="K70" s="221" t="s">
        <v>19</v>
      </c>
      <c r="L70" s="219" t="s">
        <v>236</v>
      </c>
      <c r="M70" s="220"/>
      <c r="N70" s="221" t="s">
        <v>19</v>
      </c>
      <c r="O70" s="219" t="s">
        <v>236</v>
      </c>
      <c r="P70" s="220"/>
      <c r="Q70" s="221" t="s">
        <v>19</v>
      </c>
    </row>
    <row r="71" spans="1:17" x14ac:dyDescent="0.25">
      <c r="A71" s="321"/>
      <c r="B71" s="324"/>
      <c r="C71" s="222">
        <v>4656</v>
      </c>
      <c r="D71" s="222">
        <f>SUM(D62:D70)</f>
        <v>0</v>
      </c>
      <c r="E71" s="222">
        <f>IF(C71-D71&gt;0,C71-D71,)</f>
        <v>4656</v>
      </c>
      <c r="F71" s="222">
        <v>4656</v>
      </c>
      <c r="G71" s="222">
        <f>SUM(G62:G66)</f>
        <v>0</v>
      </c>
      <c r="H71" s="222">
        <f>IF(F71-G71&gt;0,F71-G71,)</f>
        <v>4656</v>
      </c>
      <c r="I71" s="222">
        <v>4656</v>
      </c>
      <c r="J71" s="222">
        <f>SUM(J62:J66)</f>
        <v>0</v>
      </c>
      <c r="K71" s="222">
        <f>IF(I71-J71&gt;0,I71-J71,)</f>
        <v>4656</v>
      </c>
      <c r="L71" s="222">
        <f>4656*1.35</f>
        <v>6285.6</v>
      </c>
      <c r="M71" s="222">
        <f>SUM(M62:M70)</f>
        <v>0</v>
      </c>
      <c r="N71" s="222">
        <f>IF(L71-M71&gt;0,L71-M71,)</f>
        <v>6285.6</v>
      </c>
      <c r="O71" s="222">
        <f>L71+I71+F71+C71</f>
        <v>20253.599999999999</v>
      </c>
      <c r="P71" s="222">
        <f>M71+J71+G71+D71</f>
        <v>0</v>
      </c>
      <c r="Q71" s="222">
        <f>IF(O71-P71&gt;0,O71-P71,)</f>
        <v>20253.599999999999</v>
      </c>
    </row>
    <row r="72" spans="1:17" ht="15" customHeight="1" x14ac:dyDescent="0.4">
      <c r="A72" s="319" t="s">
        <v>243</v>
      </c>
      <c r="B72" s="329" t="s">
        <v>244</v>
      </c>
      <c r="C72" s="215" t="s">
        <v>234</v>
      </c>
      <c r="D72" s="216" t="s">
        <v>235</v>
      </c>
      <c r="E72" s="217"/>
      <c r="F72" s="215" t="s">
        <v>234</v>
      </c>
      <c r="G72" s="216" t="s">
        <v>235</v>
      </c>
      <c r="H72" s="217"/>
      <c r="I72" s="215" t="s">
        <v>234</v>
      </c>
      <c r="J72" s="216" t="s">
        <v>235</v>
      </c>
      <c r="K72" s="217"/>
      <c r="L72" s="215" t="s">
        <v>234</v>
      </c>
      <c r="M72" s="216" t="s">
        <v>235</v>
      </c>
      <c r="N72" s="217"/>
      <c r="O72" s="215"/>
      <c r="P72" s="216"/>
      <c r="Q72" s="217"/>
    </row>
    <row r="73" spans="1:17" ht="15" customHeight="1" x14ac:dyDescent="0.4">
      <c r="A73" s="320"/>
      <c r="B73" s="330"/>
      <c r="C73" s="256" t="s">
        <v>176</v>
      </c>
      <c r="D73" s="258">
        <v>9300</v>
      </c>
      <c r="E73" s="281"/>
      <c r="F73" s="219"/>
      <c r="G73" s="220"/>
      <c r="H73" s="221"/>
      <c r="I73" s="219"/>
      <c r="J73" s="220"/>
      <c r="K73" s="221"/>
      <c r="L73" s="219"/>
      <c r="M73" s="220"/>
      <c r="N73" s="221"/>
      <c r="O73" s="219"/>
      <c r="P73" s="220"/>
      <c r="Q73" s="221"/>
    </row>
    <row r="74" spans="1:17" ht="15" customHeight="1" x14ac:dyDescent="0.4">
      <c r="A74" s="320"/>
      <c r="B74" s="330"/>
      <c r="C74" s="280"/>
      <c r="D74" s="257"/>
      <c r="E74" s="281"/>
      <c r="F74" s="219"/>
      <c r="G74" s="220"/>
      <c r="H74" s="221"/>
      <c r="I74" s="219"/>
      <c r="J74" s="220"/>
      <c r="K74" s="221"/>
      <c r="L74" s="219"/>
      <c r="M74" s="220"/>
      <c r="N74" s="221"/>
      <c r="O74" s="219"/>
      <c r="P74" s="220"/>
      <c r="Q74" s="221"/>
    </row>
    <row r="75" spans="1:17" x14ac:dyDescent="0.25">
      <c r="A75" s="320"/>
      <c r="B75" s="330"/>
      <c r="C75" s="41"/>
      <c r="D75" s="42"/>
      <c r="E75" s="43"/>
      <c r="F75" s="41"/>
      <c r="G75" s="42"/>
      <c r="H75" s="43"/>
      <c r="I75" s="41"/>
      <c r="J75" s="42"/>
      <c r="K75" s="43"/>
      <c r="L75" s="41"/>
      <c r="M75" s="42"/>
      <c r="N75" s="43"/>
      <c r="O75" s="41"/>
      <c r="P75" s="42"/>
      <c r="Q75" s="43"/>
    </row>
    <row r="76" spans="1:17" x14ac:dyDescent="0.25">
      <c r="A76" s="320"/>
      <c r="B76" s="330"/>
      <c r="C76" s="41"/>
      <c r="D76" s="42"/>
      <c r="E76" s="43"/>
      <c r="F76" s="41"/>
      <c r="G76" s="42"/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ht="15" x14ac:dyDescent="0.4">
      <c r="A77" s="320"/>
      <c r="B77" s="330"/>
      <c r="C77" s="219" t="s">
        <v>236</v>
      </c>
      <c r="D77" s="220"/>
      <c r="E77" s="221" t="s">
        <v>19</v>
      </c>
      <c r="F77" s="219" t="s">
        <v>236</v>
      </c>
      <c r="G77" s="220"/>
      <c r="H77" s="221" t="s">
        <v>19</v>
      </c>
      <c r="I77" s="219" t="s">
        <v>236</v>
      </c>
      <c r="J77" s="220"/>
      <c r="K77" s="221" t="s">
        <v>19</v>
      </c>
      <c r="L77" s="219" t="s">
        <v>236</v>
      </c>
      <c r="M77" s="220"/>
      <c r="N77" s="221" t="s">
        <v>19</v>
      </c>
      <c r="O77" s="219" t="s">
        <v>236</v>
      </c>
      <c r="P77" s="220"/>
      <c r="Q77" s="221" t="s">
        <v>19</v>
      </c>
    </row>
    <row r="78" spans="1:17" x14ac:dyDescent="0.25">
      <c r="A78" s="321"/>
      <c r="B78" s="331"/>
      <c r="C78" s="222">
        <v>12234</v>
      </c>
      <c r="D78" s="222">
        <f>SUM(D73:D77)</f>
        <v>9300</v>
      </c>
      <c r="E78" s="222">
        <f>IF(C78-D78&gt;0,C78-D78,)</f>
        <v>2934</v>
      </c>
      <c r="F78" s="222">
        <v>12235</v>
      </c>
      <c r="G78" s="222">
        <f>SUM(G75:G77)</f>
        <v>0</v>
      </c>
      <c r="H78" s="222">
        <f>IF(F78-G78&gt;0,F78-G78,)</f>
        <v>12235</v>
      </c>
      <c r="I78" s="222">
        <v>12236</v>
      </c>
      <c r="J78" s="222">
        <f>SUM(J75:J77)</f>
        <v>0</v>
      </c>
      <c r="K78" s="222">
        <f>IF(I78-J78&gt;0,I78-J78,)</f>
        <v>12236</v>
      </c>
      <c r="L78" s="222">
        <f>12234*1.35</f>
        <v>16515.900000000001</v>
      </c>
      <c r="M78" s="222">
        <f>SUM(M75:M77)</f>
        <v>0</v>
      </c>
      <c r="N78" s="222">
        <f>IF(L78-M78&gt;0,L78-M78,)</f>
        <v>16515.900000000001</v>
      </c>
      <c r="O78" s="222">
        <f>L78+I78+F78+C78</f>
        <v>53220.9</v>
      </c>
      <c r="P78" s="222">
        <f>M78+J78+G78+D78</f>
        <v>9300</v>
      </c>
      <c r="Q78" s="222">
        <f>IF(O78-P78&gt;0,O78-P78,)</f>
        <v>43920.9</v>
      </c>
    </row>
    <row r="79" spans="1:17" ht="15" x14ac:dyDescent="0.4">
      <c r="A79" s="319" t="s">
        <v>245</v>
      </c>
      <c r="B79" s="322" t="s">
        <v>246</v>
      </c>
      <c r="C79" s="215" t="s">
        <v>234</v>
      </c>
      <c r="D79" s="216" t="s">
        <v>235</v>
      </c>
      <c r="E79" s="217"/>
      <c r="F79" s="215" t="s">
        <v>234</v>
      </c>
      <c r="G79" s="216" t="s">
        <v>235</v>
      </c>
      <c r="H79" s="217"/>
      <c r="I79" s="215" t="s">
        <v>234</v>
      </c>
      <c r="J79" s="216" t="s">
        <v>235</v>
      </c>
      <c r="K79" s="217"/>
      <c r="L79" s="215" t="s">
        <v>234</v>
      </c>
      <c r="M79" s="216" t="s">
        <v>235</v>
      </c>
      <c r="N79" s="217"/>
      <c r="O79" s="215"/>
      <c r="P79" s="216"/>
      <c r="Q79" s="217"/>
    </row>
    <row r="80" spans="1:17" x14ac:dyDescent="0.25">
      <c r="A80" s="320"/>
      <c r="B80" s="323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x14ac:dyDescent="0.25">
      <c r="A81" s="320"/>
      <c r="B81" s="323"/>
      <c r="C81" s="41"/>
      <c r="D81" s="42"/>
      <c r="E81" s="43"/>
      <c r="F81" s="41"/>
      <c r="G81" s="42"/>
      <c r="H81" s="43"/>
      <c r="I81" s="41"/>
      <c r="J81" s="42"/>
      <c r="K81" s="43"/>
      <c r="L81" s="41"/>
      <c r="M81" s="42"/>
      <c r="N81" s="43"/>
      <c r="O81" s="41"/>
      <c r="P81" s="42"/>
      <c r="Q81" s="43"/>
    </row>
    <row r="82" spans="1:17" x14ac:dyDescent="0.25">
      <c r="A82" s="320"/>
      <c r="B82" s="323"/>
      <c r="C82" s="41"/>
      <c r="D82" s="42"/>
      <c r="E82" s="43"/>
      <c r="F82" s="41"/>
      <c r="G82" s="42"/>
      <c r="H82" s="43"/>
      <c r="I82" s="41"/>
      <c r="J82" s="42"/>
      <c r="K82" s="43"/>
      <c r="L82" s="41"/>
      <c r="M82" s="42"/>
      <c r="N82" s="43"/>
      <c r="O82" s="41"/>
      <c r="P82" s="42"/>
      <c r="Q82" s="43"/>
    </row>
    <row r="83" spans="1:17" x14ac:dyDescent="0.25">
      <c r="A83" s="320"/>
      <c r="B83" s="323"/>
      <c r="C83" s="41"/>
      <c r="D83" s="42"/>
      <c r="E83" s="43"/>
      <c r="F83" s="41"/>
      <c r="G83" s="42"/>
      <c r="H83" s="43"/>
      <c r="I83" s="41"/>
      <c r="J83" s="42"/>
      <c r="K83" s="43"/>
      <c r="L83" s="41"/>
      <c r="M83" s="42"/>
      <c r="N83" s="43"/>
      <c r="O83" s="41"/>
      <c r="P83" s="42"/>
      <c r="Q83" s="43"/>
    </row>
    <row r="84" spans="1:17" x14ac:dyDescent="0.25">
      <c r="A84" s="320"/>
      <c r="B84" s="323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5">
      <c r="A85" s="320"/>
      <c r="B85" s="323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5">
      <c r="A86" s="320"/>
      <c r="B86" s="323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5">
      <c r="A87" s="320"/>
      <c r="B87" s="323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ht="15" x14ac:dyDescent="0.4">
      <c r="A88" s="320"/>
      <c r="B88" s="323"/>
      <c r="C88" s="219" t="s">
        <v>236</v>
      </c>
      <c r="D88" s="220"/>
      <c r="E88" s="221" t="s">
        <v>19</v>
      </c>
      <c r="F88" s="219" t="s">
        <v>236</v>
      </c>
      <c r="G88" s="220"/>
      <c r="H88" s="221" t="s">
        <v>19</v>
      </c>
      <c r="I88" s="219" t="s">
        <v>236</v>
      </c>
      <c r="J88" s="220"/>
      <c r="K88" s="221" t="s">
        <v>19</v>
      </c>
      <c r="L88" s="219" t="s">
        <v>236</v>
      </c>
      <c r="M88" s="220"/>
      <c r="N88" s="221" t="s">
        <v>19</v>
      </c>
      <c r="O88" s="219" t="s">
        <v>236</v>
      </c>
      <c r="P88" s="220"/>
      <c r="Q88" s="221" t="s">
        <v>19</v>
      </c>
    </row>
    <row r="89" spans="1:17" x14ac:dyDescent="0.25">
      <c r="A89" s="321"/>
      <c r="B89" s="324"/>
      <c r="C89" s="222">
        <v>15385</v>
      </c>
      <c r="D89" s="222">
        <f>SUM(D80:D88)</f>
        <v>0</v>
      </c>
      <c r="E89" s="222">
        <f>IF(C89-D89&gt;0,C89-D89,)</f>
        <v>15385</v>
      </c>
      <c r="F89" s="222">
        <v>15390</v>
      </c>
      <c r="G89" s="222">
        <f>SUM(G80:G88)</f>
        <v>0</v>
      </c>
      <c r="H89" s="222">
        <f>IF(F89-G89&gt;0,F89-G89,)</f>
        <v>15390</v>
      </c>
      <c r="I89" s="222">
        <v>15390</v>
      </c>
      <c r="J89" s="222">
        <f>SUM(J80:J88)</f>
        <v>0</v>
      </c>
      <c r="K89" s="222">
        <f>IF(I89-J89&gt;0,I89-J89,)</f>
        <v>15390</v>
      </c>
      <c r="L89" s="222">
        <f>15379*1.35</f>
        <v>20761.650000000001</v>
      </c>
      <c r="M89" s="222">
        <f>SUM(M80:M88)</f>
        <v>0</v>
      </c>
      <c r="N89" s="222">
        <f>IF(L89-M89&gt;0,L89-M89,)</f>
        <v>20761.650000000001</v>
      </c>
      <c r="O89" s="222">
        <f>L89+I89+F89+C89</f>
        <v>66926.649999999994</v>
      </c>
      <c r="P89" s="222">
        <f>M89+J89+G89+D89</f>
        <v>0</v>
      </c>
      <c r="Q89" s="222">
        <f>IF(O89-P89&gt;0,O89-P89,)</f>
        <v>66926.649999999994</v>
      </c>
    </row>
    <row r="90" spans="1:17" ht="15" x14ac:dyDescent="0.4">
      <c r="A90" s="319" t="s">
        <v>247</v>
      </c>
      <c r="B90" s="322" t="s">
        <v>244</v>
      </c>
      <c r="C90" s="215" t="s">
        <v>234</v>
      </c>
      <c r="D90" s="216" t="s">
        <v>235</v>
      </c>
      <c r="E90" s="217"/>
      <c r="F90" s="215" t="s">
        <v>234</v>
      </c>
      <c r="G90" s="216" t="s">
        <v>235</v>
      </c>
      <c r="H90" s="217"/>
      <c r="I90" s="215" t="s">
        <v>234</v>
      </c>
      <c r="J90" s="216" t="s">
        <v>235</v>
      </c>
      <c r="K90" s="217"/>
      <c r="L90" s="215" t="s">
        <v>234</v>
      </c>
      <c r="M90" s="216" t="s">
        <v>235</v>
      </c>
      <c r="N90" s="217"/>
      <c r="O90" s="215"/>
      <c r="P90" s="216"/>
      <c r="Q90" s="217"/>
    </row>
    <row r="91" spans="1:17" x14ac:dyDescent="0.25">
      <c r="A91" s="320"/>
      <c r="B91" s="323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x14ac:dyDescent="0.25">
      <c r="A92" s="320"/>
      <c r="B92" s="323"/>
      <c r="C92" s="41"/>
      <c r="D92" s="42"/>
      <c r="E92" s="43"/>
      <c r="F92" s="41"/>
      <c r="G92" s="42"/>
      <c r="H92" s="43"/>
      <c r="I92" s="41"/>
      <c r="J92" s="42"/>
      <c r="K92" s="43"/>
      <c r="L92" s="41"/>
      <c r="M92" s="42"/>
      <c r="N92" s="43"/>
      <c r="O92" s="41"/>
      <c r="P92" s="42"/>
      <c r="Q92" s="43"/>
    </row>
    <row r="93" spans="1:17" x14ac:dyDescent="0.25">
      <c r="A93" s="320"/>
      <c r="B93" s="323"/>
      <c r="C93" s="41"/>
      <c r="D93" s="42"/>
      <c r="E93" s="43"/>
      <c r="F93" s="41"/>
      <c r="G93" s="42"/>
      <c r="H93" s="43"/>
      <c r="I93" s="41"/>
      <c r="J93" s="42"/>
      <c r="K93" s="43"/>
      <c r="L93" s="41"/>
      <c r="M93" s="42"/>
      <c r="N93" s="43"/>
      <c r="O93" s="41"/>
      <c r="P93" s="42"/>
      <c r="Q93" s="43"/>
    </row>
    <row r="94" spans="1:17" x14ac:dyDescent="0.25">
      <c r="A94" s="320"/>
      <c r="B94" s="323"/>
      <c r="C94" s="41"/>
      <c r="D94" s="42"/>
      <c r="E94" s="43"/>
      <c r="F94" s="41"/>
      <c r="G94" s="42"/>
      <c r="H94" s="43"/>
      <c r="I94" s="41"/>
      <c r="J94" s="42"/>
      <c r="K94" s="43"/>
      <c r="L94" s="41"/>
      <c r="M94" s="42"/>
      <c r="N94" s="43"/>
      <c r="O94" s="41"/>
      <c r="P94" s="42"/>
      <c r="Q94" s="43"/>
    </row>
    <row r="95" spans="1:17" x14ac:dyDescent="0.25">
      <c r="A95" s="320"/>
      <c r="B95" s="323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5">
      <c r="A96" s="320"/>
      <c r="B96" s="323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5">
      <c r="A97" s="320"/>
      <c r="B97" s="323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5">
      <c r="A98" s="320"/>
      <c r="B98" s="323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ht="15" x14ac:dyDescent="0.4">
      <c r="A99" s="320"/>
      <c r="B99" s="323"/>
      <c r="C99" s="219" t="s">
        <v>236</v>
      </c>
      <c r="D99" s="220"/>
      <c r="E99" s="221" t="s">
        <v>19</v>
      </c>
      <c r="F99" s="219" t="s">
        <v>236</v>
      </c>
      <c r="G99" s="220"/>
      <c r="H99" s="221" t="s">
        <v>19</v>
      </c>
      <c r="I99" s="219" t="s">
        <v>236</v>
      </c>
      <c r="J99" s="220"/>
      <c r="K99" s="221" t="s">
        <v>19</v>
      </c>
      <c r="L99" s="219" t="s">
        <v>236</v>
      </c>
      <c r="M99" s="220"/>
      <c r="N99" s="221" t="s">
        <v>19</v>
      </c>
      <c r="O99" s="219" t="s">
        <v>236</v>
      </c>
      <c r="P99" s="220"/>
      <c r="Q99" s="221" t="s">
        <v>19</v>
      </c>
    </row>
    <row r="100" spans="1:17" x14ac:dyDescent="0.25">
      <c r="A100" s="321"/>
      <c r="B100" s="324"/>
      <c r="C100" s="222">
        <v>16142</v>
      </c>
      <c r="D100" s="222">
        <f>SUM(D91:D99)</f>
        <v>0</v>
      </c>
      <c r="E100" s="222">
        <f>IF(C100-D100&gt;0,C100-D100,)</f>
        <v>16142</v>
      </c>
      <c r="F100" s="222">
        <v>10067</v>
      </c>
      <c r="G100" s="222">
        <f>SUM(G91:G99)</f>
        <v>0</v>
      </c>
      <c r="H100" s="222">
        <f>IF(F100-G100&gt;0,F100-G100,)</f>
        <v>10067</v>
      </c>
      <c r="I100" s="222">
        <v>11442</v>
      </c>
      <c r="J100" s="222">
        <f>SUM(J91:J99)</f>
        <v>0</v>
      </c>
      <c r="K100" s="222">
        <f>IF(I100-J100&gt;0,I100-J100,)</f>
        <v>11442</v>
      </c>
      <c r="L100" s="222">
        <f>10317*1.35</f>
        <v>13927.95</v>
      </c>
      <c r="M100" s="222">
        <f>SUM(M91:M99)</f>
        <v>0</v>
      </c>
      <c r="N100" s="222">
        <f>IF(L100-M100&gt;0,L100-M100,)</f>
        <v>13927.95</v>
      </c>
      <c r="O100" s="222">
        <f>L100+I100+F100+C100</f>
        <v>51578.95</v>
      </c>
      <c r="P100" s="222">
        <f>M100+J100+G100+D100</f>
        <v>0</v>
      </c>
      <c r="Q100" s="222">
        <f>IF(O100-P100&gt;0,O100-P100,)</f>
        <v>51578.95</v>
      </c>
    </row>
    <row r="101" spans="1:17" ht="15" x14ac:dyDescent="0.4">
      <c r="A101" s="319"/>
      <c r="B101" s="322" t="s">
        <v>248</v>
      </c>
      <c r="C101" s="215" t="s">
        <v>234</v>
      </c>
      <c r="D101" s="216" t="s">
        <v>235</v>
      </c>
      <c r="E101" s="217"/>
      <c r="F101" s="215" t="s">
        <v>234</v>
      </c>
      <c r="G101" s="216" t="s">
        <v>235</v>
      </c>
      <c r="H101" s="217"/>
      <c r="I101" s="215" t="s">
        <v>234</v>
      </c>
      <c r="J101" s="216" t="s">
        <v>235</v>
      </c>
      <c r="K101" s="217"/>
      <c r="L101" s="215" t="s">
        <v>234</v>
      </c>
      <c r="M101" s="216" t="s">
        <v>235</v>
      </c>
      <c r="N101" s="217"/>
      <c r="O101" s="215"/>
      <c r="P101" s="216"/>
      <c r="Q101" s="217"/>
    </row>
    <row r="102" spans="1:17" x14ac:dyDescent="0.25">
      <c r="A102" s="320"/>
      <c r="B102" s="323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x14ac:dyDescent="0.25">
      <c r="A103" s="320"/>
      <c r="B103" s="323"/>
      <c r="C103" s="41"/>
      <c r="D103" s="42"/>
      <c r="E103" s="43"/>
      <c r="F103" s="41"/>
      <c r="G103" s="42"/>
      <c r="H103" s="43"/>
      <c r="I103" s="41"/>
      <c r="J103" s="42"/>
      <c r="K103" s="43"/>
      <c r="L103" s="41"/>
      <c r="M103" s="42"/>
      <c r="N103" s="43"/>
      <c r="O103" s="41"/>
      <c r="P103" s="42"/>
      <c r="Q103" s="43"/>
    </row>
    <row r="104" spans="1:17" x14ac:dyDescent="0.25">
      <c r="A104" s="320"/>
      <c r="B104" s="323"/>
      <c r="C104" s="41"/>
      <c r="D104" s="42"/>
      <c r="E104" s="43"/>
      <c r="F104" s="41"/>
      <c r="G104" s="42"/>
      <c r="H104" s="43"/>
      <c r="I104" s="41"/>
      <c r="J104" s="42"/>
      <c r="K104" s="43"/>
      <c r="L104" s="41"/>
      <c r="M104" s="42"/>
      <c r="N104" s="43"/>
      <c r="O104" s="41"/>
      <c r="P104" s="42"/>
      <c r="Q104" s="43"/>
    </row>
    <row r="105" spans="1:17" x14ac:dyDescent="0.25">
      <c r="A105" s="320"/>
      <c r="B105" s="323"/>
      <c r="C105" s="41"/>
      <c r="D105" s="42"/>
      <c r="E105" s="43"/>
      <c r="F105" s="41"/>
      <c r="G105" s="42"/>
      <c r="H105" s="43"/>
      <c r="I105" s="41"/>
      <c r="J105" s="42"/>
      <c r="K105" s="43"/>
      <c r="L105" s="41"/>
      <c r="M105" s="42"/>
      <c r="N105" s="43"/>
      <c r="O105" s="41"/>
      <c r="P105" s="42"/>
      <c r="Q105" s="43"/>
    </row>
    <row r="106" spans="1:17" x14ac:dyDescent="0.25">
      <c r="A106" s="320"/>
      <c r="B106" s="323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5">
      <c r="A107" s="320"/>
      <c r="B107" s="323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5">
      <c r="A108" s="320"/>
      <c r="B108" s="323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5">
      <c r="A109" s="320"/>
      <c r="B109" s="323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ht="15" x14ac:dyDescent="0.4">
      <c r="A110" s="320"/>
      <c r="B110" s="323"/>
      <c r="C110" s="219" t="s">
        <v>236</v>
      </c>
      <c r="D110" s="220"/>
      <c r="E110" s="221" t="s">
        <v>19</v>
      </c>
      <c r="F110" s="219" t="s">
        <v>236</v>
      </c>
      <c r="G110" s="220"/>
      <c r="H110" s="221" t="s">
        <v>19</v>
      </c>
      <c r="I110" s="219" t="s">
        <v>236</v>
      </c>
      <c r="J110" s="220"/>
      <c r="K110" s="221" t="s">
        <v>19</v>
      </c>
      <c r="L110" s="219" t="s">
        <v>236</v>
      </c>
      <c r="M110" s="220"/>
      <c r="N110" s="221" t="s">
        <v>19</v>
      </c>
      <c r="O110" s="219" t="s">
        <v>236</v>
      </c>
      <c r="P110" s="220"/>
      <c r="Q110" s="221" t="s">
        <v>19</v>
      </c>
    </row>
    <row r="111" spans="1:17" x14ac:dyDescent="0.25">
      <c r="A111" s="321"/>
      <c r="B111" s="324"/>
      <c r="C111" s="222">
        <v>2430</v>
      </c>
      <c r="D111" s="222">
        <f>SUM(D102:D110)</f>
        <v>0</v>
      </c>
      <c r="E111" s="222">
        <f>IF(C111-D111&gt;0,C111-D111,)</f>
        <v>2430</v>
      </c>
      <c r="F111" s="222">
        <v>2430</v>
      </c>
      <c r="G111" s="222">
        <f>SUM(G102:G110)</f>
        <v>0</v>
      </c>
      <c r="H111" s="222">
        <f>IF(F111-G111&gt;0,F111-G111,)</f>
        <v>2430</v>
      </c>
      <c r="I111" s="222">
        <v>2430</v>
      </c>
      <c r="J111" s="222">
        <f>SUM(J102:J110)</f>
        <v>0</v>
      </c>
      <c r="K111" s="222">
        <f>IF(I111-J111&gt;0,I111-J111,)</f>
        <v>2430</v>
      </c>
      <c r="L111" s="222">
        <f>4999*1.35</f>
        <v>6748.6500000000005</v>
      </c>
      <c r="M111" s="222">
        <f>SUM(M102:M110)</f>
        <v>0</v>
      </c>
      <c r="N111" s="222">
        <f>IF(L111-M111&gt;0,L111-M111,)</f>
        <v>6748.6500000000005</v>
      </c>
      <c r="O111" s="222">
        <f>L111+I111+F111+C111</f>
        <v>14038.650000000001</v>
      </c>
      <c r="P111" s="222">
        <f>M111+J111+G111+D111</f>
        <v>0</v>
      </c>
      <c r="Q111" s="222">
        <f>IF(O111-P111&gt;0,O111-P111,)</f>
        <v>14038.650000000001</v>
      </c>
    </row>
    <row r="112" spans="1:17" ht="15" x14ac:dyDescent="0.4">
      <c r="A112" s="319" t="s">
        <v>118</v>
      </c>
      <c r="B112" s="322" t="s">
        <v>99</v>
      </c>
      <c r="C112" s="215" t="s">
        <v>234</v>
      </c>
      <c r="D112" s="216" t="s">
        <v>235</v>
      </c>
      <c r="E112" s="217"/>
      <c r="F112" s="215" t="s">
        <v>234</v>
      </c>
      <c r="G112" s="216" t="s">
        <v>235</v>
      </c>
      <c r="H112" s="217"/>
      <c r="I112" s="215" t="s">
        <v>234</v>
      </c>
      <c r="J112" s="216" t="s">
        <v>235</v>
      </c>
      <c r="K112" s="217"/>
      <c r="L112" s="215" t="s">
        <v>234</v>
      </c>
      <c r="M112" s="216" t="s">
        <v>235</v>
      </c>
      <c r="N112" s="217"/>
      <c r="O112" s="215"/>
      <c r="P112" s="216"/>
      <c r="Q112" s="217"/>
    </row>
    <row r="113" spans="1:17" x14ac:dyDescent="0.25">
      <c r="A113" s="320"/>
      <c r="B113" s="323"/>
      <c r="C113" s="27" t="s">
        <v>217</v>
      </c>
      <c r="D113" s="44">
        <v>142</v>
      </c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x14ac:dyDescent="0.25">
      <c r="A114" s="320"/>
      <c r="B114" s="323"/>
      <c r="C114" s="27" t="s">
        <v>219</v>
      </c>
      <c r="D114" s="44">
        <v>165</v>
      </c>
      <c r="E114" s="43"/>
      <c r="F114" s="41"/>
      <c r="G114" s="42"/>
      <c r="H114" s="43"/>
      <c r="I114" s="41"/>
      <c r="J114" s="42"/>
      <c r="K114" s="43"/>
      <c r="L114" s="41"/>
      <c r="M114" s="42"/>
      <c r="N114" s="43"/>
      <c r="O114" s="41"/>
      <c r="P114" s="42"/>
      <c r="Q114" s="43"/>
    </row>
    <row r="115" spans="1:17" x14ac:dyDescent="0.25">
      <c r="A115" s="320"/>
      <c r="B115" s="323"/>
      <c r="C115" s="27" t="s">
        <v>260</v>
      </c>
      <c r="D115" s="44">
        <v>414</v>
      </c>
      <c r="E115" s="43"/>
      <c r="F115" s="41"/>
      <c r="G115" s="42"/>
      <c r="H115" s="43"/>
      <c r="I115" s="41"/>
      <c r="J115" s="42"/>
      <c r="K115" s="43"/>
      <c r="L115" s="41"/>
      <c r="M115" s="42"/>
      <c r="N115" s="43"/>
      <c r="O115" s="41"/>
      <c r="P115" s="42"/>
      <c r="Q115" s="43"/>
    </row>
    <row r="116" spans="1:17" x14ac:dyDescent="0.25">
      <c r="A116" s="320"/>
      <c r="B116" s="323"/>
      <c r="C116" s="27" t="s">
        <v>220</v>
      </c>
      <c r="D116" s="44">
        <v>64</v>
      </c>
      <c r="E116" s="43"/>
      <c r="F116" s="41"/>
      <c r="G116" s="42"/>
      <c r="H116" s="43"/>
      <c r="I116" s="41"/>
      <c r="J116" s="42"/>
      <c r="K116" s="43"/>
      <c r="L116" s="41"/>
      <c r="M116" s="42"/>
      <c r="N116" s="43"/>
      <c r="O116" s="41"/>
      <c r="P116" s="42"/>
      <c r="Q116" s="43"/>
    </row>
    <row r="117" spans="1:17" x14ac:dyDescent="0.25">
      <c r="A117" s="320"/>
      <c r="B117" s="323"/>
      <c r="C117" s="41"/>
      <c r="D117" s="42"/>
      <c r="E117" s="43"/>
      <c r="F117" s="41"/>
      <c r="G117" s="42"/>
      <c r="H117" s="43"/>
      <c r="I117" s="41"/>
      <c r="J117" s="42"/>
      <c r="K117" s="43"/>
      <c r="L117" s="41"/>
      <c r="M117" s="42"/>
      <c r="N117" s="43"/>
      <c r="O117" s="41"/>
      <c r="P117" s="42"/>
      <c r="Q117" s="43"/>
    </row>
    <row r="118" spans="1:17" x14ac:dyDescent="0.25">
      <c r="A118" s="320"/>
      <c r="B118" s="323"/>
      <c r="C118" s="41"/>
      <c r="D118" s="42"/>
      <c r="E118" s="43"/>
      <c r="F118" s="41"/>
      <c r="G118" s="42"/>
      <c r="H118" s="43"/>
      <c r="I118" s="41"/>
      <c r="J118" s="42"/>
      <c r="K118" s="43"/>
      <c r="L118" s="41"/>
      <c r="M118" s="42"/>
      <c r="N118" s="43"/>
      <c r="O118" s="41"/>
      <c r="P118" s="42"/>
      <c r="Q118" s="43"/>
    </row>
    <row r="119" spans="1:17" x14ac:dyDescent="0.25">
      <c r="A119" s="320"/>
      <c r="B119" s="323"/>
      <c r="C119" s="41"/>
      <c r="D119" s="42"/>
      <c r="E119" s="43"/>
      <c r="F119" s="41"/>
      <c r="G119" s="42"/>
      <c r="H119" s="43"/>
      <c r="I119" s="41"/>
      <c r="J119" s="42"/>
      <c r="K119" s="43"/>
      <c r="L119" s="41"/>
      <c r="M119" s="42"/>
      <c r="N119" s="43"/>
      <c r="O119" s="41"/>
      <c r="P119" s="42"/>
      <c r="Q119" s="43"/>
    </row>
    <row r="120" spans="1:17" x14ac:dyDescent="0.25">
      <c r="A120" s="320"/>
      <c r="B120" s="323"/>
      <c r="C120" s="41"/>
      <c r="D120" s="42"/>
      <c r="E120" s="43"/>
      <c r="F120" s="41"/>
      <c r="G120" s="42"/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ht="15" x14ac:dyDescent="0.4">
      <c r="A121" s="320"/>
      <c r="B121" s="323"/>
      <c r="C121" s="219" t="s">
        <v>236</v>
      </c>
      <c r="D121" s="220"/>
      <c r="E121" s="221" t="s">
        <v>19</v>
      </c>
      <c r="F121" s="219" t="s">
        <v>236</v>
      </c>
      <c r="G121" s="220"/>
      <c r="H121" s="221" t="s">
        <v>19</v>
      </c>
      <c r="I121" s="219" t="s">
        <v>236</v>
      </c>
      <c r="J121" s="220"/>
      <c r="K121" s="221" t="s">
        <v>19</v>
      </c>
      <c r="L121" s="219" t="s">
        <v>236</v>
      </c>
      <c r="M121" s="220"/>
      <c r="N121" s="221" t="s">
        <v>19</v>
      </c>
      <c r="O121" s="219" t="s">
        <v>236</v>
      </c>
      <c r="P121" s="220"/>
      <c r="Q121" s="221" t="s">
        <v>19</v>
      </c>
    </row>
    <row r="122" spans="1:17" x14ac:dyDescent="0.25">
      <c r="A122" s="321"/>
      <c r="B122" s="324"/>
      <c r="C122" s="222">
        <v>30471</v>
      </c>
      <c r="D122" s="222">
        <f>SUM(D113:D121)</f>
        <v>785</v>
      </c>
      <c r="E122" s="222">
        <f>IF(C122-D122&gt;0,C122-D122,)</f>
        <v>29686</v>
      </c>
      <c r="F122" s="222">
        <v>32227</v>
      </c>
      <c r="G122" s="222">
        <f>SUM(G113:G121)</f>
        <v>0</v>
      </c>
      <c r="H122" s="222">
        <f>IF(F122-G122&gt;0,F122-G122,)</f>
        <v>32227</v>
      </c>
      <c r="I122" s="222">
        <v>33006</v>
      </c>
      <c r="J122" s="222">
        <f>SUM(J113:J121)</f>
        <v>0</v>
      </c>
      <c r="K122" s="222">
        <f>IF(I122-J122&gt;0,I122-J122,)</f>
        <v>33006</v>
      </c>
      <c r="L122" s="222">
        <v>40262</v>
      </c>
      <c r="M122" s="222">
        <f>SUM(M113:M121)</f>
        <v>0</v>
      </c>
      <c r="N122" s="222">
        <f>IF(L122-M122&gt;0,L122-M122,)</f>
        <v>40262</v>
      </c>
      <c r="O122" s="222">
        <f>L122+I122+F122+C122</f>
        <v>135966</v>
      </c>
      <c r="P122" s="222">
        <f>M122+J122+G122+D122</f>
        <v>785</v>
      </c>
      <c r="Q122" s="222">
        <f>IF(O122-P122&gt;0,O122-P122,)</f>
        <v>135181</v>
      </c>
    </row>
    <row r="123" spans="1:17" ht="15" x14ac:dyDescent="0.4">
      <c r="A123" s="319"/>
      <c r="B123" s="322" t="s">
        <v>5</v>
      </c>
      <c r="C123" s="215" t="s">
        <v>234</v>
      </c>
      <c r="D123" s="216" t="s">
        <v>235</v>
      </c>
      <c r="E123" s="217"/>
      <c r="F123" s="215" t="s">
        <v>234</v>
      </c>
      <c r="G123" s="216" t="s">
        <v>235</v>
      </c>
      <c r="H123" s="217"/>
      <c r="I123" s="215" t="s">
        <v>234</v>
      </c>
      <c r="J123" s="216" t="s">
        <v>235</v>
      </c>
      <c r="K123" s="217"/>
      <c r="L123" s="215" t="s">
        <v>234</v>
      </c>
      <c r="M123" s="216" t="s">
        <v>235</v>
      </c>
      <c r="N123" s="217"/>
      <c r="O123" s="215"/>
      <c r="P123" s="216"/>
      <c r="Q123" s="217"/>
    </row>
    <row r="124" spans="1:17" x14ac:dyDescent="0.25">
      <c r="A124" s="320"/>
      <c r="B124" s="323"/>
      <c r="C124" s="41"/>
      <c r="D124" s="42"/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320"/>
      <c r="B125" s="323"/>
      <c r="C125" s="41"/>
      <c r="D125" s="42"/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320"/>
      <c r="B126" s="323"/>
      <c r="C126" s="41"/>
      <c r="D126" s="42"/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320"/>
      <c r="B127" s="323"/>
      <c r="C127" s="41"/>
      <c r="D127" s="42"/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320"/>
      <c r="B128" s="323"/>
      <c r="C128" s="41"/>
      <c r="D128" s="42"/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5">
      <c r="A129" s="320"/>
      <c r="B129" s="323"/>
      <c r="C129" s="41"/>
      <c r="D129" s="42"/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5">
      <c r="A130" s="320"/>
      <c r="B130" s="323"/>
      <c r="C130" s="41"/>
      <c r="D130" s="42"/>
      <c r="E130" s="43"/>
      <c r="F130" s="41"/>
      <c r="G130" s="42"/>
      <c r="H130" s="43"/>
      <c r="I130" s="41"/>
      <c r="J130" s="42"/>
      <c r="K130" s="43"/>
      <c r="L130" s="41"/>
      <c r="M130" s="42"/>
      <c r="N130" s="43"/>
      <c r="O130" s="41"/>
      <c r="P130" s="42"/>
      <c r="Q130" s="43"/>
    </row>
    <row r="131" spans="1:17" x14ac:dyDescent="0.25">
      <c r="A131" s="320"/>
      <c r="B131" s="323"/>
      <c r="C131" s="41"/>
      <c r="D131" s="42"/>
      <c r="E131" s="43"/>
      <c r="F131" s="41"/>
      <c r="G131" s="42"/>
      <c r="H131" s="43"/>
      <c r="I131" s="41"/>
      <c r="J131" s="42"/>
      <c r="K131" s="43"/>
      <c r="L131" s="41"/>
      <c r="M131" s="42"/>
      <c r="N131" s="43"/>
      <c r="O131" s="41"/>
      <c r="P131" s="42"/>
      <c r="Q131" s="43"/>
    </row>
    <row r="132" spans="1:17" ht="15" x14ac:dyDescent="0.4">
      <c r="A132" s="320"/>
      <c r="B132" s="323"/>
      <c r="C132" s="219" t="s">
        <v>236</v>
      </c>
      <c r="D132" s="220"/>
      <c r="E132" s="221" t="s">
        <v>19</v>
      </c>
      <c r="F132" s="219" t="s">
        <v>236</v>
      </c>
      <c r="G132" s="220"/>
      <c r="H132" s="221" t="s">
        <v>19</v>
      </c>
      <c r="I132" s="219" t="s">
        <v>236</v>
      </c>
      <c r="J132" s="220"/>
      <c r="K132" s="221" t="s">
        <v>19</v>
      </c>
      <c r="L132" s="219" t="s">
        <v>236</v>
      </c>
      <c r="M132" s="220"/>
      <c r="N132" s="221" t="s">
        <v>19</v>
      </c>
      <c r="O132" s="219" t="s">
        <v>236</v>
      </c>
      <c r="P132" s="220"/>
      <c r="Q132" s="221" t="s">
        <v>19</v>
      </c>
    </row>
    <row r="133" spans="1:17" x14ac:dyDescent="0.25">
      <c r="A133" s="321"/>
      <c r="B133" s="324"/>
      <c r="C133" s="222">
        <v>12747</v>
      </c>
      <c r="D133" s="222">
        <f>SUM(D124:D132)</f>
        <v>0</v>
      </c>
      <c r="E133" s="222">
        <f>IF(C133-D133&gt;0,C133-D133,)</f>
        <v>12747</v>
      </c>
      <c r="F133" s="222">
        <v>12747</v>
      </c>
      <c r="G133" s="222">
        <f>SUM(G124:G132)</f>
        <v>0</v>
      </c>
      <c r="H133" s="222">
        <f>IF(F133-G133&gt;0,F133-G133,)</f>
        <v>12747</v>
      </c>
      <c r="I133" s="222">
        <v>12747</v>
      </c>
      <c r="J133" s="222">
        <f>SUM(J124:J132)</f>
        <v>0</v>
      </c>
      <c r="K133" s="222">
        <f>IF(I133-J133&gt;0,I133-J133,)</f>
        <v>12747</v>
      </c>
      <c r="L133" s="222">
        <v>20493</v>
      </c>
      <c r="M133" s="222">
        <f>SUM(M124:M132)</f>
        <v>0</v>
      </c>
      <c r="N133" s="222">
        <f>IF(L133-M133&gt;0,L133-M133,)</f>
        <v>20493</v>
      </c>
      <c r="O133" s="222">
        <f>L133+I133+F133+C133</f>
        <v>58734</v>
      </c>
      <c r="P133" s="222">
        <f>M133+J133+G133+D133</f>
        <v>0</v>
      </c>
      <c r="Q133" s="222">
        <f>IF(O133-P133&gt;0,O133-P133,)</f>
        <v>58734</v>
      </c>
    </row>
    <row r="134" spans="1:17" ht="15" x14ac:dyDescent="0.4">
      <c r="A134" s="319"/>
      <c r="B134" s="322" t="s">
        <v>114</v>
      </c>
      <c r="C134" s="215" t="s">
        <v>234</v>
      </c>
      <c r="D134" s="216" t="s">
        <v>235</v>
      </c>
      <c r="E134" s="217"/>
      <c r="F134" s="215" t="s">
        <v>234</v>
      </c>
      <c r="G134" s="216" t="s">
        <v>235</v>
      </c>
      <c r="H134" s="217"/>
      <c r="I134" s="215" t="s">
        <v>234</v>
      </c>
      <c r="J134" s="216" t="s">
        <v>235</v>
      </c>
      <c r="K134" s="217"/>
      <c r="L134" s="215" t="s">
        <v>234</v>
      </c>
      <c r="M134" s="216" t="s">
        <v>235</v>
      </c>
      <c r="N134" s="217"/>
      <c r="O134" s="215"/>
      <c r="P134" s="216"/>
      <c r="Q134" s="217"/>
    </row>
    <row r="135" spans="1:17" x14ac:dyDescent="0.25">
      <c r="A135" s="320"/>
      <c r="B135" s="323"/>
      <c r="C135" s="41" t="s">
        <v>259</v>
      </c>
      <c r="D135" s="42">
        <v>1365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5">
      <c r="A136" s="320"/>
      <c r="B136" s="323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320"/>
      <c r="B137" s="323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320"/>
      <c r="B138" s="323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320"/>
      <c r="B139" s="323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5">
      <c r="A140" s="320"/>
      <c r="B140" s="323"/>
      <c r="C140" s="41"/>
      <c r="D140" s="42"/>
      <c r="E140" s="43"/>
      <c r="F140" s="41"/>
      <c r="G140" s="42"/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5">
      <c r="A141" s="320"/>
      <c r="B141" s="323"/>
      <c r="C141" s="41"/>
      <c r="D141" s="42"/>
      <c r="E141" s="43"/>
      <c r="F141" s="41"/>
      <c r="G141" s="42"/>
      <c r="H141" s="43"/>
      <c r="I141" s="41"/>
      <c r="J141" s="42"/>
      <c r="K141" s="43"/>
      <c r="L141" s="41"/>
      <c r="M141" s="42"/>
      <c r="N141" s="43"/>
      <c r="O141" s="41"/>
      <c r="P141" s="42"/>
      <c r="Q141" s="43"/>
    </row>
    <row r="142" spans="1:17" x14ac:dyDescent="0.25">
      <c r="A142" s="320"/>
      <c r="B142" s="323"/>
      <c r="C142" s="41"/>
      <c r="D142" s="42"/>
      <c r="E142" s="43"/>
      <c r="F142" s="41"/>
      <c r="G142" s="42"/>
      <c r="H142" s="43"/>
      <c r="I142" s="41"/>
      <c r="J142" s="42"/>
      <c r="K142" s="43"/>
      <c r="L142" s="41"/>
      <c r="M142" s="42"/>
      <c r="N142" s="43"/>
      <c r="O142" s="41"/>
      <c r="P142" s="42"/>
      <c r="Q142" s="43"/>
    </row>
    <row r="143" spans="1:17" ht="15" x14ac:dyDescent="0.4">
      <c r="A143" s="320"/>
      <c r="B143" s="323"/>
      <c r="C143" s="219" t="s">
        <v>236</v>
      </c>
      <c r="D143" s="220"/>
      <c r="E143" s="221" t="s">
        <v>19</v>
      </c>
      <c r="F143" s="219" t="s">
        <v>236</v>
      </c>
      <c r="G143" s="220"/>
      <c r="H143" s="221" t="s">
        <v>19</v>
      </c>
      <c r="I143" s="219" t="s">
        <v>236</v>
      </c>
      <c r="J143" s="220"/>
      <c r="K143" s="221" t="s">
        <v>19</v>
      </c>
      <c r="L143" s="219" t="s">
        <v>236</v>
      </c>
      <c r="M143" s="220"/>
      <c r="N143" s="221" t="s">
        <v>19</v>
      </c>
      <c r="O143" s="219" t="s">
        <v>236</v>
      </c>
      <c r="P143" s="220"/>
      <c r="Q143" s="221" t="s">
        <v>19</v>
      </c>
    </row>
    <row r="144" spans="1:17" x14ac:dyDescent="0.25">
      <c r="A144" s="321"/>
      <c r="B144" s="324"/>
      <c r="C144" s="222">
        <v>23112</v>
      </c>
      <c r="D144" s="222">
        <f>SUM(D135:D143)</f>
        <v>1365</v>
      </c>
      <c r="E144" s="222">
        <f>IF(C144-D144&gt;0,C144-D144,)</f>
        <v>21747</v>
      </c>
      <c r="F144" s="222">
        <v>23112</v>
      </c>
      <c r="G144" s="222">
        <f>SUM(G135:G143)</f>
        <v>0</v>
      </c>
      <c r="H144" s="222">
        <f>IF(F144-G144&gt;0,F144-G144,)</f>
        <v>23112</v>
      </c>
      <c r="I144" s="222">
        <v>23112</v>
      </c>
      <c r="J144" s="222">
        <f>SUM(J135:J143)</f>
        <v>0</v>
      </c>
      <c r="K144" s="222">
        <f>IF(I144-J144&gt;0,I144-J144,)</f>
        <v>23112</v>
      </c>
      <c r="L144" s="222">
        <f>23112*1.35</f>
        <v>31201.200000000001</v>
      </c>
      <c r="M144" s="222">
        <f>SUM(M135:M143)</f>
        <v>0</v>
      </c>
      <c r="N144" s="222">
        <f>IF(L144-M144&gt;0,L144-M144,)</f>
        <v>31201.200000000001</v>
      </c>
      <c r="O144" s="222">
        <f>L144+I144+F144+C144</f>
        <v>100537.2</v>
      </c>
      <c r="P144" s="222">
        <f>M144+J144+G144+D144</f>
        <v>1365</v>
      </c>
      <c r="Q144" s="222">
        <f>IF(O144-P144&gt;0,O144-P144,)</f>
        <v>99172.2</v>
      </c>
    </row>
    <row r="145" spans="1:17" s="225" customFormat="1" ht="6.75" customHeight="1" x14ac:dyDescent="0.4">
      <c r="A145" s="223"/>
      <c r="B145" s="223"/>
      <c r="C145" s="220"/>
      <c r="D145" s="220"/>
      <c r="E145" s="224"/>
      <c r="F145" s="220"/>
      <c r="G145" s="220"/>
      <c r="H145" s="220"/>
      <c r="I145" s="224"/>
      <c r="J145" s="224"/>
      <c r="K145" s="224"/>
      <c r="L145" s="220"/>
      <c r="M145" s="220"/>
      <c r="N145" s="220"/>
      <c r="O145" s="224"/>
      <c r="P145" s="224"/>
      <c r="Q145" s="224"/>
    </row>
    <row r="146" spans="1:17" x14ac:dyDescent="0.25">
      <c r="A146" s="226"/>
      <c r="B146" s="218"/>
      <c r="C146" s="222">
        <f>C144+C133+C122+C111+C100+C89+C78+C71+C60+C49+C38+C27+C16</f>
        <v>187955</v>
      </c>
      <c r="D146" s="222">
        <f>D144+D133+D122+D111+D100+D89+D78+D71+D60+D49+D38+D27+D16</f>
        <v>11786</v>
      </c>
      <c r="E146" s="222">
        <f>IF(C146-D146&gt;0,C146-D146,)</f>
        <v>176169</v>
      </c>
      <c r="F146" s="222">
        <f>F144+F133+F122+F111+F100+F89+F78+F71+F60+F49+F38+F27+F16</f>
        <v>194070</v>
      </c>
      <c r="G146" s="222">
        <f>G144+G133+G122+G111+G100+G89+G78+G71+G60+G49+G38+G27+G16</f>
        <v>0</v>
      </c>
      <c r="H146" s="222">
        <f>IF(F146-G146&gt;0,F146-G146,)</f>
        <v>194070</v>
      </c>
      <c r="I146" s="222">
        <f>I144+I133+I122+I111+I100+I89+I78+I71+I60+I49+I38+I27+I16</f>
        <v>223144</v>
      </c>
      <c r="J146" s="222">
        <f>J144+J133+J122+J111+J100+J89+J78+J71+J60+J49+J38+J27+J16</f>
        <v>0</v>
      </c>
      <c r="K146" s="222">
        <f>IF(I146-J146&gt;0,I146-J146,)</f>
        <v>223144</v>
      </c>
      <c r="L146" s="222">
        <f>L144+L133+L122+L111+L100+L89+L78+L71+L60+L49+L38+L27+L16</f>
        <v>235208.75</v>
      </c>
      <c r="M146" s="222">
        <f>M144+M133+M122+M111+M100+M89+M78+M71+M60+M49+M38+M27+M16</f>
        <v>0</v>
      </c>
      <c r="N146" s="222">
        <f>IF(L146-M146&gt;0,L146-M146,)</f>
        <v>235208.75</v>
      </c>
      <c r="O146" s="222">
        <f>L146+I146+F146+C146</f>
        <v>840377.75</v>
      </c>
      <c r="P146" s="222">
        <f>M146+J146+G146+D146</f>
        <v>11786</v>
      </c>
      <c r="Q146" s="222">
        <f>IF(O146-P146&gt;0,O146-P146,)</f>
        <v>828591.75</v>
      </c>
    </row>
  </sheetData>
  <mergeCells count="32">
    <mergeCell ref="O5:Q5"/>
    <mergeCell ref="L3:Q3"/>
    <mergeCell ref="B72:B78"/>
    <mergeCell ref="A72:A78"/>
    <mergeCell ref="C5:E5"/>
    <mergeCell ref="F5:H5"/>
    <mergeCell ref="I5:K5"/>
    <mergeCell ref="L5:N5"/>
    <mergeCell ref="A6:A16"/>
    <mergeCell ref="B6:B16"/>
    <mergeCell ref="A39:A49"/>
    <mergeCell ref="B39:B49"/>
    <mergeCell ref="A50:A60"/>
    <mergeCell ref="B50:B60"/>
    <mergeCell ref="A17:A27"/>
    <mergeCell ref="B17:B27"/>
    <mergeCell ref="A28:A38"/>
    <mergeCell ref="B28:B38"/>
    <mergeCell ref="A61:A71"/>
    <mergeCell ref="B61:B71"/>
    <mergeCell ref="B101:B111"/>
    <mergeCell ref="A79:A89"/>
    <mergeCell ref="B79:B89"/>
    <mergeCell ref="A90:A100"/>
    <mergeCell ref="B90:B100"/>
    <mergeCell ref="A101:A111"/>
    <mergeCell ref="A134:A144"/>
    <mergeCell ref="B134:B144"/>
    <mergeCell ref="A112:A122"/>
    <mergeCell ref="B112:B122"/>
    <mergeCell ref="A123:A133"/>
    <mergeCell ref="B123:B133"/>
  </mergeCells>
  <pageMargins left="0.33" right="0.55000000000000004" top="0.48" bottom="0.5" header="0.5" footer="0.5"/>
  <pageSetup scale="66" fitToHeight="2" orientation="portrait" r:id="rId1"/>
  <headerFooter alignWithMargins="0"/>
  <rowBreaks count="1" manualBreakCount="1">
    <brk id="7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1"/>
  <sheetViews>
    <sheetView topLeftCell="B27" workbookViewId="0">
      <selection activeCell="C33" sqref="C33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8" t="s">
        <v>17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262</v>
      </c>
    </row>
    <row r="3" spans="1:37" ht="15" x14ac:dyDescent="0.25">
      <c r="A3" s="24">
        <v>36678</v>
      </c>
      <c r="B3" s="339" t="s">
        <v>163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 x14ac:dyDescent="0.2">
      <c r="A4" s="23" t="s">
        <v>47</v>
      </c>
      <c r="B4" s="340" t="str">
        <f>'Old Mgmt Summary'!A3</f>
        <v>Results based on Activity through April 14, 2000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 x14ac:dyDescent="0.2"/>
    <row r="6" spans="1:37" x14ac:dyDescent="0.2">
      <c r="A6" s="23" t="s">
        <v>125</v>
      </c>
      <c r="B6" s="6"/>
      <c r="D6" s="335" t="s">
        <v>51</v>
      </c>
      <c r="E6" s="336"/>
      <c r="F6" s="337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32" t="s">
        <v>70</v>
      </c>
      <c r="I7" s="333"/>
      <c r="J7" s="333"/>
      <c r="K7" s="3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257</v>
      </c>
      <c r="B9" s="7" t="s">
        <v>3</v>
      </c>
      <c r="D9" s="62" t="e">
        <f ca="1">E9</f>
        <v>#NAME?</v>
      </c>
      <c r="E9" s="63" t="e">
        <f ca="1">ROUND(_xll.HPVAL($A9,$A$1,$A$2,$A$3,$A$4,$A$6)/1000,0)</f>
        <v>#NAME?</v>
      </c>
      <c r="F9" s="122" t="e">
        <f ca="1">E9-D9</f>
        <v>#NAME?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 t="e">
        <f t="shared" ref="D10:D16" ca="1" si="0">E10</f>
        <v>#NAME?</v>
      </c>
      <c r="E10" s="12" t="e">
        <f ca="1">ROUND(_xll.HPVAL($A10,$A$1,$A$2,$A$3,$A$4,$A$6)/1000,0)</f>
        <v>#NAME?</v>
      </c>
      <c r="F10" s="123" t="e">
        <f t="shared" ref="F10:F17" ca="1" si="1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 t="e">
        <f t="shared" ca="1" si="0"/>
        <v>#NAME?</v>
      </c>
      <c r="E11" s="12" t="e">
        <f ca="1">ROUND(_xll.HPVAL($A11,$A$1,$A$2,$A$3,$A$4,$A$6)*0.8577/1000,0)</f>
        <v>#NAME?</v>
      </c>
      <c r="F11" s="123" t="e">
        <f t="shared" ca="1" si="1"/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 t="e">
        <f t="shared" ca="1" si="0"/>
        <v>#NAME?</v>
      </c>
      <c r="E12" s="12" t="e">
        <f ca="1">ROUND(_xll.HPVAL($A12,$A$1,$A$2,$A$3,$A$4,$A$6)/1000,0)-E11</f>
        <v>#NAME?</v>
      </c>
      <c r="F12" s="123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43</v>
      </c>
      <c r="B13" s="7" t="s">
        <v>114</v>
      </c>
      <c r="C13" s="72"/>
      <c r="D13" s="20" t="e">
        <f t="shared" ca="1" si="0"/>
        <v>#NAME?</v>
      </c>
      <c r="E13" s="12" t="e">
        <f ca="1">ROUND(_xll.HPVAL($A13,$A$1,$A$2,$A$3,$A$4,$A$6)/1000,0)</f>
        <v>#NAME?</v>
      </c>
      <c r="F13" s="123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 t="e">
        <f t="shared" ca="1" si="0"/>
        <v>#NAME?</v>
      </c>
      <c r="E14" s="12" t="e">
        <f ca="1">ROUND(_xll.HPVAL($A14,$A$1,$A$2,$A$3,$A$4,$A$6)/1000,0)</f>
        <v>#NAME?</v>
      </c>
      <c r="F14" s="123" t="e">
        <f t="shared" ca="1" si="1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155</v>
      </c>
      <c r="D15" s="20" t="e">
        <f t="shared" ca="1" si="0"/>
        <v>#NAME?</v>
      </c>
      <c r="E15" s="12" t="e">
        <f ca="1">ROUND(_xll.HPVAL($A15,$A$1,$A$2,$A$3,$A$4,$A$6)/1000,0)</f>
        <v>#NAME?</v>
      </c>
      <c r="F15" s="123" t="e">
        <f t="shared" ca="1" si="1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 t="e">
        <f t="shared" ca="1" si="0"/>
        <v>#NAME?</v>
      </c>
      <c r="E16" s="12" t="e">
        <f ca="1">ROUND(_xll.HPVAL($A16,$A$1,$A$2,$A$3,$A$4,$A$6)/1000,0)</f>
        <v>#NAME?</v>
      </c>
      <c r="F16" s="123" t="e">
        <f t="shared" ca="1" si="1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156</v>
      </c>
      <c r="D17" s="20">
        <v>1364</v>
      </c>
      <c r="E17" s="12" t="e">
        <f ca="1">ROUND(_xll.HPVAL($A17,$A$1,$A$2,$A$3,$A$4,$A$6)/1000,0)</f>
        <v>#NAME?</v>
      </c>
      <c r="F17" s="123" t="e">
        <f t="shared" ca="1" si="1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 t="e">
        <f ca="1">E20</f>
        <v>#NAME?</v>
      </c>
      <c r="E20" s="12" t="e">
        <f ca="1">ROUND(_xll.HPVAL($A20,$A$1,$A$2,$A$3,$A$4,$A$6)/1000,0)</f>
        <v>#NAME?</v>
      </c>
      <c r="F20" s="123" t="e">
        <f ca="1">E20-D20</f>
        <v>#NAME?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 t="e">
        <f ca="1">E21</f>
        <v>#NAME?</v>
      </c>
      <c r="E21" s="12" t="e">
        <f ca="1">ROUND(_xll.HPVAL($A21,$A$1,$A$2,$A$3,$A$4,$A$6)/1000,0)</f>
        <v>#NAME?</v>
      </c>
      <c r="F21" s="123" t="e">
        <f ca="1">E21-D21</f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255</v>
      </c>
      <c r="B22" s="7" t="s">
        <v>253</v>
      </c>
      <c r="D22" s="20" t="e">
        <f ca="1">E22</f>
        <v>#NAME?</v>
      </c>
      <c r="E22" s="12" t="e">
        <f ca="1">ROUND(_xll.HPVAL($A22,$A$1,$A$2,$A$3,$A$4,$A$6)/1000,0)</f>
        <v>#NAME?</v>
      </c>
      <c r="F22" s="123" t="e">
        <f ca="1">E22-D22</f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103</v>
      </c>
      <c r="B23" s="7" t="s">
        <v>104</v>
      </c>
      <c r="D23" s="20" t="e">
        <f ca="1">E23</f>
        <v>#NAME?</v>
      </c>
      <c r="E23" s="12" t="e">
        <f ca="1">ROUND(_xll.HPVAL($A23,$A$1,$A$2,$A$3,$A$4,$A$6)/1000,0)</f>
        <v>#NAME?</v>
      </c>
      <c r="F23" s="123" t="e">
        <f ca="1">E23-D23</f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36</v>
      </c>
      <c r="B24" s="7" t="s">
        <v>0</v>
      </c>
      <c r="D24" s="20" t="e">
        <f ca="1">E24</f>
        <v>#NAME?</v>
      </c>
      <c r="E24" s="12" t="e">
        <f ca="1">ROUND(_xll.HPVAL($A24,$A$1,$A$2,$A$3,$A$4,$A$6)/1000,0)</f>
        <v>#NAME?</v>
      </c>
      <c r="F24" s="123" t="e">
        <f ca="1">E24-D24</f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115" t="s">
        <v>1</v>
      </c>
      <c r="C25" s="114"/>
      <c r="D25" s="120" t="e">
        <f ca="1">SUM(D20:D24)</f>
        <v>#NAME?</v>
      </c>
      <c r="E25" s="121" t="e">
        <f ca="1">SUM(E20:E24)</f>
        <v>#NAME?</v>
      </c>
      <c r="F25" s="113" t="e">
        <f ca="1">SUM(F20:F24)</f>
        <v>#NAME?</v>
      </c>
      <c r="G25" s="116"/>
      <c r="H25" s="117"/>
      <c r="I25" s="118"/>
      <c r="J25" s="118"/>
      <c r="K25" s="119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 x14ac:dyDescent="0.2">
      <c r="B26" s="7"/>
      <c r="D26" s="20"/>
      <c r="E26" s="12"/>
      <c r="F26" s="123"/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23" t="s">
        <v>37</v>
      </c>
      <c r="B27" s="7" t="s">
        <v>67</v>
      </c>
      <c r="D27" s="20" t="e">
        <f ca="1">E27</f>
        <v>#NAME?</v>
      </c>
      <c r="E27" s="12" t="e">
        <f ca="1">ROUND(_xll.HPVAL($A27,$A$1,$A$2,$A$3,$A$4,$A$6)/1000,0)</f>
        <v>#NAME?</v>
      </c>
      <c r="F27" s="123" t="e">
        <f ca="1">E27-D27</f>
        <v>#NAME?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41</v>
      </c>
      <c r="B28" s="7" t="s">
        <v>92</v>
      </c>
      <c r="C28" s="72"/>
      <c r="D28" s="20">
        <v>4961</v>
      </c>
      <c r="E28" s="12" t="e">
        <f ca="1">ROUND(_xll.HPVAL($A28,$A$1,$A$2,$A$3,$A$4,$A$6)/1000,0)</f>
        <v>#NAME?</v>
      </c>
      <c r="F28" s="123" t="e">
        <f ca="1">E28-D28</f>
        <v>#NAME?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42</v>
      </c>
      <c r="B29" s="7" t="s">
        <v>93</v>
      </c>
      <c r="C29" s="72"/>
      <c r="D29" s="20" t="e">
        <f ca="1">E29</f>
        <v>#NAME?</v>
      </c>
      <c r="E29" s="12" t="e">
        <f ca="1">ROUND(_xll.HPVAL($A29,$A$1,$A$2,$A$3,$A$4,$A$6)/1000,0)</f>
        <v>#NAME?</v>
      </c>
      <c r="F29" s="123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B30" s="115" t="s">
        <v>86</v>
      </c>
      <c r="C30" s="114"/>
      <c r="D30" s="120" t="e">
        <f ca="1">SUM(D27:D29)</f>
        <v>#NAME?</v>
      </c>
      <c r="E30" s="121" t="e">
        <f ca="1">SUM(E27:E29)</f>
        <v>#NAME?</v>
      </c>
      <c r="F30" s="113" t="e">
        <f ca="1">SUM(F27:F29)</f>
        <v>#NAME?</v>
      </c>
      <c r="G30" s="116"/>
      <c r="H30" s="117"/>
      <c r="I30" s="118"/>
      <c r="J30" s="118"/>
      <c r="K30" s="1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" customHeight="1" x14ac:dyDescent="0.2">
      <c r="B31" s="7"/>
      <c r="D31" s="20"/>
      <c r="E31" s="12"/>
      <c r="F31" s="123"/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40</v>
      </c>
      <c r="B32" s="7" t="s">
        <v>9</v>
      </c>
      <c r="D32" s="20">
        <v>838</v>
      </c>
      <c r="E32" s="12" t="e">
        <f ca="1">ROUND(_xll.HPVAL($A32,$A$1,$A$2,$A$3,$A$4,$A$6)/1000,0)</f>
        <v>#NAME?</v>
      </c>
      <c r="F32" s="123" t="e">
        <f ca="1">E32-D32</f>
        <v>#NAME?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39</v>
      </c>
      <c r="B33" s="7" t="s">
        <v>151</v>
      </c>
      <c r="D33" s="20" t="e">
        <f ca="1">E33</f>
        <v>#NAME?</v>
      </c>
      <c r="E33" s="12" t="e">
        <f ca="1">ROUND(_xll.HPVAL($A33,$A$1,$A$2,$A$3,$A$4,$A$6)/1000,0)</f>
        <v>#NAME?</v>
      </c>
      <c r="F33" s="123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hidden="1" customHeight="1" x14ac:dyDescent="0.2">
      <c r="A34" s="23" t="s">
        <v>153</v>
      </c>
      <c r="B34" s="7" t="s">
        <v>180</v>
      </c>
      <c r="D34" s="20" t="e">
        <f ca="1">E34</f>
        <v>#NAME?</v>
      </c>
      <c r="E34" s="12" t="e">
        <f ca="1">ROUND(_xll.HPVAL($A34,$A$1,$A$2,$A$3,$A$4,$A$6)/1000,0)</f>
        <v>#NAME?</v>
      </c>
      <c r="F34" s="123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157</v>
      </c>
      <c r="B35" s="7" t="s">
        <v>154</v>
      </c>
      <c r="D35" s="20" t="e">
        <f ca="1">E35</f>
        <v>#NAME?</v>
      </c>
      <c r="E35" s="12" t="e">
        <f ca="1">ROUND(_xll.HPVAL($A35,$A$1,$A$2,$A$3,$A$4,$A$6)/1000,0)</f>
        <v>#NAME?</v>
      </c>
      <c r="F35" s="123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2">
      <c r="B36" s="7" t="s">
        <v>154</v>
      </c>
      <c r="D36" s="254" t="e">
        <f ca="1">SUM(D34:D35)</f>
        <v>#NAME?</v>
      </c>
      <c r="E36" s="255" t="e">
        <f ca="1">SUM(E34:E35)</f>
        <v>#NAME?</v>
      </c>
      <c r="F36" s="253" t="e">
        <f ca="1">SUM(F34:F35)</f>
        <v>#NAME?</v>
      </c>
      <c r="G36" s="252"/>
    </row>
    <row r="37" spans="1:37" ht="11.25" customHeight="1" x14ac:dyDescent="0.2">
      <c r="B37" s="115" t="s">
        <v>87</v>
      </c>
      <c r="C37" s="114"/>
      <c r="D37" s="120" t="e">
        <f ca="1">SUM(D32:D35)</f>
        <v>#NAME?</v>
      </c>
      <c r="E37" s="121" t="e">
        <f ca="1">SUM(E32:E35)</f>
        <v>#NAME?</v>
      </c>
      <c r="F37" s="113" t="e">
        <f ca="1">SUM(F32:F35)</f>
        <v>#NAME?</v>
      </c>
      <c r="G37" s="116"/>
      <c r="H37" s="117"/>
      <c r="I37" s="118"/>
      <c r="J37" s="118"/>
      <c r="K37" s="119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3" customHeight="1" x14ac:dyDescent="0.2">
      <c r="B38" s="7"/>
      <c r="D38" s="20"/>
      <c r="E38" s="12"/>
      <c r="F38" s="123"/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82</v>
      </c>
      <c r="B39" s="7" t="s">
        <v>8</v>
      </c>
      <c r="C39" s="72"/>
      <c r="D39" s="20" t="e">
        <f ca="1">E39</f>
        <v>#NAME?</v>
      </c>
      <c r="E39" s="12" t="e">
        <f ca="1">ROUND(_xll.HPVAL($A39,$A$1,$A$2,$A$3,$A$4,$A$6)/1000,0)</f>
        <v>#NAME?</v>
      </c>
      <c r="F39" s="123" t="e">
        <f ca="1">E39-D39</f>
        <v>#NAME?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C40" s="72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44</v>
      </c>
      <c r="B41" s="7" t="s">
        <v>7</v>
      </c>
      <c r="C41" s="72"/>
      <c r="D41" s="20">
        <v>2930</v>
      </c>
      <c r="E41" s="12" t="e">
        <f ca="1">ROUND(_xll.HPVAL($A41,$A$1,$A$2,$A$3,$A$4,$A$6)/1000,0)</f>
        <v>#NAME?</v>
      </c>
      <c r="F41" s="123" t="e">
        <f ca="1">E41-D41</f>
        <v>#NAME?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14" customFormat="1" ht="11.25" customHeight="1" x14ac:dyDescent="0.2">
      <c r="A43" s="23"/>
      <c r="B43" s="115" t="s">
        <v>10</v>
      </c>
      <c r="D43" s="120" t="e">
        <f ca="1">SUM(D37:D41)+D18+D25+D30</f>
        <v>#NAME?</v>
      </c>
      <c r="E43" s="121" t="e">
        <f ca="1">SUM(E37:E41)+E18+E25+E30</f>
        <v>#NAME?</v>
      </c>
      <c r="F43" s="113" t="e">
        <f ca="1">SUM(F37:F41)+F18+F25+F30</f>
        <v>#NAME?</v>
      </c>
      <c r="G43" s="116"/>
      <c r="H43" s="117"/>
      <c r="I43" s="118"/>
      <c r="J43" s="118"/>
      <c r="K43" s="119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1.25" customHeight="1" x14ac:dyDescent="0.2">
      <c r="A45" s="23" t="s">
        <v>45</v>
      </c>
      <c r="B45" s="7" t="s">
        <v>48</v>
      </c>
      <c r="C45" s="72"/>
      <c r="D45" s="20" t="e">
        <f ca="1">E45</f>
        <v>#NAME?</v>
      </c>
      <c r="E45" s="12" t="e">
        <f ca="1">ROUND(_xll.HPVAL($A45,$A$1,$A$2,$A$3,$A$4,$A$6)/1000,0)</f>
        <v>#NAME?</v>
      </c>
      <c r="F45" s="123" t="e">
        <f ca="1">E45-D45</f>
        <v>#NAME?</v>
      </c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46</v>
      </c>
      <c r="B47" s="7" t="s">
        <v>18</v>
      </c>
      <c r="C47" s="72"/>
      <c r="D47" s="20" t="e">
        <f ca="1">E47</f>
        <v>#NAME?</v>
      </c>
      <c r="E47" s="12" t="e">
        <f ca="1">ROUND(_xll.HPVAL($A47,$A$1,$A$2,$A$3,$A$4,$A$6)/1000,0)</f>
        <v>#NAME?</v>
      </c>
      <c r="F47" s="123" t="e">
        <f ca="1">E47-D47</f>
        <v>#NAME?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114" customFormat="1" ht="11.25" customHeight="1" x14ac:dyDescent="0.2">
      <c r="B49" s="115" t="s">
        <v>14</v>
      </c>
      <c r="D49" s="108" t="e">
        <f ca="1">D43+D45+D47</f>
        <v>#NAME?</v>
      </c>
      <c r="E49" s="109" t="e">
        <f ca="1">E43+E45+E47</f>
        <v>#NAME?</v>
      </c>
      <c r="F49" s="110" t="e">
        <f ca="1">F43+F45+F47</f>
        <v>#NAME?</v>
      </c>
      <c r="G49" s="116"/>
      <c r="H49" s="117"/>
      <c r="I49" s="118"/>
      <c r="J49" s="118"/>
      <c r="K49" s="119"/>
    </row>
    <row r="50" spans="1:37" ht="3" customHeight="1" x14ac:dyDescent="0.2">
      <c r="B50" s="19"/>
      <c r="D50" s="13"/>
      <c r="E50" s="14"/>
      <c r="F50" s="22"/>
      <c r="G50" s="1"/>
      <c r="H50" s="13"/>
      <c r="I50" s="14"/>
      <c r="J50" s="14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86" customFormat="1" ht="3" customHeight="1" x14ac:dyDescent="0.2">
      <c r="A51" s="163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x14ac:dyDescent="0.2">
      <c r="B52" s="6"/>
      <c r="D52" s="335" t="s">
        <v>131</v>
      </c>
      <c r="E52" s="336"/>
      <c r="F52" s="337"/>
      <c r="G52" s="1"/>
      <c r="H52" s="9"/>
      <c r="I52" s="10"/>
      <c r="J52" s="10"/>
      <c r="K52" s="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B53" s="179" t="s">
        <v>16</v>
      </c>
      <c r="D53" s="16" t="s">
        <v>13</v>
      </c>
      <c r="E53" s="17" t="s">
        <v>15</v>
      </c>
      <c r="F53" s="18" t="s">
        <v>20</v>
      </c>
      <c r="G53" s="1"/>
      <c r="H53" s="332" t="s">
        <v>70</v>
      </c>
      <c r="I53" s="333"/>
      <c r="J53" s="333"/>
      <c r="K53" s="33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B54" s="6" t="s">
        <v>33</v>
      </c>
      <c r="D54" s="182">
        <v>8206</v>
      </c>
      <c r="E54" s="183">
        <v>8789</v>
      </c>
      <c r="F54" s="180">
        <f>E54-D54</f>
        <v>583</v>
      </c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19" t="s">
        <v>92</v>
      </c>
      <c r="D55" s="21">
        <v>40447</v>
      </c>
      <c r="E55" s="15">
        <v>38743</v>
      </c>
      <c r="F55" s="181">
        <f>E55-D55</f>
        <v>-1704</v>
      </c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idden="1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</sheetData>
  <mergeCells count="7">
    <mergeCell ref="H53:K53"/>
    <mergeCell ref="D6:F6"/>
    <mergeCell ref="H7:K7"/>
    <mergeCell ref="B2:K2"/>
    <mergeCell ref="B3:K3"/>
    <mergeCell ref="B4:K4"/>
    <mergeCell ref="D52:F52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0"/>
  <sheetViews>
    <sheetView workbookViewId="0">
      <selection activeCell="C33" sqref="C33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8" t="s">
        <v>17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t="s">
        <v>262</v>
      </c>
    </row>
    <row r="3" spans="1:20" ht="15" x14ac:dyDescent="0.25">
      <c r="A3" s="23" t="s">
        <v>56</v>
      </c>
      <c r="B3" s="339" t="s">
        <v>164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20" x14ac:dyDescent="0.2">
      <c r="A4" s="24">
        <v>36678</v>
      </c>
      <c r="B4" s="340" t="str">
        <f>'Old Mgmt Summary'!A3</f>
        <v>Results based on Activity through April 14, 2000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32" t="s">
        <v>57</v>
      </c>
      <c r="E7" s="333"/>
      <c r="F7" s="333"/>
      <c r="G7" s="333"/>
      <c r="H7" s="333"/>
      <c r="I7" s="334"/>
      <c r="J7" s="1"/>
      <c r="K7" s="332" t="s">
        <v>143</v>
      </c>
      <c r="L7" s="333"/>
      <c r="M7" s="333"/>
      <c r="N7" s="333"/>
      <c r="O7" s="333"/>
      <c r="P7" s="334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35" t="s">
        <v>58</v>
      </c>
      <c r="H8" s="336"/>
      <c r="I8" s="337"/>
      <c r="J8" s="1"/>
      <c r="K8" s="16" t="s">
        <v>13</v>
      </c>
      <c r="L8" s="17" t="s">
        <v>15</v>
      </c>
      <c r="M8" s="18" t="s">
        <v>20</v>
      </c>
      <c r="N8" s="335" t="s">
        <v>58</v>
      </c>
      <c r="O8" s="336"/>
      <c r="P8" s="337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257</v>
      </c>
      <c r="B10" s="7" t="s">
        <v>3</v>
      </c>
      <c r="D10" s="62" t="e">
        <f ca="1">E10</f>
        <v>#NAME?</v>
      </c>
      <c r="E10" s="63" t="e">
        <f ca="1">ROUND(_xll.HPVAL($A10,$A$1,$A$2,$A$4,$A$5,$A$6)/1000,0)</f>
        <v>#NAME?</v>
      </c>
      <c r="F10" s="12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2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105</v>
      </c>
      <c r="B11" s="7" t="s">
        <v>106</v>
      </c>
      <c r="D11" s="20">
        <v>7642</v>
      </c>
      <c r="E11" s="12" t="e">
        <f ca="1">ROUND(_xll.HPVAL($A11,$A$1,$A$2,$A$4,$A$5,$A$6)/1000,0)</f>
        <v>#NAME?</v>
      </c>
      <c r="F11" s="125" t="e">
        <f t="shared" ref="F11:F18" ca="1" si="0">E11-D11</f>
        <v>#NAME?</v>
      </c>
      <c r="G11" s="2"/>
      <c r="H11" s="2"/>
      <c r="I11" s="3"/>
      <c r="J11" s="1"/>
      <c r="K11" s="20" t="e">
        <f t="shared" ref="K11:K17" ca="1" si="1">L11</f>
        <v>#NAME?</v>
      </c>
      <c r="L11" s="12" t="e">
        <f ca="1">ROUND(_xll.HPVAL($A11,$A$1,$A$3,$A$4,$A$5,$A$6)/1000,0)</f>
        <v>#NAME?</v>
      </c>
      <c r="M11" s="12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27</v>
      </c>
      <c r="B12" s="7" t="s">
        <v>132</v>
      </c>
      <c r="D12" s="20" t="e">
        <f t="shared" ref="D12:D18" ca="1" si="2">E12</f>
        <v>#NAME?</v>
      </c>
      <c r="E12" s="12" t="e">
        <f ca="1">ROUND(_xll.HPVAL($A12,$A$1,$A$2,$A$4,$A$5,$A$6)/1000,0)</f>
        <v>#NAME?</v>
      </c>
      <c r="F12" s="125" t="e">
        <f t="shared" ca="1" si="0"/>
        <v>#NAME?</v>
      </c>
      <c r="G12" s="2"/>
      <c r="H12" s="2"/>
      <c r="I12" s="3"/>
      <c r="J12" s="1"/>
      <c r="K12" s="20" t="e">
        <f t="shared" ca="1" si="1"/>
        <v>#NAME?</v>
      </c>
      <c r="L12" s="12" t="e">
        <f ca="1">ROUND(_xll.HPVAL($A12,$A$1,$A$3,$A$4,$A$5,$A$6)*0.8577/1000,0)</f>
        <v>#NAME?</v>
      </c>
      <c r="M12" s="125" t="e">
        <f t="shared" ref="M12:M18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134</v>
      </c>
      <c r="B13" s="7" t="s">
        <v>133</v>
      </c>
      <c r="D13" s="20" t="e">
        <f t="shared" ca="1" si="2"/>
        <v>#NAME?</v>
      </c>
      <c r="E13" s="12" t="e">
        <f ca="1">ROUND(_xll.HPVAL($A13,$A$1,$A$2,$A$4,$A$5,$A$6)/1000,0)</f>
        <v>#NAME?</v>
      </c>
      <c r="F13" s="125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25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43</v>
      </c>
      <c r="B14" s="7" t="s">
        <v>114</v>
      </c>
      <c r="C14" s="72"/>
      <c r="D14" s="20">
        <v>186</v>
      </c>
      <c r="E14" s="12" t="e">
        <f ca="1">ROUND(_xll.HPVAL($A14,$A$1,$A$2,$A$4,$A$5,$A$6)/1000,0)</f>
        <v>#NAME?</v>
      </c>
      <c r="F14" s="125" t="e">
        <f ca="1">E14-D14</f>
        <v>#NAME?</v>
      </c>
      <c r="G14" s="2"/>
      <c r="H14" s="2"/>
      <c r="I14" s="3"/>
      <c r="J14" s="1"/>
      <c r="K14" s="20" t="e">
        <f t="shared" ca="1" si="1"/>
        <v>#NAME?</v>
      </c>
      <c r="L14" s="12" t="e">
        <f ca="1">ROUND(_xll.HPVAL($A14,$A$1,$A$3,$A$4,$A$5,$A$6)/1000,0)</f>
        <v>#NAME?</v>
      </c>
      <c r="M14" s="125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28</v>
      </c>
      <c r="B15" s="7" t="s">
        <v>5</v>
      </c>
      <c r="D15" s="20">
        <v>615</v>
      </c>
      <c r="E15" s="12" t="e">
        <f ca="1">ROUND(_xll.HPVAL($A15,$A$1,$A$2,$A$4,$A$5,$A$6)/1000,0)</f>
        <v>#NAME?</v>
      </c>
      <c r="F15" s="125" t="e">
        <f t="shared" ca="1" si="0"/>
        <v>#NAME?</v>
      </c>
      <c r="G15" s="2"/>
      <c r="H15" s="2"/>
      <c r="I15" s="3"/>
      <c r="J15" s="1"/>
      <c r="K15" s="20" t="e">
        <f t="shared" ca="1" si="1"/>
        <v>#NAME?</v>
      </c>
      <c r="L15" s="12" t="e">
        <f ca="1">ROUND(_xll.HPVAL($A15,$A$1,$A$3,$A$4,$A$5,$A$6)/1000,0)</f>
        <v>#NAME?</v>
      </c>
      <c r="M15" s="12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30</v>
      </c>
      <c r="B16" s="7" t="s">
        <v>155</v>
      </c>
      <c r="D16" s="20" t="e">
        <f t="shared" ca="1" si="2"/>
        <v>#NAME?</v>
      </c>
      <c r="E16" s="12" t="e">
        <f ca="1">ROUND(_xll.HPVAL($A16,$A$1,$A$2,$A$4,$A$5,$A$6)/1000,0)</f>
        <v>#NAME?</v>
      </c>
      <c r="F16" s="125" t="e">
        <f t="shared" ca="1" si="0"/>
        <v>#NAME?</v>
      </c>
      <c r="G16" s="2"/>
      <c r="H16" s="2"/>
      <c r="I16" s="3"/>
      <c r="J16" s="1"/>
      <c r="K16" s="20" t="e">
        <f t="shared" ca="1" si="1"/>
        <v>#NAME?</v>
      </c>
      <c r="L16" s="12" t="e">
        <f ca="1">ROUND(_xll.HPVAL($A16,$A$1,$A$3,$A$4,$A$5,$A$6)/1000,0)</f>
        <v>#NAME?</v>
      </c>
      <c r="M16" s="12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4</v>
      </c>
      <c r="B17" s="7" t="s">
        <v>107</v>
      </c>
      <c r="D17" s="20" t="e">
        <f t="shared" ca="1" si="2"/>
        <v>#NAME?</v>
      </c>
      <c r="E17" s="12" t="e">
        <f ca="1">ROUND(_xll.HPVAL($A17,$A$1,$A$2,$A$4,$A$5,$A$6)/1000,0)</f>
        <v>#NAME?</v>
      </c>
      <c r="F17" s="125" t="e">
        <f t="shared" ca="1" si="0"/>
        <v>#NAME?</v>
      </c>
      <c r="G17" s="2"/>
      <c r="H17" s="2"/>
      <c r="I17" s="3"/>
      <c r="J17" s="1"/>
      <c r="K17" s="20" t="e">
        <f t="shared" ca="1" si="1"/>
        <v>#NAME?</v>
      </c>
      <c r="L17" s="12" t="e">
        <f ca="1">ROUND(_xll.HPVAL($A17,$A$1,$A$3,$A$4,$A$5,$A$6)/1000,0)</f>
        <v>#NAME?</v>
      </c>
      <c r="M17" s="12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73</v>
      </c>
      <c r="B18" s="7" t="s">
        <v>156</v>
      </c>
      <c r="D18" s="20" t="e">
        <f t="shared" ca="1" si="2"/>
        <v>#NAME?</v>
      </c>
      <c r="E18" s="12" t="e">
        <f ca="1">ROUND(_xll.HPVAL($A18,$A$1,$A$2,$A$4,$A$5,$A$6)/1000,0)</f>
        <v>#NAME?</v>
      </c>
      <c r="F18" s="125" t="e">
        <f t="shared" ca="1" si="0"/>
        <v>#NAME?</v>
      </c>
      <c r="G18" s="2"/>
      <c r="H18" s="2"/>
      <c r="I18" s="3"/>
      <c r="J18" s="1"/>
      <c r="K18" s="20" t="e">
        <f ca="1">L18</f>
        <v>#NAME?</v>
      </c>
      <c r="L18" s="12" t="e">
        <f ca="1">ROUND(_xll.HPVAL($A18,$A$1,$A$3,$A$4,$A$5,$A$6)/1000,0)</f>
        <v>#NAME?</v>
      </c>
      <c r="M18" s="125" t="e">
        <f t="shared" ca="1" si="3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 t="e">
        <f ca="1">SUM(D10:D18)</f>
        <v>#NAME?</v>
      </c>
      <c r="E19" s="121" t="e">
        <f ca="1">SUM(E10:E18)</f>
        <v>#NAME?</v>
      </c>
      <c r="F19" s="121" t="e">
        <f ca="1">SUM(F10:F18)</f>
        <v>#NAME?</v>
      </c>
      <c r="G19" s="118"/>
      <c r="H19" s="118"/>
      <c r="I19" s="119"/>
      <c r="J19" s="114"/>
      <c r="K19" s="120" t="e">
        <f ca="1">SUM(K10:K18)</f>
        <v>#NAME?</v>
      </c>
      <c r="L19" s="121" t="e">
        <f ca="1">SUM(L10:L18)</f>
        <v>#NAME?</v>
      </c>
      <c r="M19" s="121" t="e">
        <f ca="1">SUM(M10:M18)</f>
        <v>#NAME?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 t="e">
        <f ca="1">E21</f>
        <v>#NAME?</v>
      </c>
      <c r="E21" s="12" t="e">
        <f ca="1">ROUND(_xll.HPVAL($A21,$A$1,$A$2,$A$4,$A$5,$A$6)/1000,0)</f>
        <v>#NAME?</v>
      </c>
      <c r="F21" s="125" t="e">
        <f ca="1">E21-D21</f>
        <v>#NAME?</v>
      </c>
      <c r="G21" s="2"/>
      <c r="H21" s="2"/>
      <c r="I21" s="3"/>
      <c r="J21" s="1"/>
      <c r="K21" s="20" t="e">
        <f ca="1">L21</f>
        <v>#NAME?</v>
      </c>
      <c r="L21" s="12" t="e">
        <f ca="1">ROUND(_xll.HPVAL($A21,$A$1,$A$3,$A$4,$A$5,$A$6)/1000,0)</f>
        <v>#NAME?</v>
      </c>
      <c r="M21" s="125" t="e">
        <f ca="1">ROUND(L21-K21,0)</f>
        <v>#NAME?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943</v>
      </c>
      <c r="E22" s="12" t="e">
        <f ca="1">ROUND(_xll.HPVAL($A22,$A$1,$A$2,$A$4,$A$5,$A$6)/1000,0)</f>
        <v>#NAME?</v>
      </c>
      <c r="F22" s="125" t="e">
        <f ca="1">E22-D22</f>
        <v>#NAME?</v>
      </c>
      <c r="G22" s="2" t="s">
        <v>192</v>
      </c>
      <c r="H22" s="2"/>
      <c r="I22" s="3"/>
      <c r="J22" s="1"/>
      <c r="K22" s="20" t="e">
        <f ca="1">L22</f>
        <v>#NAME?</v>
      </c>
      <c r="L22" s="12" t="e">
        <f ca="1">ROUND(_xll.HPVAL($A22,$A$1,$A$3,$A$4,$A$5,$A$6)/1000,0)</f>
        <v>#NAME?</v>
      </c>
      <c r="M22" s="125" t="e">
        <f ca="1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255</v>
      </c>
      <c r="B23" s="7" t="s">
        <v>253</v>
      </c>
      <c r="D23" s="20">
        <f>93+16</f>
        <v>109</v>
      </c>
      <c r="E23" s="12" t="e">
        <f ca="1">ROUND(_xll.HPVAL($A23,$A$1,$A$2,$A$4,$A$5,$A$6)/1000,0)</f>
        <v>#NAME?</v>
      </c>
      <c r="F23" s="125" t="e">
        <f ca="1">E23-D23</f>
        <v>#NAME?</v>
      </c>
      <c r="G23" s="2" t="s">
        <v>193</v>
      </c>
      <c r="H23" s="2"/>
      <c r="I23" s="3"/>
      <c r="J23" s="1"/>
      <c r="K23" s="20" t="e">
        <f ca="1">L23</f>
        <v>#NAME?</v>
      </c>
      <c r="L23" s="12" t="e">
        <f ca="1">ROUND(_xll.HPVAL($A23,$A$1,$A$3,$A$4,$A$5,$A$6)/1000,0)</f>
        <v>#NAME?</v>
      </c>
      <c r="M23" s="125" t="e">
        <f ca="1">ROUND(L23-K23,0)</f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103</v>
      </c>
      <c r="B24" s="7" t="s">
        <v>104</v>
      </c>
      <c r="D24" s="20" t="e">
        <f ca="1">E24</f>
        <v>#NAME?</v>
      </c>
      <c r="E24" s="12" t="e">
        <f ca="1">ROUND(_xll.HPVAL($A24,$A$1,$A$2,$A$4,$A$5,$A$6)/1000,0)</f>
        <v>#NAME?</v>
      </c>
      <c r="F24" s="125" t="e">
        <f ca="1">E24-D24</f>
        <v>#NAME?</v>
      </c>
      <c r="G24" s="2"/>
      <c r="H24" s="2"/>
      <c r="I24" s="3"/>
      <c r="J24" s="1"/>
      <c r="K24" s="20" t="e">
        <f ca="1">L24</f>
        <v>#NAME?</v>
      </c>
      <c r="L24" s="12" t="e">
        <f ca="1">ROUND(_xll.HPVAL($A24,$A$1,$A$3,$A$4,$A$5,$A$6)/1000,0)</f>
        <v>#NAME?</v>
      </c>
      <c r="M24" s="125" t="e">
        <f ca="1">ROUND(L24-K24,0)</f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36</v>
      </c>
      <c r="B25" s="7" t="s">
        <v>0</v>
      </c>
      <c r="D25" s="20" t="e">
        <f ca="1">E25</f>
        <v>#NAME?</v>
      </c>
      <c r="E25" s="12" t="e">
        <f ca="1">ROUND(_xll.HPVAL($A25,$A$1,$A$2,$A$4,$A$5,$A$6)/1000,0)</f>
        <v>#NAME?</v>
      </c>
      <c r="F25" s="125" t="e">
        <f ca="1">E25-D25</f>
        <v>#NAME?</v>
      </c>
      <c r="G25" s="2"/>
      <c r="H25" s="2"/>
      <c r="I25" s="3"/>
      <c r="J25" s="1"/>
      <c r="K25" s="20" t="e">
        <f ca="1">L25</f>
        <v>#NAME?</v>
      </c>
      <c r="L25" s="12" t="e">
        <f ca="1">ROUND(_xll.HPVAL($A25,$A$1,$A$3,$A$4,$A$5,$A$6)/1000,0)</f>
        <v>#NAME?</v>
      </c>
      <c r="M25" s="125" t="e">
        <f ca="1">ROUND(L25-K25,0)</f>
        <v>#NAME?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115" t="s">
        <v>1</v>
      </c>
      <c r="C26" s="114"/>
      <c r="D26" s="120" t="e">
        <f ca="1">SUM(D21:D25)</f>
        <v>#NAME?</v>
      </c>
      <c r="E26" s="121" t="e">
        <f ca="1">SUM(E21:E25)</f>
        <v>#NAME?</v>
      </c>
      <c r="F26" s="121" t="e">
        <f ca="1">SUM(F21:F25)</f>
        <v>#NAME?</v>
      </c>
      <c r="G26" s="118"/>
      <c r="H26" s="118"/>
      <c r="I26" s="119"/>
      <c r="J26" s="114"/>
      <c r="K26" s="120" t="e">
        <f ca="1">SUM(K21:K25)</f>
        <v>#NAME?</v>
      </c>
      <c r="L26" s="121" t="e">
        <f ca="1">SUM(L21:L25)</f>
        <v>#NAME?</v>
      </c>
      <c r="M26" s="121" t="e">
        <f ca="1">SUM(M21:M25)</f>
        <v>#NAME?</v>
      </c>
      <c r="N26" s="118"/>
      <c r="O26" s="118"/>
      <c r="P26" s="119"/>
      <c r="Q26" s="1"/>
      <c r="R26" s="1"/>
      <c r="S26" s="1"/>
      <c r="T26" s="1"/>
    </row>
    <row r="27" spans="1:20" ht="3" customHeight="1" x14ac:dyDescent="0.2">
      <c r="B27" s="7"/>
      <c r="D27" s="20"/>
      <c r="E27" s="12"/>
      <c r="F27" s="125"/>
      <c r="G27" s="2"/>
      <c r="H27" s="2"/>
      <c r="I27" s="3"/>
      <c r="J27" s="1"/>
      <c r="K27" s="20"/>
      <c r="L27" s="12"/>
      <c r="M27" s="125"/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37</v>
      </c>
      <c r="B28" s="7" t="s">
        <v>67</v>
      </c>
      <c r="D28" s="20">
        <v>6052</v>
      </c>
      <c r="E28" s="12" t="e">
        <f ca="1">ROUND(_xll.HPVAL($A28,$A$1,$A$2,$A$4,$A$5,$A$6)/1000,0)</f>
        <v>#NAME?</v>
      </c>
      <c r="F28" s="125" t="e">
        <f ca="1">E28-D28</f>
        <v>#NAME?</v>
      </c>
      <c r="G28" s="2"/>
      <c r="H28" s="2"/>
      <c r="I28" s="3"/>
      <c r="J28" s="1"/>
      <c r="K28" s="20" t="e">
        <f ca="1">L28</f>
        <v>#NAME?</v>
      </c>
      <c r="L28" s="12" t="e">
        <f ca="1">ROUND(_xll.HPVAL($A28,$A$1,$A$3,$A$4,$A$5,$A$6)/1000,0)</f>
        <v>#NAME?</v>
      </c>
      <c r="M28" s="125" t="e">
        <f ca="1">ROUND(L28-K28,0)</f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41</v>
      </c>
      <c r="B29" s="7" t="s">
        <v>92</v>
      </c>
      <c r="C29" s="72"/>
      <c r="D29" s="20">
        <v>12467</v>
      </c>
      <c r="E29" s="12" t="e">
        <f ca="1">ROUND(_xll.HPVAL($A29,$A$1,$A$2,$A$4,$A$5,$A$6)/1000,0)</f>
        <v>#NAME?</v>
      </c>
      <c r="F29" s="125" t="e">
        <f ca="1">E29-D29</f>
        <v>#NAME?</v>
      </c>
      <c r="G29" s="2"/>
      <c r="H29" s="2"/>
      <c r="I29" s="3"/>
      <c r="J29" s="1"/>
      <c r="K29" s="20" t="e">
        <f ca="1">L29</f>
        <v>#NAME?</v>
      </c>
      <c r="L29" s="12" t="e">
        <f ca="1">ROUND(_xll.HPVAL($A29,$A$1,$A$3,$A$4,$A$5,$A$6)/1000,0)</f>
        <v>#NAME?</v>
      </c>
      <c r="M29" s="125" t="e">
        <f ca="1">ROUND(L29-K29,0)</f>
        <v>#NAME?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42</v>
      </c>
      <c r="B30" s="7" t="s">
        <v>93</v>
      </c>
      <c r="C30" s="72"/>
      <c r="D30" s="20" t="e">
        <f ca="1">E30</f>
        <v>#NAME?</v>
      </c>
      <c r="E30" s="12" t="e">
        <f ca="1">ROUND(_xll.HPVAL($A30,$A$1,$A$2,$A$4,$A$5,$A$6)/1000,0)</f>
        <v>#NAME?</v>
      </c>
      <c r="F30" s="125" t="e">
        <f ca="1">E30-D30</f>
        <v>#NAME?</v>
      </c>
      <c r="G30" s="2"/>
      <c r="H30" s="2"/>
      <c r="I30" s="3"/>
      <c r="J30" s="1"/>
      <c r="K30" s="20" t="e">
        <f ca="1">L30</f>
        <v>#NAME?</v>
      </c>
      <c r="L30" s="12" t="e">
        <f ca="1">ROUND(_xll.HPVAL($A30,$A$1,$A$3,$A$4,$A$5,$A$6)/1000,0)</f>
        <v>#NAME?</v>
      </c>
      <c r="M30" s="125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B31" s="115" t="s">
        <v>86</v>
      </c>
      <c r="C31" s="114"/>
      <c r="D31" s="120" t="e">
        <f ca="1">SUM(D28:D30)</f>
        <v>#NAME?</v>
      </c>
      <c r="E31" s="121" t="e">
        <f ca="1">SUM(E28:E30)</f>
        <v>#NAME?</v>
      </c>
      <c r="F31" s="121" t="e">
        <f ca="1">SUM(F28:F30)</f>
        <v>#NAME?</v>
      </c>
      <c r="G31" s="118"/>
      <c r="H31" s="118"/>
      <c r="I31" s="119"/>
      <c r="J31" s="114"/>
      <c r="K31" s="120" t="e">
        <f ca="1">SUM(K28:K30)</f>
        <v>#NAME?</v>
      </c>
      <c r="L31" s="121" t="e">
        <f ca="1">SUM(L28:L30)</f>
        <v>#NAME?</v>
      </c>
      <c r="M31" s="121" t="e">
        <f ca="1">SUM(M28:M30)</f>
        <v>#NAME?</v>
      </c>
      <c r="N31" s="118"/>
      <c r="O31" s="118"/>
      <c r="P31" s="119"/>
      <c r="Q31" s="1"/>
      <c r="R31" s="1"/>
      <c r="S31" s="1"/>
      <c r="T31" s="1"/>
    </row>
    <row r="32" spans="1:20" ht="3" customHeight="1" x14ac:dyDescent="0.2">
      <c r="B32" s="7"/>
      <c r="D32" s="20"/>
      <c r="E32" s="12"/>
      <c r="F32" s="125"/>
      <c r="G32" s="2"/>
      <c r="H32" s="2"/>
      <c r="I32" s="3"/>
      <c r="J32" s="1"/>
      <c r="K32" s="20"/>
      <c r="L32" s="12"/>
      <c r="M32" s="125"/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40</v>
      </c>
      <c r="B33" s="7" t="s">
        <v>9</v>
      </c>
      <c r="D33" s="20">
        <v>704</v>
      </c>
      <c r="E33" s="12" t="e">
        <f ca="1">ROUND(_xll.HPVAL($A33,$A$1,$A$2,$A$4,$A$5,$A$6)/1000,0)</f>
        <v>#NAME?</v>
      </c>
      <c r="F33" s="125" t="e">
        <f ca="1">E33-D33</f>
        <v>#NAME?</v>
      </c>
      <c r="G33" s="2" t="s">
        <v>194</v>
      </c>
      <c r="H33" s="2"/>
      <c r="I33" s="3"/>
      <c r="J33" s="1"/>
      <c r="K33" s="20" t="e">
        <f ca="1">L33</f>
        <v>#NAME?</v>
      </c>
      <c r="L33" s="12" t="e">
        <f ca="1">ROUND(_xll.HPVAL($A33,$A$1,$A$3,$A$4,$A$5,$A$6)/1000,0)</f>
        <v>#NAME?</v>
      </c>
      <c r="M33" s="125" t="e">
        <f ca="1">ROUND(L33-K33,0)</f>
        <v>#NAME?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39</v>
      </c>
      <c r="B34" s="7" t="s">
        <v>151</v>
      </c>
      <c r="D34" s="20">
        <v>2880</v>
      </c>
      <c r="E34" s="12" t="e">
        <f ca="1">ROUND(_xll.HPVAL($A34,$A$1,$A$2,$A$4,$A$5,$A$6)/1000,0)</f>
        <v>#NAME?</v>
      </c>
      <c r="F34" s="125" t="e">
        <f ca="1">E34-D34</f>
        <v>#NAME?</v>
      </c>
      <c r="G34" s="164"/>
      <c r="H34" s="2"/>
      <c r="I34" s="3"/>
      <c r="J34" s="1"/>
      <c r="K34" s="20" t="e">
        <f ca="1">L34</f>
        <v>#NAME?</v>
      </c>
      <c r="L34" s="12" t="e">
        <f ca="1">ROUND(_xll.HPVAL($A34,$A$1,$A$3,$A$4,$A$5,$A$6)/1000,0)</f>
        <v>#NAME?</v>
      </c>
      <c r="M34" s="125" t="e">
        <f ca="1">ROUND(L34-K34,0)</f>
        <v>#NAME?</v>
      </c>
      <c r="N34" s="2"/>
      <c r="O34" s="2"/>
      <c r="P34" s="3"/>
      <c r="Q34" s="1"/>
      <c r="R34" s="1"/>
      <c r="S34" s="1"/>
      <c r="T34" s="1"/>
    </row>
    <row r="35" spans="1:20" ht="11.25" hidden="1" customHeight="1" x14ac:dyDescent="0.2">
      <c r="A35" s="23" t="s">
        <v>153</v>
      </c>
      <c r="B35" s="7" t="s">
        <v>180</v>
      </c>
      <c r="D35" s="20">
        <f>2272+1852</f>
        <v>4124</v>
      </c>
      <c r="E35" s="12" t="e">
        <f ca="1">ROUND(_xll.HPVAL($A35,$A$1,$A$2,$A$4,$A$5,$A$6)/1000,0)</f>
        <v>#NAME?</v>
      </c>
      <c r="F35" s="125" t="e">
        <f ca="1">E35-D35</f>
        <v>#NAME?</v>
      </c>
      <c r="G35" s="163"/>
      <c r="H35" s="2"/>
      <c r="I35" s="3"/>
      <c r="J35" s="1"/>
      <c r="K35" s="20" t="e">
        <f ca="1">L35</f>
        <v>#NAME?</v>
      </c>
      <c r="L35" s="12" t="e">
        <f ca="1">ROUND(_xll.HPVAL($A35,$A$1,$A$3,$A$4,$A$5,$A$6)/1000,0)</f>
        <v>#NAME?</v>
      </c>
      <c r="M35" s="125" t="e">
        <f ca="1">ROUND(L35-K35,0)</f>
        <v>#NAME?</v>
      </c>
      <c r="N35" s="2"/>
      <c r="O35" s="2"/>
      <c r="P35" s="3"/>
      <c r="Q35" s="1"/>
      <c r="R35" s="1"/>
      <c r="S35" s="1"/>
      <c r="T35" s="1"/>
    </row>
    <row r="36" spans="1:20" ht="11.25" hidden="1" customHeight="1" x14ac:dyDescent="0.2">
      <c r="A36" s="23" t="s">
        <v>157</v>
      </c>
      <c r="B36" s="7" t="s">
        <v>154</v>
      </c>
      <c r="D36" s="20">
        <v>3841</v>
      </c>
      <c r="E36" s="12" t="e">
        <f ca="1">ROUND(_xll.HPVAL($A36,$A$1,$A$2,$A$4,$A$5,$A$6)/1000,0)</f>
        <v>#NAME?</v>
      </c>
      <c r="F36" s="125" t="e">
        <f ca="1">E36-D36</f>
        <v>#NAME?</v>
      </c>
      <c r="G36" s="2"/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25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B37" s="7" t="s">
        <v>154</v>
      </c>
      <c r="D37" s="20">
        <f>SUM(D35:D36)</f>
        <v>7965</v>
      </c>
      <c r="E37" s="12" t="e">
        <f ca="1">SUM(E35:E36)</f>
        <v>#NAME?</v>
      </c>
      <c r="F37" s="125" t="e">
        <f ca="1">SUM(F35:F36)</f>
        <v>#NAME?</v>
      </c>
      <c r="G37" s="2"/>
      <c r="H37" s="2"/>
      <c r="I37" s="3"/>
      <c r="J37" s="1"/>
      <c r="K37" s="20" t="e">
        <f ca="1">SUM(K35:K36)</f>
        <v>#NAME?</v>
      </c>
      <c r="L37" s="12" t="e">
        <f ca="1">SUM(L35:L36)</f>
        <v>#NAME?</v>
      </c>
      <c r="M37" s="12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115" t="s">
        <v>87</v>
      </c>
      <c r="C38" s="114"/>
      <c r="D38" s="120">
        <f>SUM(D33:D36)</f>
        <v>11549</v>
      </c>
      <c r="E38" s="121" t="e">
        <f ca="1">SUM(E33:E36)</f>
        <v>#NAME?</v>
      </c>
      <c r="F38" s="121" t="e">
        <f ca="1">SUM(F33:F36)</f>
        <v>#NAME?</v>
      </c>
      <c r="G38" s="118"/>
      <c r="H38" s="118"/>
      <c r="I38" s="119"/>
      <c r="J38" s="114"/>
      <c r="K38" s="120" t="e">
        <f ca="1">SUM(K33:K36)</f>
        <v>#NAME?</v>
      </c>
      <c r="L38" s="121" t="e">
        <f ca="1">SUM(L33:L36)</f>
        <v>#NAME?</v>
      </c>
      <c r="M38" s="121" t="e">
        <f ca="1">SUM(M33:M37)</f>
        <v>#NAME?</v>
      </c>
      <c r="N38" s="118"/>
      <c r="O38" s="118"/>
      <c r="P38" s="119"/>
      <c r="Q38" s="1"/>
      <c r="R38" s="1"/>
      <c r="S38" s="1"/>
      <c r="T38" s="1"/>
    </row>
    <row r="39" spans="1:20" ht="3" customHeight="1" x14ac:dyDescent="0.2">
      <c r="B39" s="7"/>
      <c r="D39" s="20"/>
      <c r="E39" s="12"/>
      <c r="F39" s="125"/>
      <c r="G39" s="2"/>
      <c r="H39" s="2"/>
      <c r="I39" s="3"/>
      <c r="J39" s="1"/>
      <c r="K39" s="20"/>
      <c r="L39" s="12"/>
      <c r="M39" s="125"/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A40" s="23" t="s">
        <v>82</v>
      </c>
      <c r="B40" s="7" t="s">
        <v>8</v>
      </c>
      <c r="C40" s="72"/>
      <c r="D40" s="20" t="e">
        <f ca="1">E40</f>
        <v>#NAME?</v>
      </c>
      <c r="E40" s="12" t="e">
        <f ca="1">ROUND(_xll.HPVAL($A40,$A$1,$A$2,$A$4,$A$5,$A$6)/1000,0)</f>
        <v>#NAME?</v>
      </c>
      <c r="F40" s="125" t="e">
        <f ca="1">E40-D40</f>
        <v>#NAME?</v>
      </c>
      <c r="G40" s="2"/>
      <c r="H40" s="2"/>
      <c r="I40" s="3"/>
      <c r="J40" s="1"/>
      <c r="K40" s="20" t="e">
        <f ca="1">L40</f>
        <v>#NAME?</v>
      </c>
      <c r="L40" s="12" t="e">
        <f ca="1">ROUND(_xll.HPVAL($A40,$A$1,$A$3,$A$4,$A$5,$A$6)/1000,0)</f>
        <v>#NAME?</v>
      </c>
      <c r="M40" s="125" t="e">
        <f ca="1">ROUND(L40-K40,0)</f>
        <v>#NAME?</v>
      </c>
      <c r="N40" s="2"/>
      <c r="O40" s="2"/>
      <c r="P40" s="3"/>
      <c r="Q40" s="1"/>
      <c r="R40" s="1"/>
      <c r="S40" s="1"/>
      <c r="T40" s="1"/>
    </row>
    <row r="41" spans="1:20" ht="3" customHeight="1" x14ac:dyDescent="0.2">
      <c r="B41" s="7"/>
      <c r="C41" s="72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44</v>
      </c>
      <c r="B42" s="7" t="s">
        <v>7</v>
      </c>
      <c r="C42" s="72"/>
      <c r="D42" s="20" t="e">
        <f ca="1">E42</f>
        <v>#NAME?</v>
      </c>
      <c r="E42" s="12" t="e">
        <f ca="1">ROUND(_xll.HPVAL($A42,$A$1,$A$2,$A$4,$A$5,$A$6)/1000,0)</f>
        <v>#NAME?</v>
      </c>
      <c r="F42" s="125" t="e">
        <f ca="1">E42-D42</f>
        <v>#NAME?</v>
      </c>
      <c r="G42" s="2"/>
      <c r="H42" s="2"/>
      <c r="I42" s="3"/>
      <c r="J42" s="1"/>
      <c r="K42" s="20" t="e">
        <f ca="1">L42</f>
        <v>#NAME?</v>
      </c>
      <c r="L42" s="12" t="e">
        <f ca="1">ROUND(_xll.HPVAL($A42,$A$1,$A$3,$A$4,$A$5,$A$6)/1000,0)</f>
        <v>#NAME?</v>
      </c>
      <c r="M42" s="125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B44" s="7" t="s">
        <v>60</v>
      </c>
      <c r="C44" s="72"/>
      <c r="D44" s="20" t="e">
        <f ca="1">-SUM(D38:D42,D19,D26,D31)</f>
        <v>#NAME?</v>
      </c>
      <c r="E44" s="12" t="e">
        <f ca="1">-SUM(E38:E42,E19,E26,E31)</f>
        <v>#NAME?</v>
      </c>
      <c r="F44" s="125" t="e">
        <f ca="1">E44-D44</f>
        <v>#NAME?</v>
      </c>
      <c r="G44" s="2"/>
      <c r="H44" s="2"/>
      <c r="I44" s="3"/>
      <c r="J44" s="1"/>
      <c r="K44" s="20">
        <f>L44</f>
        <v>0</v>
      </c>
      <c r="L44" s="12"/>
      <c r="M44" s="125"/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s="114" customFormat="1" ht="11.25" customHeight="1" x14ac:dyDescent="0.2">
      <c r="B46" s="115" t="s">
        <v>10</v>
      </c>
      <c r="D46" s="120" t="e">
        <f ca="1">SUM(D38:D44)+D31+D26+D19</f>
        <v>#NAME?</v>
      </c>
      <c r="E46" s="121" t="e">
        <f ca="1">SUM(E38:E44)+E31+E26+E19</f>
        <v>#NAME?</v>
      </c>
      <c r="F46" s="121" t="e">
        <f ca="1">SUM(F38:F44)+F31+F26+F19</f>
        <v>#NAME?</v>
      </c>
      <c r="G46" s="118"/>
      <c r="H46" s="118"/>
      <c r="I46" s="119"/>
      <c r="K46" s="120" t="e">
        <f ca="1">SUM(K38:K44)+K31+K26+K19</f>
        <v>#NAME?</v>
      </c>
      <c r="L46" s="121" t="e">
        <f ca="1">SUM(L38:L44)+L31+L26+L19</f>
        <v>#NAME?</v>
      </c>
      <c r="M46" s="121" t="e">
        <f ca="1">SUM(M38:M44)+M31+M26+M19</f>
        <v>#NAME?</v>
      </c>
      <c r="N46" s="118"/>
      <c r="O46" s="118"/>
      <c r="P46" s="119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ht="11.25" customHeight="1" x14ac:dyDescent="0.2">
      <c r="A48" s="23" t="s">
        <v>45</v>
      </c>
      <c r="B48" s="7" t="s">
        <v>48</v>
      </c>
      <c r="C48" s="72"/>
      <c r="D48" s="20" t="e">
        <f ca="1">E48</f>
        <v>#NAME?</v>
      </c>
      <c r="E48" s="12" t="e">
        <f ca="1">_xll.HPVAL($A48,$A$1,$A$2,$A$4,$A$5,$A$6)/1000</f>
        <v>#NAME?</v>
      </c>
      <c r="F48" s="125" t="e">
        <f ca="1">E48-D48</f>
        <v>#NAME?</v>
      </c>
      <c r="G48" s="2"/>
      <c r="H48" s="2"/>
      <c r="I48" s="3"/>
      <c r="J48" s="1"/>
      <c r="K48" s="20" t="e">
        <f ca="1">-K46</f>
        <v>#NAME?</v>
      </c>
      <c r="L48" s="12" t="e">
        <f ca="1">-L46</f>
        <v>#NAME?</v>
      </c>
      <c r="M48" s="125" t="e">
        <f ca="1">ROUND(L48-K48,0)</f>
        <v>#NAME?</v>
      </c>
      <c r="N48" s="2"/>
      <c r="O48" s="2"/>
      <c r="P48" s="3"/>
      <c r="Q48" s="1"/>
      <c r="R48" s="1"/>
      <c r="S48" s="1"/>
      <c r="T48" s="1"/>
    </row>
    <row r="49" spans="2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2:20" s="114" customFormat="1" ht="11.25" customHeight="1" x14ac:dyDescent="0.2">
      <c r="B50" s="115" t="s">
        <v>14</v>
      </c>
      <c r="D50" s="108" t="e">
        <f ca="1">D48+D46</f>
        <v>#NAME?</v>
      </c>
      <c r="E50" s="109" t="e">
        <f ca="1">E48+E46</f>
        <v>#NAME?</v>
      </c>
      <c r="F50" s="109" t="e">
        <f ca="1">F48+F46</f>
        <v>#NAME?</v>
      </c>
      <c r="G50" s="118"/>
      <c r="H50" s="118"/>
      <c r="I50" s="119"/>
      <c r="K50" s="108" t="e">
        <f ca="1">K48+K46</f>
        <v>#NAME?</v>
      </c>
      <c r="L50" s="109" t="e">
        <f ca="1">L48+L46</f>
        <v>#NAME?</v>
      </c>
      <c r="M50" s="109" t="e">
        <f ca="1">M48+M46</f>
        <v>#NAME?</v>
      </c>
      <c r="N50" s="118"/>
      <c r="O50" s="118"/>
      <c r="P50" s="119"/>
    </row>
    <row r="51" spans="2:20" ht="3" customHeight="1" x14ac:dyDescent="0.2">
      <c r="B51" s="19"/>
      <c r="D51" s="21"/>
      <c r="E51" s="15"/>
      <c r="F51" s="15"/>
      <c r="G51" s="14"/>
      <c r="H51" s="14"/>
      <c r="I51" s="22"/>
      <c r="J51" s="1"/>
      <c r="K51" s="21"/>
      <c r="L51" s="15"/>
      <c r="M51" s="15"/>
      <c r="N51" s="14"/>
      <c r="O51" s="14"/>
      <c r="P51" s="22"/>
      <c r="Q51" s="1"/>
      <c r="R51" s="1"/>
      <c r="S51" s="1"/>
      <c r="T51" s="1"/>
    </row>
    <row r="52" spans="2:20" x14ac:dyDescent="0.2">
      <c r="D52" s="5"/>
      <c r="E52" s="5"/>
      <c r="F52" s="5"/>
      <c r="G52" s="1"/>
      <c r="H52" s="1"/>
      <c r="I52" s="1"/>
      <c r="J52" s="1"/>
      <c r="K52" s="5"/>
      <c r="L52" s="5"/>
      <c r="M52" s="5"/>
      <c r="N52" s="1"/>
      <c r="O52" s="1"/>
      <c r="P52" s="1"/>
      <c r="Q52" s="1"/>
      <c r="R52" s="1"/>
      <c r="S52" s="1"/>
      <c r="T52" s="1"/>
    </row>
    <row r="53" spans="2:20" x14ac:dyDescent="0.2">
      <c r="D53" s="5"/>
      <c r="E53" s="5"/>
      <c r="F53" s="5"/>
      <c r="G53" s="1"/>
      <c r="H53" s="1"/>
      <c r="I53" s="1"/>
      <c r="J53" s="1"/>
      <c r="K53" s="5"/>
      <c r="L53" s="5"/>
      <c r="M53" s="5"/>
      <c r="N53" s="1"/>
      <c r="O53" s="1"/>
      <c r="P53" s="1"/>
      <c r="Q53" s="1"/>
      <c r="R53" s="1"/>
      <c r="S53" s="1"/>
      <c r="T53" s="1"/>
    </row>
    <row r="54" spans="2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2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2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2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2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2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2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2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2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2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2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hidden="1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1:20" hidden="1" x14ac:dyDescent="0.2">
      <c r="A74" s="5"/>
      <c r="B74" s="1"/>
      <c r="C74" s="1"/>
      <c r="D74" s="1"/>
      <c r="E74" s="1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A75" s="5"/>
      <c r="B75" s="1"/>
      <c r="C75" s="1"/>
      <c r="D75" s="1"/>
      <c r="E75" s="1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hidden="1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5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48"/>
  <sheetViews>
    <sheetView workbookViewId="0">
      <selection activeCell="C33" sqref="C33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8" t="s">
        <v>17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5" x14ac:dyDescent="0.25">
      <c r="A2" s="23" t="s">
        <v>108</v>
      </c>
      <c r="B2" s="339" t="s">
        <v>165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 x14ac:dyDescent="0.2">
      <c r="A3" s="23" t="s">
        <v>109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32" t="s">
        <v>166</v>
      </c>
      <c r="E6" s="333"/>
      <c r="F6" s="334"/>
      <c r="G6" s="1"/>
      <c r="H6" s="332" t="s">
        <v>167</v>
      </c>
      <c r="I6" s="333"/>
      <c r="J6" s="334"/>
      <c r="K6" s="1"/>
      <c r="L6" s="332" t="s">
        <v>68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257</v>
      </c>
      <c r="B9" s="7" t="s">
        <v>3</v>
      </c>
      <c r="D9" s="87" t="e">
        <f ca="1">_xll.HPVAL($A9,$A$47,$A$2,$A$5,$A$6,$A$7)</f>
        <v>#NAME?</v>
      </c>
      <c r="E9" s="88" t="e">
        <f ca="1">_xll.HPVAL($A9,$A$47,$A$3,$A$5,$A$6,$A$7)</f>
        <v>#NAME?</v>
      </c>
      <c r="F9" s="89" t="e">
        <f ca="1">+D9+E9</f>
        <v>#NAME?</v>
      </c>
      <c r="G9" s="5"/>
      <c r="H9" s="87" t="e">
        <f ca="1">_xll.HPVAL($A9,$A$1,$A$2,$A$5,$A$6,$A$7)</f>
        <v>#NAME?</v>
      </c>
      <c r="I9" s="88" t="e">
        <f ca="1">_xll.HPVAL($A9,$A$1,$A$3,$A$5,$A$6,$A$7)</f>
        <v>#NAME?</v>
      </c>
      <c r="J9" s="89" t="e">
        <f ca="1">+H9+I9</f>
        <v>#NAME?</v>
      </c>
      <c r="K9" s="1"/>
      <c r="L9" s="87" t="e">
        <f ca="1">+D9-H9</f>
        <v>#NAME?</v>
      </c>
      <c r="M9" s="88" t="e">
        <f ca="1">+E9-I9</f>
        <v>#NAME?</v>
      </c>
      <c r="N9" s="8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 t="e">
        <f ca="1">_xll.HPVAL($A10,$A$47,$A$2,$A$5,$A$6,$A$7)</f>
        <v>#NAME?</v>
      </c>
      <c r="E10" s="88" t="e">
        <f ca="1">_xll.HPVAL($A10,$A$47,$A$3,$A$5,$A$6,$A$7)</f>
        <v>#NAME?</v>
      </c>
      <c r="F10" s="89" t="e">
        <f t="shared" ref="F10:F17" ca="1" si="0">+D10+E10</f>
        <v>#NAME?</v>
      </c>
      <c r="G10" s="5"/>
      <c r="H10" s="87" t="e">
        <f ca="1">_xll.HPVAL($A10,$A$1,$A$2,$A$5,$A$6,$A$7)</f>
        <v>#NAME?</v>
      </c>
      <c r="I10" s="88" t="e">
        <f ca="1">_xll.HPVAL($A10,$A$1,$A$3,$A$5,$A$6,$A$7)</f>
        <v>#NAME?</v>
      </c>
      <c r="J10" s="89" t="e">
        <f t="shared" ref="J10:J17" ca="1" si="1">+H10+I10</f>
        <v>#NAME?</v>
      </c>
      <c r="K10" s="1"/>
      <c r="L10" s="87" t="e">
        <f t="shared" ref="L10:L17" ca="1" si="2">+D10-H10</f>
        <v>#NAME?</v>
      </c>
      <c r="M10" s="88" t="e">
        <f t="shared" ref="M10:M17" ca="1" si="3">+E10-I10</f>
        <v>#NAME?</v>
      </c>
      <c r="N10" s="89" t="e">
        <f t="shared" ref="N10:N17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 t="e">
        <f ca="1">_xll.HPVAL($A11,$A$47,$A$2,$A$5,$A$6,$A$7)</f>
        <v>#NAME?</v>
      </c>
      <c r="E11" s="88" t="e">
        <f ca="1">_xll.HPVAL($A11,$A$47,$A$3,$A$5,$A$6,$A$7)</f>
        <v>#NAME?</v>
      </c>
      <c r="F11" s="89" t="e">
        <f t="shared" ca="1" si="0"/>
        <v>#NAME?</v>
      </c>
      <c r="G11" s="5"/>
      <c r="H11" s="87" t="e">
        <f ca="1">_xll.HPVAL($A11,$A$1,$A$2,$A$5,$A$6,$A$7)</f>
        <v>#NAME?</v>
      </c>
      <c r="I11" s="88" t="e">
        <f ca="1">_xll.HPVAL($A11,$A$1,$A$3,$A$5,$A$6,$A$7)</f>
        <v>#NAME?</v>
      </c>
      <c r="J11" s="89" t="e">
        <f t="shared" ca="1" si="1"/>
        <v>#NAME?</v>
      </c>
      <c r="K11" s="1"/>
      <c r="L11" s="87" t="e">
        <f t="shared" ca="1" si="2"/>
        <v>#NAME?</v>
      </c>
      <c r="M11" s="88" t="e">
        <f t="shared" ca="1" si="3"/>
        <v>#NAME?</v>
      </c>
      <c r="N11" s="8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 t="e">
        <f ca="1">_xll.HPVAL($A12,$A$47,$A$2,$A$5,$A$6,$A$7)</f>
        <v>#NAME?</v>
      </c>
      <c r="E12" s="88" t="e">
        <f ca="1">_xll.HPVAL($A12,$A$47,$A$3,$A$5,$A$6,$A$7)</f>
        <v>#NAME?</v>
      </c>
      <c r="F12" s="89" t="e">
        <f ca="1">+D12+E12</f>
        <v>#NAME?</v>
      </c>
      <c r="G12" s="5"/>
      <c r="H12" s="87" t="e">
        <f ca="1">_xll.HPVAL($A12,$A$1,$A$2,$A$5,$A$6,$A$7)</f>
        <v>#NAME?</v>
      </c>
      <c r="I12" s="88" t="e">
        <f ca="1">_xll.HPVAL($A12,$A$1,$A$3,$A$5,$A$6,$A$7)</f>
        <v>#NAME?</v>
      </c>
      <c r="J12" s="89" t="e">
        <f ca="1">+H12+I12</f>
        <v>#NAME?</v>
      </c>
      <c r="K12" s="1"/>
      <c r="L12" s="87" t="e">
        <f ca="1">+D12-H12</f>
        <v>#NAME?</v>
      </c>
      <c r="M12" s="88" t="e">
        <f ca="1">+E12-I12</f>
        <v>#NAME?</v>
      </c>
      <c r="N12" s="8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114</v>
      </c>
      <c r="C13" s="72"/>
      <c r="D13" s="87" t="e">
        <f ca="1">_xll.HPVAL($A13,$A$47,$A$2,$A$5,$A$6,$A$7)</f>
        <v>#NAME?</v>
      </c>
      <c r="E13" s="88" t="e">
        <f ca="1">_xll.HPVAL($A13,$A$47,$A$3,$A$5,$A$6,$A$7)</f>
        <v>#NAME?</v>
      </c>
      <c r="F13" s="89" t="e">
        <f t="shared" ca="1" si="0"/>
        <v>#NAME?</v>
      </c>
      <c r="G13" s="5"/>
      <c r="H13" s="87" t="e">
        <f ca="1">_xll.HPVAL($A13,$A$1,$A$2,$A$5,$A$6,$A$7)</f>
        <v>#NAME?</v>
      </c>
      <c r="I13" s="88" t="e">
        <f ca="1">_xll.HPVAL($A13,$A$1,$A$3,$A$5,$A$6,$A$7)</f>
        <v>#NAME?</v>
      </c>
      <c r="J13" s="89" t="e">
        <f t="shared" ca="1" si="1"/>
        <v>#NAME?</v>
      </c>
      <c r="K13" s="1"/>
      <c r="L13" s="87" t="e">
        <f t="shared" ca="1" si="2"/>
        <v>#NAME?</v>
      </c>
      <c r="M13" s="88" t="e">
        <f t="shared" ca="1" si="3"/>
        <v>#NAME?</v>
      </c>
      <c r="N13" s="8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5</v>
      </c>
      <c r="D14" s="87" t="e">
        <f ca="1">_xll.HPVAL($A14,$A$47,$A$2,$A$5,$A$6,$A$7)</f>
        <v>#NAME?</v>
      </c>
      <c r="E14" s="88" t="e">
        <f ca="1">_xll.HPVAL($A14,$A$47,$A$3,$A$5,$A$6,$A$7)</f>
        <v>#NAME?</v>
      </c>
      <c r="F14" s="89" t="e">
        <f t="shared" ca="1" si="0"/>
        <v>#NAME?</v>
      </c>
      <c r="G14" s="5"/>
      <c r="H14" s="87" t="e">
        <f ca="1">_xll.HPVAL($A14,$A$1,$A$2,$A$5,$A$6,$A$7)</f>
        <v>#NAME?</v>
      </c>
      <c r="I14" s="88" t="e">
        <f ca="1">_xll.HPVAL($A14,$A$1,$A$3,$A$5,$A$6,$A$7)</f>
        <v>#NAME?</v>
      </c>
      <c r="J14" s="89" t="e">
        <f t="shared" ca="1" si="1"/>
        <v>#NAME?</v>
      </c>
      <c r="K14" s="1"/>
      <c r="L14" s="87" t="e">
        <f t="shared" ca="1" si="2"/>
        <v>#NAME?</v>
      </c>
      <c r="M14" s="88" t="e">
        <f t="shared" ca="1" si="3"/>
        <v>#NAME?</v>
      </c>
      <c r="N14" s="8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 t="e">
        <f ca="1">_xll.HPVAL($A15,$A$47,$A$2,$A$5,$A$6,$A$7)</f>
        <v>#NAME?</v>
      </c>
      <c r="E15" s="88" t="e">
        <f ca="1">_xll.HPVAL($A15,$A$47,$A$3,$A$5,$A$6,$A$7)</f>
        <v>#NAME?</v>
      </c>
      <c r="F15" s="89" t="e">
        <f t="shared" ca="1" si="0"/>
        <v>#NAME?</v>
      </c>
      <c r="G15" s="5"/>
      <c r="H15" s="87" t="e">
        <f ca="1">_xll.HPVAL($A15,$A$1,$A$2,$A$5,$A$6,$A$7)</f>
        <v>#NAME?</v>
      </c>
      <c r="I15" s="88" t="e">
        <f ca="1">_xll.HPVAL($A15,$A$1,$A$3,$A$5,$A$6,$A$7)</f>
        <v>#NAME?</v>
      </c>
      <c r="J15" s="89" t="e">
        <f t="shared" ca="1" si="1"/>
        <v>#NAME?</v>
      </c>
      <c r="K15" s="1"/>
      <c r="L15" s="87" t="e">
        <f t="shared" ca="1" si="2"/>
        <v>#NAME?</v>
      </c>
      <c r="M15" s="88" t="e">
        <f t="shared" ca="1" si="3"/>
        <v>#NAME?</v>
      </c>
      <c r="N15" s="8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 t="e">
        <f ca="1">_xll.HPVAL($A16,$A$47,$A$2,$A$5,$A$6,$A$7)</f>
        <v>#NAME?</v>
      </c>
      <c r="E16" s="88" t="e">
        <f ca="1">_xll.HPVAL($A16,$A$47,$A$3,$A$5,$A$6,$A$7)</f>
        <v>#NAME?</v>
      </c>
      <c r="F16" s="89" t="e">
        <f t="shared" ca="1" si="0"/>
        <v>#NAME?</v>
      </c>
      <c r="G16" s="5"/>
      <c r="H16" s="87" t="e">
        <f ca="1">_xll.HPVAL($A16,$A$1,$A$2,$A$5,$A$6,$A$7)</f>
        <v>#NAME?</v>
      </c>
      <c r="I16" s="88" t="e">
        <f ca="1">_xll.HPVAL($A16,$A$1,$A$3,$A$5,$A$6,$A$7)</f>
        <v>#NAME?</v>
      </c>
      <c r="J16" s="89" t="e">
        <f t="shared" ca="1" si="1"/>
        <v>#NAME?</v>
      </c>
      <c r="K16" s="1"/>
      <c r="L16" s="87" t="e">
        <f t="shared" ca="1" si="2"/>
        <v>#NAME?</v>
      </c>
      <c r="M16" s="88" t="e">
        <f t="shared" ca="1" si="3"/>
        <v>#NAME?</v>
      </c>
      <c r="N16" s="8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 t="e">
        <f ca="1">_xll.HPVAL($A17,$A$47,$A$2,$A$5,$A$6,$A$7)</f>
        <v>#NAME?</v>
      </c>
      <c r="E17" s="88" t="e">
        <f ca="1">_xll.HPVAL($A17,$A$47,$A$3,$A$5,$A$6,$A$7)</f>
        <v>#NAME?</v>
      </c>
      <c r="F17" s="89" t="e">
        <f t="shared" ca="1" si="0"/>
        <v>#NAME?</v>
      </c>
      <c r="G17" s="5"/>
      <c r="H17" s="87" t="e">
        <f ca="1">_xll.HPVAL($A17,$A$1,$A$2,$A$5,$A$6,$A$7)</f>
        <v>#NAME?</v>
      </c>
      <c r="I17" s="88" t="e">
        <f ca="1">_xll.HPVAL($A17,$A$1,$A$3,$A$5,$A$6,$A$7)</f>
        <v>#NAME?</v>
      </c>
      <c r="J17" s="89" t="e">
        <f t="shared" ca="1" si="1"/>
        <v>#NAME?</v>
      </c>
      <c r="K17" s="1"/>
      <c r="L17" s="87" t="e">
        <f t="shared" ca="1" si="2"/>
        <v>#NAME?</v>
      </c>
      <c r="M17" s="88" t="e">
        <f t="shared" ca="1" si="3"/>
        <v>#NAME?</v>
      </c>
      <c r="N17" s="8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 t="e">
        <f ca="1">SUM(D9:D17)</f>
        <v>#NAME?</v>
      </c>
      <c r="E18" s="112" t="e">
        <f ca="1">SUM(E9:E17)</f>
        <v>#NAME?</v>
      </c>
      <c r="F18" s="130" t="e">
        <f ca="1">SUM(F9:F17)</f>
        <v>#NAME?</v>
      </c>
      <c r="G18" s="116"/>
      <c r="H18" s="111" t="e">
        <f ca="1">SUM(H9:H17)</f>
        <v>#NAME?</v>
      </c>
      <c r="I18" s="112" t="e">
        <f ca="1">SUM(I9:I17)</f>
        <v>#NAME?</v>
      </c>
      <c r="J18" s="130" t="e">
        <f ca="1">SUM(J9:J17)</f>
        <v>#NAME?</v>
      </c>
      <c r="K18" s="114"/>
      <c r="L18" s="111" t="e">
        <f ca="1">SUM(L9:L17)</f>
        <v>#NAME?</v>
      </c>
      <c r="M18" s="112" t="e">
        <f ca="1">SUM(M9:M17)</f>
        <v>#NAME?</v>
      </c>
      <c r="N18" s="130" t="e">
        <f ca="1">SUM(N9:N17)</f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 t="e">
        <f ca="1">_xll.HPVAL($A20,$A$47,$A$2,$A$5,$A$6,$A$7)</f>
        <v>#NAME?</v>
      </c>
      <c r="E20" s="88" t="e">
        <f ca="1">_xll.HPVAL($A20,$A$47,$A$3,$A$5,$A$6,$A$7)</f>
        <v>#NAME?</v>
      </c>
      <c r="F20" s="89" t="e">
        <f ca="1">+D20+E20</f>
        <v>#NAME?</v>
      </c>
      <c r="G20" s="5"/>
      <c r="H20" s="87" t="e">
        <f ca="1">_xll.HPVAL($A20,$A$1,$A$2,$A$5,$A$6,$A$7)</f>
        <v>#NAME?</v>
      </c>
      <c r="I20" s="88" t="e">
        <f ca="1">_xll.HPVAL($A20,$A$1,$A$3,$A$5,$A$6,$A$7)</f>
        <v>#NAME?</v>
      </c>
      <c r="J20" s="89" t="e">
        <f ca="1">+H20+I20</f>
        <v>#NAME?</v>
      </c>
      <c r="K20" s="1"/>
      <c r="L20" s="87" t="e">
        <f t="shared" ref="L20:M24" ca="1" si="5">+D20-H20</f>
        <v>#NAME?</v>
      </c>
      <c r="M20" s="88" t="e">
        <f t="shared" ca="1" si="5"/>
        <v>#NAME?</v>
      </c>
      <c r="N20" s="89" t="e">
        <f ca="1">+L20+M20</f>
        <v>#NAME?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 t="e">
        <f ca="1">_xll.HPVAL($A21,$A$47,$A$2,$A$5,$A$6,$A$7)</f>
        <v>#NAME?</v>
      </c>
      <c r="E21" s="88" t="e">
        <f ca="1">_xll.HPVAL($A21,$A$47,$A$3,$A$5,$A$6,$A$7)</f>
        <v>#NAME?</v>
      </c>
      <c r="F21" s="89" t="e">
        <f ca="1">+D21+E21</f>
        <v>#NAME?</v>
      </c>
      <c r="G21" s="5"/>
      <c r="H21" s="87" t="e">
        <f ca="1">_xll.HPVAL($A21,$A$1,$A$2,$A$5,$A$6,$A$7)</f>
        <v>#NAME?</v>
      </c>
      <c r="I21" s="88" t="e">
        <f ca="1">_xll.HPVAL($A21,$A$1,$A$3,$A$5,$A$6,$A$7)</f>
        <v>#NAME?</v>
      </c>
      <c r="J21" s="89" t="e">
        <f ca="1">+H21+I21</f>
        <v>#NAME?</v>
      </c>
      <c r="K21" s="1"/>
      <c r="L21" s="87" t="e">
        <f t="shared" ca="1" si="5"/>
        <v>#NAME?</v>
      </c>
      <c r="M21" s="88" t="e">
        <f t="shared" ca="1" si="5"/>
        <v>#NAME?</v>
      </c>
      <c r="N21" s="89" t="e">
        <f ca="1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255</v>
      </c>
      <c r="B22" s="7" t="s">
        <v>90</v>
      </c>
      <c r="D22" s="87" t="e">
        <f ca="1">_xll.HPVAL($A22,$A$47,$A$2,$A$5,$A$6,$A$7)</f>
        <v>#NAME?</v>
      </c>
      <c r="E22" s="88" t="e">
        <f ca="1">_xll.HPVAL($A22,$A$47,$A$3,$A$5,$A$6,$A$7)</f>
        <v>#NAME?</v>
      </c>
      <c r="F22" s="89" t="e">
        <f ca="1">+D22+E22</f>
        <v>#NAME?</v>
      </c>
      <c r="G22" s="5"/>
      <c r="H22" s="87" t="e">
        <f ca="1">_xll.HPVAL($A22,$A$1,$A$2,$A$5,$A$6,$A$7)</f>
        <v>#NAME?</v>
      </c>
      <c r="I22" s="88" t="e">
        <f ca="1">_xll.HPVAL($A22,$A$1,$A$3,$A$5,$A$6,$A$7)</f>
        <v>#NAME?</v>
      </c>
      <c r="J22" s="89" t="e">
        <f ca="1">+H22+I22</f>
        <v>#NAME?</v>
      </c>
      <c r="K22" s="1"/>
      <c r="L22" s="87" t="e">
        <f t="shared" ca="1" si="5"/>
        <v>#NAME?</v>
      </c>
      <c r="M22" s="88" t="e">
        <f t="shared" ca="1" si="5"/>
        <v>#NAME?</v>
      </c>
      <c r="N22" s="89" t="e">
        <f ca="1">+L22+M22</f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 t="e">
        <f ca="1">_xll.HPVAL($A23,$A$47,$A$2,$A$5,$A$6,$A$7)</f>
        <v>#NAME?</v>
      </c>
      <c r="E23" s="88" t="e">
        <f ca="1">_xll.HPVAL($A23,$A$47,$A$3,$A$5,$A$6,$A$7)</f>
        <v>#NAME?</v>
      </c>
      <c r="F23" s="89" t="e">
        <f ca="1">+D23+E23</f>
        <v>#NAME?</v>
      </c>
      <c r="G23" s="5"/>
      <c r="H23" s="87" t="e">
        <f ca="1">_xll.HPVAL($A23,$A$1,$A$2,$A$5,$A$6,$A$7)</f>
        <v>#NAME?</v>
      </c>
      <c r="I23" s="88" t="e">
        <f ca="1">_xll.HPVAL($A23,$A$1,$A$3,$A$5,$A$6,$A$7)</f>
        <v>#NAME?</v>
      </c>
      <c r="J23" s="89" t="e">
        <f ca="1">+H23+I23</f>
        <v>#NAME?</v>
      </c>
      <c r="K23" s="1"/>
      <c r="L23" s="87" t="e">
        <f t="shared" ca="1" si="5"/>
        <v>#NAME?</v>
      </c>
      <c r="M23" s="88" t="e">
        <f t="shared" ca="1" si="5"/>
        <v>#NAME?</v>
      </c>
      <c r="N23" s="89" t="e">
        <f ca="1">+L23+M23</f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36</v>
      </c>
      <c r="B24" s="7" t="s">
        <v>0</v>
      </c>
      <c r="D24" s="87" t="e">
        <f ca="1">_xll.HPVAL($A24,$A$47,$A$2,$A$5,$A$6,$A$7)</f>
        <v>#NAME?</v>
      </c>
      <c r="E24" s="88" t="e">
        <f ca="1">_xll.HPVAL($A24,$A$47,$A$3,$A$5,$A$6,$A$7)</f>
        <v>#NAME?</v>
      </c>
      <c r="F24" s="89" t="e">
        <f ca="1">+D24+E24</f>
        <v>#NAME?</v>
      </c>
      <c r="G24" s="5"/>
      <c r="H24" s="87" t="e">
        <f ca="1">_xll.HPVAL($A24,$A$1,$A$2,$A$5,$A$6,$A$7)</f>
        <v>#NAME?</v>
      </c>
      <c r="I24" s="88" t="e">
        <f ca="1">_xll.HPVAL($A24,$A$1,$A$3,$A$5,$A$6,$A$7)</f>
        <v>#NAME?</v>
      </c>
      <c r="J24" s="89" t="e">
        <f ca="1">+H24+I24</f>
        <v>#NAME?</v>
      </c>
      <c r="K24" s="1"/>
      <c r="L24" s="87" t="e">
        <f t="shared" ca="1" si="5"/>
        <v>#NAME?</v>
      </c>
      <c r="M24" s="88" t="e">
        <f t="shared" ca="1" si="5"/>
        <v>#NAME?</v>
      </c>
      <c r="N24" s="89" t="e">
        <f ca="1">+L24+M24</f>
        <v>#NAME?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115" t="s">
        <v>1</v>
      </c>
      <c r="C25" s="114"/>
      <c r="D25" s="111" t="e">
        <f ca="1">SUM(D20:D24)</f>
        <v>#NAME?</v>
      </c>
      <c r="E25" s="112" t="e">
        <f ca="1">SUM(E20:E24)</f>
        <v>#NAME?</v>
      </c>
      <c r="F25" s="130" t="e">
        <f ca="1">SUM(F20:F24)</f>
        <v>#NAME?</v>
      </c>
      <c r="G25" s="116"/>
      <c r="H25" s="111" t="e">
        <f ca="1">SUM(H20:H24)</f>
        <v>#NAME?</v>
      </c>
      <c r="I25" s="112" t="e">
        <f ca="1">SUM(I20:I24)</f>
        <v>#NAME?</v>
      </c>
      <c r="J25" s="130" t="e">
        <f ca="1">SUM(J20:J24)</f>
        <v>#NAME?</v>
      </c>
      <c r="K25" s="114"/>
      <c r="L25" s="111" t="e">
        <f ca="1">SUM(L20:L24)</f>
        <v>#NAME?</v>
      </c>
      <c r="M25" s="112" t="e">
        <f ca="1">SUM(M20:M24)</f>
        <v>#NAME?</v>
      </c>
      <c r="N25" s="130" t="e">
        <f ca="1">SUM(N20:N24)</f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3" customHeight="1" x14ac:dyDescent="0.2">
      <c r="B26" s="7"/>
      <c r="D26" s="87"/>
      <c r="E26" s="88"/>
      <c r="F26" s="89"/>
      <c r="G26" s="5"/>
      <c r="H26" s="87"/>
      <c r="I26" s="88"/>
      <c r="J26" s="89"/>
      <c r="K26" s="1"/>
      <c r="L26" s="87"/>
      <c r="M26" s="88"/>
      <c r="N26" s="8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37</v>
      </c>
      <c r="B27" s="7" t="s">
        <v>67</v>
      </c>
      <c r="D27" s="87" t="e">
        <f ca="1">_xll.HPVAL($A27,$A$47,$A$2,$A$5,$A$6,$A$7)</f>
        <v>#NAME?</v>
      </c>
      <c r="E27" s="88" t="e">
        <f ca="1">_xll.HPVAL($A27,$A$47,$A$3,$A$5,$A$6,$A$7)</f>
        <v>#NAME?</v>
      </c>
      <c r="F27" s="89" t="e">
        <f ca="1">+D27+E27</f>
        <v>#NAME?</v>
      </c>
      <c r="G27" s="5"/>
      <c r="H27" s="87" t="e">
        <f ca="1">_xll.HPVAL($A27,$A$1,$A$2,$A$5,$A$6,$A$7)</f>
        <v>#NAME?</v>
      </c>
      <c r="I27" s="88" t="e">
        <f ca="1">_xll.HPVAL($A27,$A$1,$A$3,$A$5,$A$6,$A$7)</f>
        <v>#NAME?</v>
      </c>
      <c r="J27" s="89" t="e">
        <f ca="1">+H27+I27</f>
        <v>#NAME?</v>
      </c>
      <c r="K27" s="1"/>
      <c r="L27" s="87" t="e">
        <f t="shared" ref="L27:M29" ca="1" si="6">+D27-H27</f>
        <v>#NAME?</v>
      </c>
      <c r="M27" s="88" t="e">
        <f t="shared" ca="1" si="6"/>
        <v>#NAME?</v>
      </c>
      <c r="N27" s="89" t="e">
        <f ca="1">+L27+M27</f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41</v>
      </c>
      <c r="B28" s="7" t="s">
        <v>92</v>
      </c>
      <c r="C28" s="72"/>
      <c r="D28" s="87" t="e">
        <f ca="1">_xll.HPVAL($A28,$A$47,$A$2,$A$5,$A$6,$A$7)</f>
        <v>#NAME?</v>
      </c>
      <c r="E28" s="88" t="e">
        <f ca="1">_xll.HPVAL($A28,$A$47,$A$3,$A$5,$A$6,$A$7)</f>
        <v>#NAME?</v>
      </c>
      <c r="F28" s="89" t="e">
        <f ca="1">+D28+E28</f>
        <v>#NAME?</v>
      </c>
      <c r="G28" s="5"/>
      <c r="H28" s="87" t="e">
        <f ca="1">_xll.HPVAL($A28,$A$1,$A$2,$A$5,$A$6,$A$7)</f>
        <v>#NAME?</v>
      </c>
      <c r="I28" s="88" t="e">
        <f ca="1">_xll.HPVAL($A28,$A$1,$A$3,$A$5,$A$6,$A$7)</f>
        <v>#NAME?</v>
      </c>
      <c r="J28" s="89" t="e">
        <f ca="1">+H28+I28</f>
        <v>#NAME?</v>
      </c>
      <c r="K28" s="1"/>
      <c r="L28" s="87" t="e">
        <f t="shared" ca="1" si="6"/>
        <v>#NAME?</v>
      </c>
      <c r="M28" s="88" t="e">
        <f t="shared" ca="1" si="6"/>
        <v>#NAME?</v>
      </c>
      <c r="N28" s="89" t="e">
        <f ca="1">+L28+M28</f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42</v>
      </c>
      <c r="B29" s="7" t="s">
        <v>93</v>
      </c>
      <c r="C29" s="72"/>
      <c r="D29" s="87" t="e">
        <f ca="1">_xll.HPVAL($A29,$A$47,$A$2,$A$5,$A$6,$A$7)</f>
        <v>#NAME?</v>
      </c>
      <c r="E29" s="88" t="e">
        <f ca="1">_xll.HPVAL($A29,$A$47,$A$3,$A$5,$A$6,$A$7)</f>
        <v>#NAME?</v>
      </c>
      <c r="F29" s="89" t="e">
        <f ca="1">+D29+E29</f>
        <v>#NAME?</v>
      </c>
      <c r="G29" s="5"/>
      <c r="H29" s="87" t="e">
        <f ca="1">_xll.HPVAL($A29,$A$1,$A$2,$A$5,$A$6,$A$7)</f>
        <v>#NAME?</v>
      </c>
      <c r="I29" s="88" t="e">
        <f ca="1">_xll.HPVAL($A29,$A$1,$A$3,$A$5,$A$6,$A$7)</f>
        <v>#NAME?</v>
      </c>
      <c r="J29" s="89" t="e">
        <f ca="1">+H29+I29</f>
        <v>#NAME?</v>
      </c>
      <c r="K29" s="1"/>
      <c r="L29" s="87" t="e">
        <f t="shared" ca="1" si="6"/>
        <v>#NAME?</v>
      </c>
      <c r="M29" s="88" t="e">
        <f t="shared" ca="1" si="6"/>
        <v>#NAME?</v>
      </c>
      <c r="N29" s="89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B30" s="115" t="s">
        <v>86</v>
      </c>
      <c r="C30" s="114"/>
      <c r="D30" s="111" t="e">
        <f ca="1">SUM(D27:D29)</f>
        <v>#NAME?</v>
      </c>
      <c r="E30" s="112" t="e">
        <f ca="1">SUM(E27:E29)</f>
        <v>#NAME?</v>
      </c>
      <c r="F30" s="130" t="e">
        <f ca="1">SUM(F27:F29)</f>
        <v>#NAME?</v>
      </c>
      <c r="G30" s="116"/>
      <c r="H30" s="111" t="e">
        <f ca="1">SUM(H27:H29)</f>
        <v>#NAME?</v>
      </c>
      <c r="I30" s="112" t="e">
        <f ca="1">SUM(I27:I29)</f>
        <v>#NAME?</v>
      </c>
      <c r="J30" s="130" t="e">
        <f ca="1">SUM(J27:J29)</f>
        <v>#NAME?</v>
      </c>
      <c r="K30" s="114"/>
      <c r="L30" s="111" t="e">
        <f ca="1">SUM(L27:L29)</f>
        <v>#NAME?</v>
      </c>
      <c r="M30" s="112" t="e">
        <f ca="1">SUM(M27:M29)</f>
        <v>#NAME?</v>
      </c>
      <c r="N30" s="130" t="e">
        <f ca="1">SUM(N27:N29)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3" customHeight="1" x14ac:dyDescent="0.2">
      <c r="B31" s="7"/>
      <c r="D31" s="87"/>
      <c r="E31" s="88"/>
      <c r="F31" s="89"/>
      <c r="G31" s="5"/>
      <c r="H31" s="87"/>
      <c r="I31" s="88"/>
      <c r="J31" s="89"/>
      <c r="K31" s="1"/>
      <c r="L31" s="87"/>
      <c r="M31" s="88"/>
      <c r="N31" s="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40</v>
      </c>
      <c r="B32" s="7" t="s">
        <v>9</v>
      </c>
      <c r="D32" s="87" t="e">
        <f ca="1">_xll.HPVAL($A32,$A$47,$A$2,$A$5,$A$6,$A$7)</f>
        <v>#NAME?</v>
      </c>
      <c r="E32" s="88" t="e">
        <f ca="1">_xll.HPVAL($A32,$A$47,$A$3,$A$5,$A$6,$A$7)</f>
        <v>#NAME?</v>
      </c>
      <c r="F32" s="89" t="e">
        <f ca="1">+D32+E32</f>
        <v>#NAME?</v>
      </c>
      <c r="G32" s="5"/>
      <c r="H32" s="87" t="e">
        <f ca="1">_xll.HPVAL($A32,$A$1,$A$2,$A$5,$A$6,$A$7)</f>
        <v>#NAME?</v>
      </c>
      <c r="I32" s="88" t="e">
        <f ca="1">_xll.HPVAL($A32,$A$1,$A$3,$A$5,$A$6,$A$7)</f>
        <v>#NAME?</v>
      </c>
      <c r="J32" s="89" t="e">
        <f ca="1">+H32+I32</f>
        <v>#NAME?</v>
      </c>
      <c r="K32" s="1"/>
      <c r="L32" s="87" t="e">
        <f t="shared" ref="L32:M34" ca="1" si="7">+D32-H32</f>
        <v>#NAME?</v>
      </c>
      <c r="M32" s="88" t="e">
        <f t="shared" ca="1" si="7"/>
        <v>#NAME?</v>
      </c>
      <c r="N32" s="89" t="e">
        <f ca="1">+L32+M32</f>
        <v>#NAME?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39</v>
      </c>
      <c r="B33" s="7" t="s">
        <v>151</v>
      </c>
      <c r="D33" s="87" t="e">
        <f ca="1">_xll.HPVAL($A33,$A$47,$A$2,$A$5,$A$6,$A$7)</f>
        <v>#NAME?</v>
      </c>
      <c r="E33" s="88" t="e">
        <f ca="1">_xll.HPVAL($A33,$A$47,$A$3,$A$5,$A$6,$A$7)</f>
        <v>#NAME?</v>
      </c>
      <c r="F33" s="89" t="e">
        <f ca="1">+D33+E33</f>
        <v>#NAME?</v>
      </c>
      <c r="G33" s="5"/>
      <c r="H33" s="87" t="e">
        <f ca="1">_xll.HPVAL($A33,$A$1,$A$2,$A$5,$A$6,$A$7)</f>
        <v>#NAME?</v>
      </c>
      <c r="I33" s="88" t="e">
        <f ca="1">_xll.HPVAL($A33,$A$1,$A$3,$A$5,$A$6,$A$7)</f>
        <v>#NAME?</v>
      </c>
      <c r="J33" s="89" t="e">
        <f ca="1">+H33+I33</f>
        <v>#NAME?</v>
      </c>
      <c r="K33" s="1"/>
      <c r="L33" s="87" t="e">
        <f t="shared" ca="1" si="7"/>
        <v>#NAME?</v>
      </c>
      <c r="M33" s="88" t="e">
        <f t="shared" ca="1" si="7"/>
        <v>#NAME?</v>
      </c>
      <c r="N33" s="89" t="e">
        <f ca="1">+L33+M33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hidden="1" customHeight="1" x14ac:dyDescent="0.2">
      <c r="A34" s="23" t="s">
        <v>153</v>
      </c>
      <c r="B34" s="7" t="s">
        <v>180</v>
      </c>
      <c r="D34" s="87" t="e">
        <f ca="1">_xll.HPVAL($A34,$A$47,$A$2,$A$5,$A$6,$A$7)</f>
        <v>#NAME?</v>
      </c>
      <c r="E34" s="88" t="e">
        <f ca="1">_xll.HPVAL($A34,$A$47,$A$3,$A$5,$A$6,$A$7)</f>
        <v>#NAME?</v>
      </c>
      <c r="F34" s="89" t="e">
        <f ca="1">+D34+E34</f>
        <v>#NAME?</v>
      </c>
      <c r="G34" s="5"/>
      <c r="H34" s="87" t="e">
        <f ca="1">_xll.HPVAL($A34,$A$1,$A$2,$A$5,$A$6,$A$7)</f>
        <v>#NAME?</v>
      </c>
      <c r="I34" s="88" t="e">
        <f ca="1">_xll.HPVAL($A34,$A$1,$A$3,$A$5,$A$6,$A$7)</f>
        <v>#NAME?</v>
      </c>
      <c r="J34" s="89" t="e">
        <f ca="1">+H34+I34</f>
        <v>#NAME?</v>
      </c>
      <c r="K34" s="1"/>
      <c r="L34" s="87" t="e">
        <f t="shared" ca="1" si="7"/>
        <v>#NAME?</v>
      </c>
      <c r="M34" s="88" t="e">
        <f t="shared" ca="1" si="7"/>
        <v>#NAME?</v>
      </c>
      <c r="N34" s="89" t="e">
        <f ca="1">+L34+M34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hidden="1" customHeight="1" x14ac:dyDescent="0.2">
      <c r="A35" s="23" t="s">
        <v>157</v>
      </c>
      <c r="B35" s="7" t="s">
        <v>154</v>
      </c>
      <c r="D35" s="87" t="e">
        <f ca="1">_xll.HPVAL($A35,$A$47,$A$2,$A$5,$A$6,$A$7)</f>
        <v>#NAME?</v>
      </c>
      <c r="E35" s="88" t="e">
        <f ca="1">_xll.HPVAL($A35,$A$47,$A$3,$A$5,$A$6,$A$7)</f>
        <v>#NAME?</v>
      </c>
      <c r="F35" s="89" t="e">
        <f ca="1">+D35+E35</f>
        <v>#NAME?</v>
      </c>
      <c r="G35" s="5"/>
      <c r="H35" s="87" t="e">
        <f ca="1">_xll.HPVAL($A35,$A$1,$A$2,$A$5,$A$6,$A$7)</f>
        <v>#NAME?</v>
      </c>
      <c r="I35" s="88" t="e">
        <f ca="1">_xll.HPVAL($A35,$A$1,$A$3,$A$5,$A$6,$A$7)</f>
        <v>#NAME?</v>
      </c>
      <c r="J35" s="89" t="e">
        <f ca="1">+H35+I35</f>
        <v>#NAME?</v>
      </c>
      <c r="K35" s="1"/>
      <c r="L35" s="87" t="e">
        <f ca="1">+D35-H35</f>
        <v>#NAME?</v>
      </c>
      <c r="M35" s="88" t="e">
        <f ca="1">+E35-I35</f>
        <v>#NAME?</v>
      </c>
      <c r="N35" s="89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B36" s="7" t="s">
        <v>154</v>
      </c>
      <c r="D36" s="87" t="e">
        <f ca="1">SUM(D34:D35)</f>
        <v>#NAME?</v>
      </c>
      <c r="E36" s="88" t="e">
        <f ca="1">SUM(E34:E35)</f>
        <v>#NAME?</v>
      </c>
      <c r="F36" s="89" t="e">
        <f ca="1">SUM(F34:F35)</f>
        <v>#NAME?</v>
      </c>
      <c r="G36" s="5"/>
      <c r="H36" s="87" t="e">
        <f ca="1">SUM(H34:H35)</f>
        <v>#NAME?</v>
      </c>
      <c r="I36" s="88" t="e">
        <f ca="1">SUM(I34:I35)</f>
        <v>#NAME?</v>
      </c>
      <c r="J36" s="89" t="e">
        <f ca="1">SUM(J34:J35)</f>
        <v>#NAME?</v>
      </c>
      <c r="K36" s="1"/>
      <c r="L36" s="87" t="e">
        <f ca="1">SUM(L34:L35)</f>
        <v>#NAME?</v>
      </c>
      <c r="M36" s="88" t="e">
        <f ca="1">SUM(M34:M35)</f>
        <v>#NAME?</v>
      </c>
      <c r="N36" s="89" t="e">
        <f ca="1">SUM(N34:N35)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B37" s="115" t="s">
        <v>87</v>
      </c>
      <c r="C37" s="114"/>
      <c r="D37" s="111" t="e">
        <f ca="1">SUM(D32:D35)</f>
        <v>#NAME?</v>
      </c>
      <c r="E37" s="112" t="e">
        <f ca="1">SUM(E32:E35)</f>
        <v>#NAME?</v>
      </c>
      <c r="F37" s="130" t="e">
        <f ca="1">SUM(F32:F35)</f>
        <v>#NAME?</v>
      </c>
      <c r="G37" s="116"/>
      <c r="H37" s="111" t="e">
        <f ca="1">SUM(H32:H35)</f>
        <v>#NAME?</v>
      </c>
      <c r="I37" s="112" t="e">
        <f ca="1">SUM(I32:I35)</f>
        <v>#NAME?</v>
      </c>
      <c r="J37" s="130" t="e">
        <f ca="1">SUM(J32:J35)</f>
        <v>#NAME?</v>
      </c>
      <c r="K37" s="114"/>
      <c r="L37" s="111" t="e">
        <f ca="1">SUM(L32:L35)</f>
        <v>#NAME?</v>
      </c>
      <c r="M37" s="112" t="e">
        <f ca="1">SUM(M32:M35)</f>
        <v>#NAME?</v>
      </c>
      <c r="N37" s="130" t="e">
        <f ca="1">SUM(N32:N35)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3" customHeight="1" x14ac:dyDescent="0.2">
      <c r="B38" s="7"/>
      <c r="D38" s="87"/>
      <c r="E38" s="88"/>
      <c r="F38" s="89"/>
      <c r="G38" s="5"/>
      <c r="H38" s="87"/>
      <c r="I38" s="88"/>
      <c r="J38" s="89"/>
      <c r="K38" s="1"/>
      <c r="L38" s="87"/>
      <c r="M38" s="88"/>
      <c r="N38" s="89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82</v>
      </c>
      <c r="B39" s="7" t="s">
        <v>8</v>
      </c>
      <c r="C39" s="72"/>
      <c r="D39" s="87" t="e">
        <f ca="1">_xll.HPVAL($A39,$A$47,$A$2,$A$5,$A$6,$A$7)</f>
        <v>#NAME?</v>
      </c>
      <c r="E39" s="88" t="e">
        <f ca="1">_xll.HPVAL($A39,$A$47,$A$3,$A$5,$A$6,$A$7)</f>
        <v>#NAME?</v>
      </c>
      <c r="F39" s="89" t="e">
        <f ca="1">+D39+E39</f>
        <v>#NAME?</v>
      </c>
      <c r="G39" s="5"/>
      <c r="H39" s="87" t="e">
        <f ca="1">_xll.HPVAL($A39,$A$1,$A$2,$A$5,$A$6,$A$7)</f>
        <v>#NAME?</v>
      </c>
      <c r="I39" s="88" t="e">
        <f ca="1">_xll.HPVAL($A39,$A$1,$A$3,$A$5,$A$6,$A$7)</f>
        <v>#NAME?</v>
      </c>
      <c r="J39" s="89" t="e">
        <f ca="1">+H39+I39</f>
        <v>#NAME?</v>
      </c>
      <c r="K39" s="1"/>
      <c r="L39" s="87" t="e">
        <f ca="1">+D39-H39</f>
        <v>#NAME?</v>
      </c>
      <c r="M39" s="88" t="e">
        <f ca="1">+E39-I39</f>
        <v>#NAME?</v>
      </c>
      <c r="N39" s="89" t="e">
        <f ca="1">+L39+M39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C40" s="72"/>
      <c r="D40" s="87"/>
      <c r="E40" s="88"/>
      <c r="F40" s="89">
        <f>+D40+E40</f>
        <v>0</v>
      </c>
      <c r="G40" s="5"/>
      <c r="H40" s="87"/>
      <c r="I40" s="88"/>
      <c r="J40" s="89">
        <f>+H40+I40</f>
        <v>0</v>
      </c>
      <c r="K40" s="1"/>
      <c r="L40" s="87"/>
      <c r="M40" s="88"/>
      <c r="N40" s="89">
        <f>+L40+M40</f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5" t="s">
        <v>44</v>
      </c>
      <c r="B41" s="7" t="s">
        <v>7</v>
      </c>
      <c r="C41" s="72"/>
      <c r="D41" s="87" t="e">
        <f ca="1">_xll.HPVAL($A41,$A$47,$A$2,$A$5,$A$6,$A$7)</f>
        <v>#NAME?</v>
      </c>
      <c r="E41" s="88" t="e">
        <f ca="1">_xll.HPVAL($A41,$A$47,$A$3,$A$5,$A$6,$A$7)</f>
        <v>#NAME?</v>
      </c>
      <c r="F41" s="89" t="e">
        <f ca="1">+D41+E41</f>
        <v>#NAME?</v>
      </c>
      <c r="G41" s="5"/>
      <c r="H41" s="87" t="e">
        <f ca="1">_xll.HPVAL($A41,$A$1,$A$2,$A$5,$A$6,$A$7)</f>
        <v>#NAME?</v>
      </c>
      <c r="I41" s="88" t="e">
        <f ca="1">_xll.HPVAL($A41,$A$1,$A$3,$A$5,$A$6,$A$7)</f>
        <v>#NAME?</v>
      </c>
      <c r="J41" s="89" t="e">
        <f ca="1">+H41+I41</f>
        <v>#NAME?</v>
      </c>
      <c r="K41" s="1"/>
      <c r="L41" s="87" t="e">
        <f ca="1">+D41-H41</f>
        <v>#NAME?</v>
      </c>
      <c r="M41" s="88" t="e">
        <f ca="1">+E41-I41</f>
        <v>#NAME?</v>
      </c>
      <c r="N41" s="89" t="e">
        <f ca="1">+L41+M41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87"/>
      <c r="E42" s="88"/>
      <c r="F42" s="89"/>
      <c r="G42" s="5"/>
      <c r="H42" s="87"/>
      <c r="I42" s="88"/>
      <c r="J42" s="89"/>
      <c r="K42" s="1"/>
      <c r="L42" s="87"/>
      <c r="M42" s="88"/>
      <c r="N42" s="8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s="114" customFormat="1" ht="11.25" customHeight="1" x14ac:dyDescent="0.2">
      <c r="A43" s="23"/>
      <c r="B43" s="115" t="s">
        <v>10</v>
      </c>
      <c r="D43" s="111" t="e">
        <f ca="1">SUM(D37:D41)+D18+D25+D30</f>
        <v>#NAME?</v>
      </c>
      <c r="E43" s="112" t="e">
        <f ca="1">SUM(E37:E41)+E18+E25+E30</f>
        <v>#NAME?</v>
      </c>
      <c r="F43" s="130" t="e">
        <f ca="1">SUM(F37:F41)+F18+F25+F30</f>
        <v>#NAME?</v>
      </c>
      <c r="G43" s="116"/>
      <c r="H43" s="111" t="e">
        <f ca="1">SUM(H37:H41)+H18+H25+H30</f>
        <v>#NAME?</v>
      </c>
      <c r="I43" s="112" t="e">
        <f ca="1">SUM(I37:I41)+I18+I25+I30</f>
        <v>#NAME?</v>
      </c>
      <c r="J43" s="130" t="e">
        <f ca="1">SUM(J37:J41)+J18+J25+J30</f>
        <v>#NAME?</v>
      </c>
      <c r="L43" s="111" t="e">
        <f ca="1">SUM(L37:L41)+L18+L25+L30</f>
        <v>#NAME?</v>
      </c>
      <c r="M43" s="112" t="e">
        <f ca="1">SUM(M37:M41)+M18+M25+M30</f>
        <v>#NAME?</v>
      </c>
      <c r="N43" s="130" t="e">
        <f ca="1">SUM(N37:N41)+N18+N25+N30</f>
        <v>#NAME?</v>
      </c>
    </row>
    <row r="44" spans="1:40" ht="3" customHeight="1" x14ac:dyDescent="0.2">
      <c r="A44" s="114"/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3" t="s">
        <v>45</v>
      </c>
      <c r="B45" s="7" t="s">
        <v>48</v>
      </c>
      <c r="C45" s="72"/>
      <c r="D45" s="87"/>
      <c r="E45" s="88" t="e">
        <f ca="1">_xll.HPVAL($A45,$A$47,"total_headcount",$A$5,$A$6,$A$7)</f>
        <v>#NAME?</v>
      </c>
      <c r="F45" s="89" t="e">
        <f ca="1">+D45+E45</f>
        <v>#NAME?</v>
      </c>
      <c r="G45" s="5"/>
      <c r="H45" s="87"/>
      <c r="I45" s="88" t="e">
        <f ca="1">_xll.HPVAL($A45,$A$1,"total_headcount",$A$5,$A$6,$A$7)</f>
        <v>#NAME?</v>
      </c>
      <c r="J45" s="89" t="e">
        <f ca="1">+H45+I45</f>
        <v>#NAME?</v>
      </c>
      <c r="K45" s="1"/>
      <c r="L45" s="87">
        <f>+D45-H45</f>
        <v>0</v>
      </c>
      <c r="M45" s="88" t="e">
        <f ca="1">+E45-I45</f>
        <v>#NAME?</v>
      </c>
      <c r="N45" s="89" t="e">
        <f ca="1">+L45+M45</f>
        <v>#NAME?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A46" s="23" t="s">
        <v>45</v>
      </c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72" customFormat="1" ht="11.25" customHeight="1" x14ac:dyDescent="0.2">
      <c r="A47" s="23" t="s">
        <v>64</v>
      </c>
      <c r="B47" s="107" t="s">
        <v>14</v>
      </c>
      <c r="D47" s="111" t="e">
        <f ca="1">D43+D45</f>
        <v>#NAME?</v>
      </c>
      <c r="E47" s="112" t="e">
        <f ca="1">E43+E45</f>
        <v>#NAME?</v>
      </c>
      <c r="F47" s="130" t="e">
        <f ca="1">F43+F45</f>
        <v>#NAME?</v>
      </c>
      <c r="G47" s="5"/>
      <c r="H47" s="111" t="e">
        <f ca="1">H43+H45</f>
        <v>#NAME?</v>
      </c>
      <c r="I47" s="112" t="e">
        <f ca="1">I43+I45</f>
        <v>#NAME?</v>
      </c>
      <c r="J47" s="130" t="e">
        <f ca="1">J43+J45</f>
        <v>#NAME?</v>
      </c>
      <c r="K47" s="1"/>
      <c r="L47" s="111" t="e">
        <f ca="1">L43+L45</f>
        <v>#NAME?</v>
      </c>
      <c r="M47" s="112" t="e">
        <f ca="1">M43+M45</f>
        <v>#NAME?</v>
      </c>
      <c r="N47" s="130" t="e">
        <f ca="1">N43+N45</f>
        <v>#NAME?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114"/>
      <c r="B48" s="19"/>
      <c r="D48" s="13"/>
      <c r="E48" s="14"/>
      <c r="F48" s="22"/>
      <c r="G48" s="1"/>
      <c r="H48" s="13"/>
      <c r="I48" s="14"/>
      <c r="J48" s="22"/>
      <c r="K48" s="1"/>
      <c r="L48" s="13"/>
      <c r="M48" s="14"/>
      <c r="N48" s="2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activeCell="C33" sqref="C33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5703125" style="27" customWidth="1"/>
    <col min="10" max="10" width="0.85546875" style="27" customWidth="1"/>
    <col min="11" max="13" width="8.7109375" style="27" customWidth="1"/>
    <col min="14" max="14" width="0.85546875" style="27" customWidth="1"/>
    <col min="15" max="15" width="8.7109375" style="27" customWidth="1"/>
    <col min="16" max="19" width="7.7109375" style="27" customWidth="1"/>
    <col min="20" max="21" width="8.7109375" style="27" customWidth="1"/>
    <col min="22" max="22" width="0.85546875" style="27" customWidth="1"/>
    <col min="23" max="16384" width="9.140625" style="27"/>
  </cols>
  <sheetData>
    <row r="1" spans="1:22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268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 s="201" t="s">
        <v>269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">
      <c r="A6" s="282" t="s">
        <v>16</v>
      </c>
      <c r="B6" s="293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5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5">
      <c r="A8" s="230" t="s">
        <v>3</v>
      </c>
      <c r="B8" s="270"/>
      <c r="C8" s="59">
        <f>59009-6286</f>
        <v>52723</v>
      </c>
      <c r="D8" s="59">
        <v>41592</v>
      </c>
      <c r="E8" s="234">
        <f>+C8-D8</f>
        <v>11131</v>
      </c>
      <c r="F8" s="274"/>
      <c r="G8" s="60">
        <f>15010+72</f>
        <v>15082</v>
      </c>
      <c r="H8" s="294">
        <f>16105+169</f>
        <v>16274</v>
      </c>
      <c r="I8" s="234">
        <f>+H8-G8</f>
        <v>1192</v>
      </c>
      <c r="J8" s="237"/>
      <c r="K8" s="233">
        <f>+C8-G8</f>
        <v>37641</v>
      </c>
      <c r="L8" s="59">
        <f>+D8-H8</f>
        <v>25318</v>
      </c>
      <c r="M8" s="234">
        <f>+K8-L8</f>
        <v>12323</v>
      </c>
    </row>
    <row r="9" spans="1:22" ht="12" customHeight="1" x14ac:dyDescent="0.25">
      <c r="A9" s="230" t="s">
        <v>106</v>
      </c>
      <c r="B9" s="270"/>
      <c r="C9" s="41">
        <f>55253+27841</f>
        <v>83094</v>
      </c>
      <c r="D9" s="41">
        <f>31680-1729</f>
        <v>29951</v>
      </c>
      <c r="E9" s="236">
        <f>+C9-D9</f>
        <v>53143</v>
      </c>
      <c r="F9" s="274"/>
      <c r="G9" s="42">
        <f>10718+13150</f>
        <v>23868</v>
      </c>
      <c r="H9" s="295">
        <f>10220+13596</f>
        <v>23816</v>
      </c>
      <c r="I9" s="236">
        <f>+H9-G9</f>
        <v>-52</v>
      </c>
      <c r="J9" s="237"/>
      <c r="K9" s="235">
        <f>+C9-G9</f>
        <v>59226</v>
      </c>
      <c r="L9" s="41">
        <f>+D9-H9</f>
        <v>6135</v>
      </c>
      <c r="M9" s="236">
        <f>+K9-L9</f>
        <v>53091</v>
      </c>
    </row>
    <row r="10" spans="1:22" ht="12" customHeight="1" x14ac:dyDescent="0.25">
      <c r="A10" s="230" t="s">
        <v>132</v>
      </c>
      <c r="B10" s="270"/>
      <c r="C10" s="41">
        <v>25965</v>
      </c>
      <c r="D10" s="41">
        <v>22402</v>
      </c>
      <c r="E10" s="236">
        <f t="shared" ref="E10:E16" si="0">+C10-D10</f>
        <v>3563</v>
      </c>
      <c r="F10" s="274"/>
      <c r="G10" s="42">
        <v>1834</v>
      </c>
      <c r="H10" s="295">
        <v>1630</v>
      </c>
      <c r="I10" s="236">
        <f t="shared" ref="I10:I16" si="1">+H10-G10</f>
        <v>-204</v>
      </c>
      <c r="J10" s="237"/>
      <c r="K10" s="235">
        <f t="shared" ref="K10:L16" si="2">+C10-G10</f>
        <v>24131</v>
      </c>
      <c r="L10" s="41">
        <f t="shared" si="2"/>
        <v>20772</v>
      </c>
      <c r="M10" s="236">
        <f t="shared" ref="M10:M16" si="3">+K10-L10</f>
        <v>3359</v>
      </c>
    </row>
    <row r="11" spans="1:22" ht="12" customHeight="1" x14ac:dyDescent="0.25">
      <c r="A11" s="230" t="s">
        <v>133</v>
      </c>
      <c r="B11" s="270"/>
      <c r="C11" s="41">
        <v>35765</v>
      </c>
      <c r="D11" s="41">
        <v>11447</v>
      </c>
      <c r="E11" s="236">
        <f t="shared" si="0"/>
        <v>24318</v>
      </c>
      <c r="F11" s="274"/>
      <c r="G11" s="42">
        <v>1854</v>
      </c>
      <c r="H11" s="295">
        <v>2436</v>
      </c>
      <c r="I11" s="236">
        <f t="shared" si="1"/>
        <v>582</v>
      </c>
      <c r="J11" s="237"/>
      <c r="K11" s="235">
        <f t="shared" si="2"/>
        <v>33911</v>
      </c>
      <c r="L11" s="41">
        <f t="shared" si="2"/>
        <v>9011</v>
      </c>
      <c r="M11" s="236">
        <f t="shared" si="3"/>
        <v>24900</v>
      </c>
    </row>
    <row r="12" spans="1:22" ht="12" customHeight="1" x14ac:dyDescent="0.25">
      <c r="A12" s="230" t="s">
        <v>114</v>
      </c>
      <c r="B12" s="270"/>
      <c r="C12" s="41">
        <v>22243</v>
      </c>
      <c r="D12" s="41">
        <v>23112</v>
      </c>
      <c r="E12" s="236">
        <f t="shared" si="0"/>
        <v>-869</v>
      </c>
      <c r="F12" s="274"/>
      <c r="G12" s="42">
        <v>4814</v>
      </c>
      <c r="H12" s="295">
        <v>5562</v>
      </c>
      <c r="I12" s="236">
        <f t="shared" si="1"/>
        <v>748</v>
      </c>
      <c r="J12" s="237"/>
      <c r="K12" s="235">
        <f t="shared" si="2"/>
        <v>17429</v>
      </c>
      <c r="L12" s="41">
        <f t="shared" si="2"/>
        <v>17550</v>
      </c>
      <c r="M12" s="236">
        <f t="shared" si="3"/>
        <v>-121</v>
      </c>
    </row>
    <row r="13" spans="1:22" ht="12" customHeight="1" x14ac:dyDescent="0.25">
      <c r="A13" s="230" t="s">
        <v>5</v>
      </c>
      <c r="B13" s="270"/>
      <c r="C13" s="41">
        <v>2271</v>
      </c>
      <c r="D13" s="41">
        <v>12747</v>
      </c>
      <c r="E13" s="236">
        <f t="shared" si="0"/>
        <v>-10476</v>
      </c>
      <c r="F13" s="274"/>
      <c r="G13" s="42">
        <v>6393</v>
      </c>
      <c r="H13" s="295">
        <v>4728</v>
      </c>
      <c r="I13" s="236">
        <f t="shared" si="1"/>
        <v>-1665</v>
      </c>
      <c r="J13" s="237"/>
      <c r="K13" s="235">
        <f t="shared" si="2"/>
        <v>-4122</v>
      </c>
      <c r="L13" s="41">
        <f t="shared" si="2"/>
        <v>8019</v>
      </c>
      <c r="M13" s="236">
        <f t="shared" si="3"/>
        <v>-12141</v>
      </c>
    </row>
    <row r="14" spans="1:22" ht="12" customHeight="1" x14ac:dyDescent="0.25">
      <c r="A14" s="230" t="s">
        <v>155</v>
      </c>
      <c r="B14" s="270"/>
      <c r="C14" s="41">
        <v>5666</v>
      </c>
      <c r="D14" s="41">
        <v>3215</v>
      </c>
      <c r="E14" s="236">
        <f t="shared" si="0"/>
        <v>2451</v>
      </c>
      <c r="F14" s="274"/>
      <c r="G14" s="42">
        <v>2609</v>
      </c>
      <c r="H14" s="295">
        <v>1722</v>
      </c>
      <c r="I14" s="236">
        <f t="shared" si="1"/>
        <v>-887</v>
      </c>
      <c r="J14" s="237"/>
      <c r="K14" s="235">
        <f t="shared" si="2"/>
        <v>3057</v>
      </c>
      <c r="L14" s="41">
        <f t="shared" si="2"/>
        <v>1493</v>
      </c>
      <c r="M14" s="236">
        <f t="shared" si="3"/>
        <v>1564</v>
      </c>
    </row>
    <row r="15" spans="1:22" ht="12" customHeight="1" x14ac:dyDescent="0.25">
      <c r="A15" s="230" t="s">
        <v>107</v>
      </c>
      <c r="B15" s="270"/>
      <c r="C15" s="41">
        <v>3674</v>
      </c>
      <c r="D15" s="41">
        <v>750</v>
      </c>
      <c r="E15" s="236">
        <f t="shared" si="0"/>
        <v>2924</v>
      </c>
      <c r="F15" s="274"/>
      <c r="G15" s="42">
        <v>266</v>
      </c>
      <c r="H15" s="295">
        <v>342</v>
      </c>
      <c r="I15" s="236">
        <f t="shared" si="1"/>
        <v>76</v>
      </c>
      <c r="J15" s="237"/>
      <c r="K15" s="235">
        <f t="shared" si="2"/>
        <v>3408</v>
      </c>
      <c r="L15" s="41">
        <f t="shared" si="2"/>
        <v>408</v>
      </c>
      <c r="M15" s="236">
        <f t="shared" si="3"/>
        <v>3000</v>
      </c>
    </row>
    <row r="16" spans="1:22" ht="12" customHeight="1" x14ac:dyDescent="0.25">
      <c r="A16" s="230" t="s">
        <v>156</v>
      </c>
      <c r="B16" s="270"/>
      <c r="C16" s="41">
        <v>0</v>
      </c>
      <c r="D16" s="41">
        <v>7712</v>
      </c>
      <c r="E16" s="236">
        <f t="shared" si="0"/>
        <v>-7712</v>
      </c>
      <c r="F16" s="274"/>
      <c r="G16" s="42">
        <v>1484</v>
      </c>
      <c r="H16" s="128">
        <v>1217</v>
      </c>
      <c r="I16" s="236">
        <f t="shared" si="1"/>
        <v>-267</v>
      </c>
      <c r="J16" s="237"/>
      <c r="K16" s="235">
        <f t="shared" si="2"/>
        <v>-1484</v>
      </c>
      <c r="L16" s="41">
        <f t="shared" si="2"/>
        <v>6495</v>
      </c>
      <c r="M16" s="236">
        <f t="shared" si="3"/>
        <v>-7979</v>
      </c>
    </row>
    <row r="17" spans="1:13" s="204" customFormat="1" ht="12" customHeight="1" x14ac:dyDescent="0.2">
      <c r="A17" s="261" t="s">
        <v>130</v>
      </c>
      <c r="B17" s="296"/>
      <c r="C17" s="297">
        <f>SUM(C8:C16)</f>
        <v>231401</v>
      </c>
      <c r="D17" s="297">
        <f>SUM(D8:D16)</f>
        <v>152928</v>
      </c>
      <c r="E17" s="298">
        <f>SUM(E8:E16)</f>
        <v>78473</v>
      </c>
      <c r="F17" s="275">
        <v>129970</v>
      </c>
      <c r="G17" s="297">
        <f>SUM(G8:G16)</f>
        <v>58204</v>
      </c>
      <c r="H17" s="297">
        <f>SUM(H8:H16)</f>
        <v>57727</v>
      </c>
      <c r="I17" s="298">
        <f>SUM(I8:I16)</f>
        <v>-477</v>
      </c>
      <c r="J17" s="238"/>
      <c r="K17" s="262">
        <v>-8675</v>
      </c>
      <c r="L17" s="263">
        <v>129850</v>
      </c>
      <c r="M17" s="298">
        <f>SUM(M8:M16)</f>
        <v>77996</v>
      </c>
    </row>
    <row r="18" spans="1:13" ht="12" customHeight="1" x14ac:dyDescent="0.25">
      <c r="A18" s="230"/>
      <c r="B18" s="299"/>
      <c r="C18" s="295"/>
      <c r="D18" s="295"/>
      <c r="E18" s="236"/>
      <c r="F18" s="274"/>
      <c r="G18" s="295"/>
      <c r="H18" s="295"/>
      <c r="I18" s="236"/>
      <c r="J18" s="237"/>
      <c r="K18" s="235"/>
      <c r="L18" s="41"/>
      <c r="M18" s="236"/>
    </row>
    <row r="19" spans="1:13" ht="12" customHeight="1" x14ac:dyDescent="0.25">
      <c r="A19" s="230" t="s">
        <v>88</v>
      </c>
      <c r="B19" s="299"/>
      <c r="C19" s="295">
        <v>2838</v>
      </c>
      <c r="D19" s="295">
        <v>14243</v>
      </c>
      <c r="E19" s="236">
        <f>+C19-D19</f>
        <v>-11405</v>
      </c>
      <c r="F19" s="274"/>
      <c r="G19" s="295">
        <v>4815</v>
      </c>
      <c r="H19" s="295">
        <v>6563</v>
      </c>
      <c r="I19" s="236">
        <f>+H19-G19</f>
        <v>1748</v>
      </c>
      <c r="J19" s="237"/>
      <c r="K19" s="235">
        <f t="shared" ref="K19:L23" si="4">+C19-G19</f>
        <v>-1977</v>
      </c>
      <c r="L19" s="41">
        <f t="shared" si="4"/>
        <v>7680</v>
      </c>
      <c r="M19" s="236">
        <f>+K19-L19</f>
        <v>-9657</v>
      </c>
    </row>
    <row r="20" spans="1:13" ht="12" customHeight="1" x14ac:dyDescent="0.25">
      <c r="A20" s="230" t="s">
        <v>89</v>
      </c>
      <c r="B20" s="299"/>
      <c r="C20" s="295">
        <v>8356</v>
      </c>
      <c r="D20" s="295">
        <v>13235</v>
      </c>
      <c r="E20" s="236">
        <f>+C20-D20</f>
        <v>-4879</v>
      </c>
      <c r="F20" s="274"/>
      <c r="G20" s="295">
        <v>5047</v>
      </c>
      <c r="H20" s="295">
        <v>7464</v>
      </c>
      <c r="I20" s="236">
        <f>+H20-G20</f>
        <v>2417</v>
      </c>
      <c r="J20" s="237"/>
      <c r="K20" s="235">
        <f t="shared" si="4"/>
        <v>3309</v>
      </c>
      <c r="L20" s="41">
        <f t="shared" si="4"/>
        <v>5771</v>
      </c>
      <c r="M20" s="236">
        <f>+K20-L20</f>
        <v>-2462</v>
      </c>
    </row>
    <row r="21" spans="1:13" ht="12" customHeight="1" x14ac:dyDescent="0.25">
      <c r="A21" s="230" t="s">
        <v>258</v>
      </c>
      <c r="B21" s="299"/>
      <c r="C21" s="295">
        <v>3230</v>
      </c>
      <c r="D21" s="295">
        <v>16861</v>
      </c>
      <c r="E21" s="236">
        <f>+C21-D21</f>
        <v>-13631</v>
      </c>
      <c r="F21" s="274"/>
      <c r="G21" s="295">
        <f>4591+1462</f>
        <v>6053</v>
      </c>
      <c r="H21" s="295">
        <f>5895+3806</f>
        <v>9701</v>
      </c>
      <c r="I21" s="236">
        <f>+H21-G21</f>
        <v>3648</v>
      </c>
      <c r="J21" s="237"/>
      <c r="K21" s="235">
        <f t="shared" si="4"/>
        <v>-2823</v>
      </c>
      <c r="L21" s="41">
        <f t="shared" si="4"/>
        <v>7160</v>
      </c>
      <c r="M21" s="236">
        <f>+K21-L21</f>
        <v>-9983</v>
      </c>
    </row>
    <row r="22" spans="1:13" ht="12" customHeight="1" x14ac:dyDescent="0.25">
      <c r="A22" s="230" t="s">
        <v>104</v>
      </c>
      <c r="B22" s="299"/>
      <c r="C22" s="295">
        <v>0</v>
      </c>
      <c r="D22" s="295">
        <v>6477</v>
      </c>
      <c r="E22" s="236">
        <f>+C22-D22</f>
        <v>-6477</v>
      </c>
      <c r="F22" s="274"/>
      <c r="G22" s="295">
        <v>2392</v>
      </c>
      <c r="H22" s="295">
        <v>2694</v>
      </c>
      <c r="I22" s="236">
        <f>+H22-G22</f>
        <v>302</v>
      </c>
      <c r="J22" s="237"/>
      <c r="K22" s="235">
        <f t="shared" si="4"/>
        <v>-2392</v>
      </c>
      <c r="L22" s="41">
        <f t="shared" si="4"/>
        <v>3783</v>
      </c>
      <c r="M22" s="236">
        <f>+K22-L22</f>
        <v>-6175</v>
      </c>
    </row>
    <row r="23" spans="1:13" ht="12" customHeight="1" x14ac:dyDescent="0.25">
      <c r="A23" s="230" t="s">
        <v>0</v>
      </c>
      <c r="B23" s="299"/>
      <c r="C23" s="295">
        <v>11</v>
      </c>
      <c r="D23" s="295">
        <v>4656</v>
      </c>
      <c r="E23" s="236">
        <f>+C23-D23</f>
        <v>-4645</v>
      </c>
      <c r="F23" s="274"/>
      <c r="G23" s="295">
        <v>2218</v>
      </c>
      <c r="H23" s="295">
        <v>2456</v>
      </c>
      <c r="I23" s="236">
        <f>+H23-G23</f>
        <v>238</v>
      </c>
      <c r="J23" s="237"/>
      <c r="K23" s="235">
        <f t="shared" si="4"/>
        <v>-2207</v>
      </c>
      <c r="L23" s="41">
        <f t="shared" si="4"/>
        <v>2200</v>
      </c>
      <c r="M23" s="236">
        <f>+K23-L23</f>
        <v>-4407</v>
      </c>
    </row>
    <row r="24" spans="1:13" s="204" customFormat="1" ht="12" customHeight="1" x14ac:dyDescent="0.2">
      <c r="A24" s="261" t="s">
        <v>1</v>
      </c>
      <c r="B24" s="296"/>
      <c r="C24" s="297">
        <f>SUM(C19:C23)</f>
        <v>14435</v>
      </c>
      <c r="D24" s="297">
        <f>SUM(D19:D23)</f>
        <v>55472</v>
      </c>
      <c r="E24" s="264">
        <f>SUM(E19:E23)</f>
        <v>-41037</v>
      </c>
      <c r="F24" s="275">
        <v>0</v>
      </c>
      <c r="G24" s="297">
        <f>SUM(G19:G23)</f>
        <v>20525</v>
      </c>
      <c r="H24" s="297">
        <f>SUM(H19:H23)</f>
        <v>28878</v>
      </c>
      <c r="I24" s="264">
        <f>SUM(I19:I23)</f>
        <v>8353</v>
      </c>
      <c r="J24" s="238"/>
      <c r="K24" s="262">
        <v>62310</v>
      </c>
      <c r="L24" s="263">
        <v>39821</v>
      </c>
      <c r="M24" s="264">
        <f>SUM(M19:M23)</f>
        <v>-32684</v>
      </c>
    </row>
    <row r="25" spans="1:13" ht="12" customHeight="1" x14ac:dyDescent="0.25">
      <c r="A25" s="230"/>
      <c r="B25" s="299"/>
      <c r="C25" s="295"/>
      <c r="D25" s="295"/>
      <c r="E25" s="236"/>
      <c r="F25" s="274"/>
      <c r="G25" s="295"/>
      <c r="H25" s="295"/>
      <c r="I25" s="236"/>
      <c r="J25" s="237"/>
      <c r="K25" s="235"/>
      <c r="L25" s="41"/>
      <c r="M25" s="236"/>
    </row>
    <row r="26" spans="1:13" ht="12" customHeight="1" x14ac:dyDescent="0.25">
      <c r="A26" s="230" t="s">
        <v>67</v>
      </c>
      <c r="B26" s="299"/>
      <c r="C26" s="295">
        <v>7219</v>
      </c>
      <c r="D26" s="295">
        <v>12234</v>
      </c>
      <c r="E26" s="236">
        <f>+C26-D26</f>
        <v>-5015</v>
      </c>
      <c r="F26" s="274"/>
      <c r="G26" s="295">
        <v>7164</v>
      </c>
      <c r="H26" s="295">
        <v>7910</v>
      </c>
      <c r="I26" s="236">
        <f>+H26-G26</f>
        <v>746</v>
      </c>
      <c r="J26" s="237"/>
      <c r="K26" s="235">
        <f t="shared" ref="K26:L28" si="5">+C26-G26</f>
        <v>55</v>
      </c>
      <c r="L26" s="41">
        <f t="shared" si="5"/>
        <v>4324</v>
      </c>
      <c r="M26" s="236">
        <f>+K26-L26</f>
        <v>-4269</v>
      </c>
    </row>
    <row r="27" spans="1:13" ht="12" customHeight="1" x14ac:dyDescent="0.25">
      <c r="A27" s="230" t="s">
        <v>92</v>
      </c>
      <c r="B27" s="299"/>
      <c r="C27" s="295">
        <v>23078</v>
      </c>
      <c r="D27" s="295">
        <v>30320</v>
      </c>
      <c r="E27" s="236">
        <f>+C27-D27</f>
        <v>-7242</v>
      </c>
      <c r="F27" s="274"/>
      <c r="G27" s="295">
        <v>62429</v>
      </c>
      <c r="H27" s="295">
        <v>60693</v>
      </c>
      <c r="I27" s="236">
        <f>+H27-G27</f>
        <v>-1736</v>
      </c>
      <c r="J27" s="237"/>
      <c r="K27" s="235">
        <f t="shared" si="5"/>
        <v>-39351</v>
      </c>
      <c r="L27" s="41">
        <f t="shared" si="5"/>
        <v>-30373</v>
      </c>
      <c r="M27" s="236">
        <f>+K27-L27</f>
        <v>-8978</v>
      </c>
    </row>
    <row r="28" spans="1:13" ht="12" customHeight="1" x14ac:dyDescent="0.25">
      <c r="A28" s="230" t="s">
        <v>93</v>
      </c>
      <c r="B28" s="299"/>
      <c r="C28" s="295">
        <v>17193</v>
      </c>
      <c r="D28" s="295">
        <v>7436</v>
      </c>
      <c r="E28" s="236">
        <f>+C28-D28</f>
        <v>9757</v>
      </c>
      <c r="F28" s="274"/>
      <c r="G28" s="295">
        <v>2875</v>
      </c>
      <c r="H28" s="295">
        <v>3355</v>
      </c>
      <c r="I28" s="236">
        <f>+H28-G28</f>
        <v>480</v>
      </c>
      <c r="J28" s="237"/>
      <c r="K28" s="235">
        <f t="shared" si="5"/>
        <v>14318</v>
      </c>
      <c r="L28" s="41">
        <f t="shared" si="5"/>
        <v>4081</v>
      </c>
      <c r="M28" s="236">
        <f>+K28-L28</f>
        <v>10237</v>
      </c>
    </row>
    <row r="29" spans="1:13" s="204" customFormat="1" ht="12" customHeight="1" x14ac:dyDescent="0.2">
      <c r="A29" s="261" t="s">
        <v>86</v>
      </c>
      <c r="B29" s="296"/>
      <c r="C29" s="297">
        <f>SUM(C26:C28)</f>
        <v>47490</v>
      </c>
      <c r="D29" s="297">
        <f>SUM(D26:D28)</f>
        <v>49990</v>
      </c>
      <c r="E29" s="264">
        <f>SUM(E26:E28)</f>
        <v>-2500</v>
      </c>
      <c r="F29" s="275"/>
      <c r="G29" s="297">
        <f>SUM(G26:G28)</f>
        <v>72468</v>
      </c>
      <c r="H29" s="297">
        <f>SUM(H26:H28)</f>
        <v>71958</v>
      </c>
      <c r="I29" s="264">
        <f>SUM(I26:I28)</f>
        <v>-510</v>
      </c>
      <c r="J29" s="238"/>
      <c r="K29" s="262">
        <v>-9167</v>
      </c>
      <c r="L29" s="263">
        <v>-20328</v>
      </c>
      <c r="M29" s="264">
        <f>SUM(M26:M28)</f>
        <v>-3010</v>
      </c>
    </row>
    <row r="30" spans="1:13" ht="12" customHeight="1" x14ac:dyDescent="0.25">
      <c r="A30" s="230"/>
      <c r="B30" s="299"/>
      <c r="C30" s="295"/>
      <c r="D30" s="295"/>
      <c r="E30" s="236"/>
      <c r="F30" s="274"/>
      <c r="G30" s="295"/>
      <c r="H30" s="295"/>
      <c r="I30" s="236"/>
      <c r="J30" s="237"/>
      <c r="K30" s="235"/>
      <c r="L30" s="41"/>
      <c r="M30" s="236"/>
    </row>
    <row r="31" spans="1:13" ht="12" customHeight="1" x14ac:dyDescent="0.25">
      <c r="A31" s="230" t="s">
        <v>9</v>
      </c>
      <c r="B31" s="299"/>
      <c r="C31" s="295">
        <v>93673</v>
      </c>
      <c r="D31" s="295">
        <v>15379</v>
      </c>
      <c r="E31" s="236">
        <f>+C31-D31</f>
        <v>78294</v>
      </c>
      <c r="F31" s="274"/>
      <c r="G31" s="295">
        <v>2669</v>
      </c>
      <c r="H31" s="295">
        <v>3204</v>
      </c>
      <c r="I31" s="236">
        <f>+H31-G31</f>
        <v>535</v>
      </c>
      <c r="J31" s="237"/>
      <c r="K31" s="235">
        <f t="shared" ref="K31:L33" si="6">+C31-G31</f>
        <v>91004</v>
      </c>
      <c r="L31" s="41">
        <f t="shared" si="6"/>
        <v>12175</v>
      </c>
      <c r="M31" s="236">
        <f>+K31-L31</f>
        <v>78829</v>
      </c>
    </row>
    <row r="32" spans="1:13" ht="12" customHeight="1" x14ac:dyDescent="0.25">
      <c r="A32" s="230" t="s">
        <v>151</v>
      </c>
      <c r="B32" s="299"/>
      <c r="C32" s="295">
        <v>858</v>
      </c>
      <c r="D32" s="295">
        <v>10317</v>
      </c>
      <c r="E32" s="236">
        <f>+C32-D32</f>
        <v>-9459</v>
      </c>
      <c r="F32" s="274"/>
      <c r="G32" s="295">
        <v>6027</v>
      </c>
      <c r="H32" s="295">
        <v>7138</v>
      </c>
      <c r="I32" s="236">
        <f>+H32-G32</f>
        <v>1111</v>
      </c>
      <c r="J32" s="237"/>
      <c r="K32" s="235">
        <f t="shared" si="6"/>
        <v>-5169</v>
      </c>
      <c r="L32" s="41">
        <f t="shared" si="6"/>
        <v>3179</v>
      </c>
      <c r="M32" s="236">
        <f>+K32-L32</f>
        <v>-8348</v>
      </c>
    </row>
    <row r="33" spans="1:13" x14ac:dyDescent="0.25">
      <c r="A33" s="230" t="s">
        <v>154</v>
      </c>
      <c r="B33" s="299"/>
      <c r="C33" s="295">
        <f>26838-27505</f>
        <v>-667</v>
      </c>
      <c r="D33" s="295">
        <v>14404</v>
      </c>
      <c r="E33" s="236">
        <f>+C33-D33</f>
        <v>-15071</v>
      </c>
      <c r="F33" s="229"/>
      <c r="G33" s="295">
        <f>3379+6134</f>
        <v>9513</v>
      </c>
      <c r="H33" s="295">
        <f>2561+7811</f>
        <v>10372</v>
      </c>
      <c r="I33" s="236">
        <f>+H33-G33</f>
        <v>859</v>
      </c>
      <c r="J33" s="229"/>
      <c r="K33" s="235">
        <f t="shared" si="6"/>
        <v>-10180</v>
      </c>
      <c r="L33" s="41">
        <f t="shared" si="6"/>
        <v>4032</v>
      </c>
      <c r="M33" s="236">
        <f>+K33-L33</f>
        <v>-14212</v>
      </c>
    </row>
    <row r="34" spans="1:13" s="204" customFormat="1" ht="12" customHeight="1" x14ac:dyDescent="0.2">
      <c r="A34" s="261" t="s">
        <v>87</v>
      </c>
      <c r="B34" s="296"/>
      <c r="C34" s="297">
        <f>SUM(C31:C33)</f>
        <v>93864</v>
      </c>
      <c r="D34" s="297">
        <f>SUM(D31:D33)</f>
        <v>40100</v>
      </c>
      <c r="E34" s="264">
        <f>SUM(E31:E33)</f>
        <v>53764</v>
      </c>
      <c r="F34" s="275"/>
      <c r="G34" s="297">
        <f>SUM(G31:G33)</f>
        <v>18209</v>
      </c>
      <c r="H34" s="297">
        <f>SUM(H31:H33)</f>
        <v>20714</v>
      </c>
      <c r="I34" s="264">
        <f>SUM(I31:I33)</f>
        <v>2505</v>
      </c>
      <c r="J34" s="238"/>
      <c r="K34" s="262">
        <v>-49969</v>
      </c>
      <c r="L34" s="263">
        <v>24814</v>
      </c>
      <c r="M34" s="264">
        <f>SUM(M31:M33)</f>
        <v>56269</v>
      </c>
    </row>
    <row r="35" spans="1:13" ht="12" customHeight="1" x14ac:dyDescent="0.25">
      <c r="A35" s="240"/>
      <c r="B35" s="299"/>
      <c r="C35" s="300"/>
      <c r="D35" s="300"/>
      <c r="E35" s="242"/>
      <c r="F35" s="274"/>
      <c r="G35" s="300"/>
      <c r="H35" s="300"/>
      <c r="I35" s="242"/>
      <c r="J35" s="237"/>
      <c r="K35" s="241"/>
      <c r="L35" s="104"/>
      <c r="M35" s="242"/>
    </row>
    <row r="36" spans="1:13" ht="12" customHeight="1" x14ac:dyDescent="0.25">
      <c r="A36" s="240" t="s">
        <v>8</v>
      </c>
      <c r="B36" s="299"/>
      <c r="C36" s="295">
        <v>1400</v>
      </c>
      <c r="D36" s="295">
        <v>2500</v>
      </c>
      <c r="E36" s="236">
        <f>+C36-D36</f>
        <v>-1100</v>
      </c>
      <c r="F36" s="274"/>
      <c r="G36" s="295">
        <v>8467</v>
      </c>
      <c r="H36" s="295">
        <v>8514</v>
      </c>
      <c r="I36" s="236">
        <f>+H36-G36</f>
        <v>47</v>
      </c>
      <c r="J36" s="237"/>
      <c r="K36" s="235">
        <f t="shared" ref="K36:L38" si="7">+C36-G36</f>
        <v>-7067</v>
      </c>
      <c r="L36" s="41">
        <f t="shared" si="7"/>
        <v>-6014</v>
      </c>
      <c r="M36" s="236">
        <f>+K36-L36</f>
        <v>-1053</v>
      </c>
    </row>
    <row r="37" spans="1:13" ht="12" customHeight="1" x14ac:dyDescent="0.25">
      <c r="A37" s="240" t="s">
        <v>7</v>
      </c>
      <c r="B37" s="299"/>
      <c r="C37" s="300">
        <v>0</v>
      </c>
      <c r="D37" s="300">
        <v>0</v>
      </c>
      <c r="E37" s="236">
        <f>+C37-D37</f>
        <v>0</v>
      </c>
      <c r="F37" s="274"/>
      <c r="G37" s="300">
        <v>8285</v>
      </c>
      <c r="H37" s="300">
        <v>7652</v>
      </c>
      <c r="I37" s="236">
        <f>+H37-G37</f>
        <v>-633</v>
      </c>
      <c r="J37" s="237"/>
      <c r="K37" s="235">
        <f t="shared" si="7"/>
        <v>-8285</v>
      </c>
      <c r="L37" s="41">
        <f t="shared" si="7"/>
        <v>-7652</v>
      </c>
      <c r="M37" s="236">
        <f>+K37-L37</f>
        <v>-633</v>
      </c>
    </row>
    <row r="38" spans="1:13" ht="12" customHeight="1" x14ac:dyDescent="0.25">
      <c r="A38" s="240" t="s">
        <v>19</v>
      </c>
      <c r="B38" s="299"/>
      <c r="C38" s="295">
        <v>0</v>
      </c>
      <c r="D38" s="295">
        <v>38376</v>
      </c>
      <c r="E38" s="236">
        <f>+C38-D38</f>
        <v>-38376</v>
      </c>
      <c r="F38" s="274"/>
      <c r="G38" s="295">
        <v>0</v>
      </c>
      <c r="H38" s="295">
        <v>0</v>
      </c>
      <c r="I38" s="236">
        <f>+H38-G38</f>
        <v>0</v>
      </c>
      <c r="J38" s="237"/>
      <c r="K38" s="235">
        <f t="shared" si="7"/>
        <v>0</v>
      </c>
      <c r="L38" s="41">
        <f t="shared" si="7"/>
        <v>38376</v>
      </c>
      <c r="M38" s="236">
        <f>+K38-L38</f>
        <v>-38376</v>
      </c>
    </row>
    <row r="39" spans="1:13" s="204" customFormat="1" ht="12" customHeight="1" x14ac:dyDescent="0.2">
      <c r="A39" s="261" t="s">
        <v>10</v>
      </c>
      <c r="B39" s="296"/>
      <c r="C39" s="297">
        <f>C38+C37+C36+C34+C29+C24+C17</f>
        <v>388590</v>
      </c>
      <c r="D39" s="297">
        <f>D38+D37+D36+D34+D29+D24+D17</f>
        <v>339366</v>
      </c>
      <c r="E39" s="264">
        <f>E38+E37+E36+E34+E29+E24+E17</f>
        <v>49224</v>
      </c>
      <c r="F39" s="275"/>
      <c r="G39" s="297">
        <f>G38+G37+G36+G34+G29+G24+G17</f>
        <v>186158</v>
      </c>
      <c r="H39" s="297">
        <f>H38+H37+H36+H34+H29+H24+H17</f>
        <v>195443</v>
      </c>
      <c r="I39" s="264">
        <f>I38+I37+I36+I34+I29+I24+I17</f>
        <v>9285</v>
      </c>
      <c r="J39" s="238"/>
      <c r="K39" s="262">
        <v>-21321</v>
      </c>
      <c r="L39" s="263">
        <v>199411</v>
      </c>
      <c r="M39" s="264">
        <f>M38+M37+M36+M34+M29+M24+M17</f>
        <v>58509</v>
      </c>
    </row>
    <row r="40" spans="1:13" ht="12" customHeight="1" x14ac:dyDescent="0.25">
      <c r="A40" s="240"/>
      <c r="B40" s="299"/>
      <c r="C40" s="300"/>
      <c r="D40" s="300"/>
      <c r="E40" s="242"/>
      <c r="F40" s="274"/>
      <c r="G40" s="300"/>
      <c r="H40" s="300"/>
      <c r="I40" s="242"/>
      <c r="J40" s="237"/>
      <c r="K40" s="241"/>
      <c r="L40" s="104"/>
      <c r="M40" s="242"/>
    </row>
    <row r="41" spans="1:13" ht="12" customHeight="1" x14ac:dyDescent="0.25">
      <c r="A41" s="240" t="s">
        <v>265</v>
      </c>
      <c r="B41" s="299"/>
      <c r="C41" s="300"/>
      <c r="D41" s="300"/>
      <c r="E41" s="236">
        <f>+C41-D41</f>
        <v>0</v>
      </c>
      <c r="F41" s="274"/>
      <c r="G41" s="300"/>
      <c r="H41" s="300"/>
      <c r="I41" s="236">
        <f>+H41-G41</f>
        <v>0</v>
      </c>
      <c r="J41" s="237"/>
      <c r="K41" s="235">
        <f>+C41-G41</f>
        <v>0</v>
      </c>
      <c r="L41" s="41">
        <f>+D41-H41</f>
        <v>0</v>
      </c>
      <c r="M41" s="236">
        <f>+K41-L41</f>
        <v>0</v>
      </c>
    </row>
    <row r="42" spans="1:13" ht="12" customHeight="1" x14ac:dyDescent="0.25">
      <c r="A42" s="240" t="s">
        <v>266</v>
      </c>
      <c r="B42" s="299"/>
      <c r="C42" s="300">
        <v>0</v>
      </c>
      <c r="D42" s="300"/>
      <c r="E42" s="236">
        <f>+C42-D42</f>
        <v>0</v>
      </c>
      <c r="F42" s="274"/>
      <c r="G42" s="300">
        <v>30368</v>
      </c>
      <c r="H42" s="300">
        <v>6999</v>
      </c>
      <c r="I42" s="236">
        <f>+H42-G42</f>
        <v>-23369</v>
      </c>
      <c r="J42" s="237"/>
      <c r="K42" s="235">
        <f t="shared" ref="K42:L44" si="8">+C42-G42</f>
        <v>-30368</v>
      </c>
      <c r="L42" s="41">
        <f t="shared" si="8"/>
        <v>-6999</v>
      </c>
      <c r="M42" s="236">
        <f>+K42-L42</f>
        <v>-23369</v>
      </c>
    </row>
    <row r="43" spans="1:13" ht="12" customHeight="1" x14ac:dyDescent="0.25">
      <c r="A43" s="240" t="s">
        <v>18</v>
      </c>
      <c r="B43" s="299"/>
      <c r="C43" s="295">
        <v>-22158</v>
      </c>
      <c r="D43" s="295">
        <v>-10795</v>
      </c>
      <c r="E43" s="236">
        <f>+C43-D43</f>
        <v>-11363</v>
      </c>
      <c r="F43" s="276"/>
      <c r="G43" s="295">
        <v>14727</v>
      </c>
      <c r="H43" s="295">
        <v>22603</v>
      </c>
      <c r="I43" s="236">
        <f>+H43-G43</f>
        <v>7876</v>
      </c>
      <c r="J43" s="237"/>
      <c r="K43" s="235">
        <f t="shared" si="8"/>
        <v>-36885</v>
      </c>
      <c r="L43" s="41">
        <f t="shared" si="8"/>
        <v>-33398</v>
      </c>
      <c r="M43" s="236">
        <f>+K43-L43</f>
        <v>-3487</v>
      </c>
    </row>
    <row r="44" spans="1:13" ht="12" customHeight="1" x14ac:dyDescent="0.25">
      <c r="A44" s="240" t="s">
        <v>60</v>
      </c>
      <c r="B44" s="299"/>
      <c r="C44" s="300">
        <f>SUM(C40)</f>
        <v>0</v>
      </c>
      <c r="D44" s="300">
        <f>SUM(D40)</f>
        <v>0</v>
      </c>
      <c r="E44" s="236">
        <f>+C44-D44</f>
        <v>0</v>
      </c>
      <c r="F44" s="274"/>
      <c r="G44" s="300">
        <v>-32741</v>
      </c>
      <c r="H44" s="300">
        <v>-39874</v>
      </c>
      <c r="I44" s="236">
        <f>+H44-G44</f>
        <v>-7133</v>
      </c>
      <c r="J44" s="237"/>
      <c r="K44" s="235">
        <f t="shared" si="8"/>
        <v>32741</v>
      </c>
      <c r="L44" s="41">
        <f t="shared" si="8"/>
        <v>39874</v>
      </c>
      <c r="M44" s="236">
        <f>+K44-L44</f>
        <v>-7133</v>
      </c>
    </row>
    <row r="45" spans="1:13" s="204" customFormat="1" ht="12" customHeight="1" x14ac:dyDescent="0.2">
      <c r="A45" s="261" t="s">
        <v>65</v>
      </c>
      <c r="B45" s="296"/>
      <c r="C45" s="297">
        <f>SUM(C39:C44)</f>
        <v>366432</v>
      </c>
      <c r="D45" s="297">
        <f>SUM(D39:D44)</f>
        <v>328571</v>
      </c>
      <c r="E45" s="265">
        <f>SUM(E39:E44)</f>
        <v>37861</v>
      </c>
      <c r="F45" s="275"/>
      <c r="G45" s="297">
        <f>SUM(G39:G44)</f>
        <v>198512</v>
      </c>
      <c r="H45" s="297">
        <f>SUM(H39:H44)</f>
        <v>185171</v>
      </c>
      <c r="I45" s="265">
        <f>SUM(I39:I44)</f>
        <v>-13341</v>
      </c>
      <c r="J45" s="238"/>
      <c r="K45" s="262">
        <v>-45083</v>
      </c>
      <c r="L45" s="263">
        <v>187598</v>
      </c>
      <c r="M45" s="265">
        <f>SUM(M39:M44)</f>
        <v>24520</v>
      </c>
    </row>
    <row r="46" spans="1:13" ht="12" customHeight="1" thickBot="1" x14ac:dyDescent="0.3">
      <c r="A46" s="240" t="s">
        <v>150</v>
      </c>
      <c r="B46" s="299"/>
      <c r="C46" s="300"/>
      <c r="D46" s="300"/>
      <c r="E46" s="236">
        <f>+C46-D46</f>
        <v>0</v>
      </c>
      <c r="F46" s="274"/>
      <c r="G46" s="300">
        <v>1223</v>
      </c>
      <c r="H46" s="300">
        <v>12000</v>
      </c>
      <c r="I46" s="236">
        <f>+H46-G46</f>
        <v>10777</v>
      </c>
      <c r="J46" s="237"/>
      <c r="K46" s="235">
        <f>+C46-G46</f>
        <v>-1223</v>
      </c>
      <c r="L46" s="41">
        <f>+D46-H46</f>
        <v>-12000</v>
      </c>
      <c r="M46" s="236">
        <f>+K46-L46</f>
        <v>10777</v>
      </c>
    </row>
    <row r="47" spans="1:13" s="204" customFormat="1" ht="12" customHeight="1" thickBot="1" x14ac:dyDescent="0.25">
      <c r="A47" s="287" t="s">
        <v>66</v>
      </c>
      <c r="B47" s="301"/>
      <c r="C47" s="302">
        <f>SUM(C45:C46)</f>
        <v>366432</v>
      </c>
      <c r="D47" s="302">
        <f>SUM(D45:D46)</f>
        <v>328571</v>
      </c>
      <c r="E47" s="291">
        <f>SUM(E45:E46)</f>
        <v>37861</v>
      </c>
      <c r="F47" s="292"/>
      <c r="G47" s="302">
        <f>SUM(G45:G46)</f>
        <v>199735</v>
      </c>
      <c r="H47" s="302">
        <f>SUM(H45:H46)</f>
        <v>197171</v>
      </c>
      <c r="I47" s="291">
        <f>SUM(I45:I46)</f>
        <v>-2564</v>
      </c>
      <c r="J47" s="292"/>
      <c r="K47" s="289">
        <v>-53683</v>
      </c>
      <c r="L47" s="290">
        <v>178998</v>
      </c>
      <c r="M47" s="291">
        <f>SUM(M45:M46)</f>
        <v>35297</v>
      </c>
    </row>
    <row r="48" spans="1:13" ht="3" customHeight="1" x14ac:dyDescent="0.25">
      <c r="A48" s="185"/>
      <c r="C48" s="186"/>
      <c r="D48" s="42"/>
      <c r="E48" s="185"/>
      <c r="F48" s="44"/>
      <c r="I48" s="177"/>
    </row>
    <row r="49" spans="1:6" x14ac:dyDescent="0.25">
      <c r="A49" s="177" t="s">
        <v>149</v>
      </c>
      <c r="C49" s="44"/>
      <c r="D49" s="42"/>
      <c r="E49" s="44"/>
      <c r="F49" s="44"/>
    </row>
  </sheetData>
  <mergeCells count="3">
    <mergeCell ref="C5:E5"/>
    <mergeCell ref="G5:I5"/>
    <mergeCell ref="K5:M5"/>
  </mergeCells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7"/>
  <sheetViews>
    <sheetView workbookViewId="0">
      <selection sqref="A1:IV65536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5703125" style="27" bestFit="1" customWidth="1"/>
    <col min="10" max="10" width="0.85546875" style="27" customWidth="1"/>
    <col min="11" max="13" width="8.7109375" style="27" customWidth="1"/>
    <col min="14" max="14" width="0.85546875" style="27" customWidth="1"/>
    <col min="15" max="15" width="8.7109375" style="27" customWidth="1"/>
    <col min="16" max="19" width="7.7109375" style="27" customWidth="1"/>
    <col min="20" max="21" width="8.7109375" style="27" customWidth="1"/>
    <col min="22" max="22" width="0.85546875" style="27" customWidth="1"/>
    <col min="23" max="16384" width="9.140625" style="27"/>
  </cols>
  <sheetData>
    <row r="1" spans="1:22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4"/>
    </row>
    <row r="2" spans="1:22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8" t="s">
        <v>267</v>
      </c>
      <c r="N2" s="197"/>
      <c r="O2" s="197"/>
      <c r="P2" s="197"/>
      <c r="Q2" s="197"/>
      <c r="R2" s="197"/>
      <c r="S2" s="197"/>
      <c r="T2" s="197"/>
      <c r="V2" s="199"/>
    </row>
    <row r="3" spans="1:22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 s="201" t="str">
        <f>'Old Mgmt Summary'!A3</f>
        <v>Results based on Activity through April 14, 2000</v>
      </c>
      <c r="N3"/>
      <c r="O3"/>
      <c r="P3"/>
      <c r="Q3"/>
      <c r="R3"/>
      <c r="S3"/>
      <c r="T3"/>
      <c r="V3" s="199"/>
    </row>
    <row r="4" spans="1:22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02"/>
    </row>
    <row r="5" spans="1:22" s="203" customFormat="1" ht="18" customHeight="1" x14ac:dyDescent="0.2">
      <c r="A5" s="228"/>
      <c r="B5" s="269"/>
      <c r="C5" s="307" t="s">
        <v>21</v>
      </c>
      <c r="D5" s="308"/>
      <c r="E5" s="309"/>
      <c r="F5" s="272"/>
      <c r="G5" s="307" t="s">
        <v>59</v>
      </c>
      <c r="H5" s="308"/>
      <c r="I5" s="309"/>
      <c r="J5" s="260"/>
      <c r="K5" s="307" t="s">
        <v>249</v>
      </c>
      <c r="L5" s="308"/>
      <c r="M5" s="309"/>
    </row>
    <row r="6" spans="1:22" ht="12" customHeight="1" thickBot="1" x14ac:dyDescent="0.3">
      <c r="A6" s="282" t="s">
        <v>16</v>
      </c>
      <c r="B6" s="270"/>
      <c r="C6" s="283" t="s">
        <v>71</v>
      </c>
      <c r="D6" s="284" t="s">
        <v>15</v>
      </c>
      <c r="E6" s="285" t="s">
        <v>20</v>
      </c>
      <c r="F6" s="286"/>
      <c r="G6" s="283" t="s">
        <v>13</v>
      </c>
      <c r="H6" s="284" t="s">
        <v>252</v>
      </c>
      <c r="I6" s="285" t="s">
        <v>20</v>
      </c>
      <c r="J6" s="286"/>
      <c r="K6" s="283" t="s">
        <v>13</v>
      </c>
      <c r="L6" s="284" t="s">
        <v>15</v>
      </c>
      <c r="M6" s="285" t="s">
        <v>20</v>
      </c>
    </row>
    <row r="7" spans="1:22" ht="12" customHeight="1" x14ac:dyDescent="0.25">
      <c r="A7" s="230"/>
      <c r="B7" s="270"/>
      <c r="C7" s="231"/>
      <c r="D7" s="36"/>
      <c r="E7" s="232"/>
      <c r="F7" s="273"/>
      <c r="G7" s="231"/>
      <c r="H7" s="36"/>
      <c r="I7" s="232"/>
      <c r="J7" s="229"/>
      <c r="K7" s="231"/>
      <c r="L7" s="36"/>
      <c r="M7" s="232"/>
    </row>
    <row r="8" spans="1:22" ht="12" customHeight="1" x14ac:dyDescent="0.25">
      <c r="A8" s="230" t="s">
        <v>3</v>
      </c>
      <c r="B8" s="270"/>
      <c r="C8" s="233">
        <f>GrossMargin!I10</f>
        <v>20776</v>
      </c>
      <c r="D8" s="59" t="e">
        <f ca="1">GrossMargin!M10</f>
        <v>#NAME?</v>
      </c>
      <c r="E8" s="234" t="e">
        <f t="shared" ref="E8:E16" ca="1" si="0">-D8+C8</f>
        <v>#NAME?</v>
      </c>
      <c r="F8" s="274"/>
      <c r="G8" s="235" t="e">
        <f ca="1">Expenses!D9+'CapChrg-AllocExp'!D10+'CapChrg-AllocExp'!K10</f>
        <v>#NAME?</v>
      </c>
      <c r="H8" s="41" t="e">
        <f ca="1">Expenses!E9+'CapChrg-AllocExp'!E10+'CapChrg-AllocExp'!L10</f>
        <v>#NAME?</v>
      </c>
      <c r="I8" s="236" t="e">
        <f t="shared" ref="I8:I16" ca="1" si="1">H8-G8</f>
        <v>#NAME?</v>
      </c>
      <c r="J8" s="237"/>
      <c r="K8" s="233" t="e">
        <f t="shared" ref="K8:K16" ca="1" si="2">C8-G8</f>
        <v>#NAME?</v>
      </c>
      <c r="L8" s="59" t="e">
        <f t="shared" ref="L8:L16" ca="1" si="3">D8-H8</f>
        <v>#NAME?</v>
      </c>
      <c r="M8" s="234" t="e">
        <f t="shared" ref="M8:M16" ca="1" si="4">K8-L8</f>
        <v>#NAME?</v>
      </c>
    </row>
    <row r="9" spans="1:22" ht="12" customHeight="1" x14ac:dyDescent="0.25">
      <c r="A9" s="230" t="s">
        <v>106</v>
      </c>
      <c r="B9" s="270"/>
      <c r="C9" s="235">
        <f>GrossMargin!I11</f>
        <v>-6131</v>
      </c>
      <c r="D9" s="41" t="e">
        <f ca="1">GrossMargin!M11</f>
        <v>#NAME?</v>
      </c>
      <c r="E9" s="236" t="e">
        <f t="shared" ca="1" si="0"/>
        <v>#NAME?</v>
      </c>
      <c r="F9" s="274"/>
      <c r="G9" s="235" t="e">
        <f ca="1">Expenses!D10+'CapChrg-AllocExp'!D11+'CapChrg-AllocExp'!K11+Expenses!D54</f>
        <v>#NAME?</v>
      </c>
      <c r="H9" s="41" t="e">
        <f ca="1">Expenses!E10+'CapChrg-AllocExp'!E11+'CapChrg-AllocExp'!L11+Expenses!E54</f>
        <v>#NAME?</v>
      </c>
      <c r="I9" s="236" t="e">
        <f t="shared" ca="1" si="1"/>
        <v>#NAME?</v>
      </c>
      <c r="J9" s="237"/>
      <c r="K9" s="235" t="e">
        <f t="shared" ca="1" si="2"/>
        <v>#NAME?</v>
      </c>
      <c r="L9" s="41" t="e">
        <f t="shared" ca="1" si="3"/>
        <v>#NAME?</v>
      </c>
      <c r="M9" s="236" t="e">
        <f t="shared" ca="1" si="4"/>
        <v>#NAME?</v>
      </c>
    </row>
    <row r="10" spans="1:22" ht="12" customHeight="1" x14ac:dyDescent="0.25">
      <c r="A10" s="230" t="s">
        <v>132</v>
      </c>
      <c r="B10" s="270"/>
      <c r="C10" s="235">
        <f>GrossMargin!I12</f>
        <v>4610</v>
      </c>
      <c r="D10" s="41" t="e">
        <f ca="1">GrossMargin!M12</f>
        <v>#NAME?</v>
      </c>
      <c r="E10" s="236" t="e">
        <f t="shared" ca="1" si="0"/>
        <v>#NAME?</v>
      </c>
      <c r="F10" s="274"/>
      <c r="G10" s="235" t="e">
        <f ca="1">Expenses!D11+'CapChrg-AllocExp'!D12+'CapChrg-AllocExp'!K12</f>
        <v>#NAME?</v>
      </c>
      <c r="H10" s="41" t="e">
        <f ca="1">Expenses!E11+'CapChrg-AllocExp'!E12+'CapChrg-AllocExp'!L12</f>
        <v>#NAME?</v>
      </c>
      <c r="I10" s="236" t="e">
        <f t="shared" ca="1" si="1"/>
        <v>#NAME?</v>
      </c>
      <c r="J10" s="237"/>
      <c r="K10" s="235" t="e">
        <f t="shared" ca="1" si="2"/>
        <v>#NAME?</v>
      </c>
      <c r="L10" s="41" t="e">
        <f t="shared" ca="1" si="3"/>
        <v>#NAME?</v>
      </c>
      <c r="M10" s="236" t="e">
        <f t="shared" ca="1" si="4"/>
        <v>#NAME?</v>
      </c>
    </row>
    <row r="11" spans="1:22" ht="12" customHeight="1" x14ac:dyDescent="0.25">
      <c r="A11" s="230" t="s">
        <v>133</v>
      </c>
      <c r="B11" s="270"/>
      <c r="C11" s="235">
        <f>GrossMargin!I13</f>
        <v>-5591</v>
      </c>
      <c r="D11" s="41" t="e">
        <f ca="1">GrossMargin!M13</f>
        <v>#NAME?</v>
      </c>
      <c r="E11" s="236" t="e">
        <f t="shared" ca="1" si="0"/>
        <v>#NAME?</v>
      </c>
      <c r="F11" s="274"/>
      <c r="G11" s="235" t="e">
        <f ca="1">Expenses!D12+'CapChrg-AllocExp'!D13+'CapChrg-AllocExp'!K13</f>
        <v>#NAME?</v>
      </c>
      <c r="H11" s="41" t="e">
        <f ca="1">Expenses!E12+'CapChrg-AllocExp'!E13+'CapChrg-AllocExp'!L13</f>
        <v>#NAME?</v>
      </c>
      <c r="I11" s="236" t="e">
        <f t="shared" ca="1" si="1"/>
        <v>#NAME?</v>
      </c>
      <c r="J11" s="237"/>
      <c r="K11" s="235" t="e">
        <f t="shared" ca="1" si="2"/>
        <v>#NAME?</v>
      </c>
      <c r="L11" s="41" t="e">
        <f t="shared" ca="1" si="3"/>
        <v>#NAME?</v>
      </c>
      <c r="M11" s="236" t="e">
        <f t="shared" ca="1" si="4"/>
        <v>#NAME?</v>
      </c>
    </row>
    <row r="12" spans="1:22" ht="12" customHeight="1" x14ac:dyDescent="0.25">
      <c r="A12" s="230" t="s">
        <v>114</v>
      </c>
      <c r="B12" s="270"/>
      <c r="C12" s="235">
        <f>GrossMargin!I14</f>
        <v>6666</v>
      </c>
      <c r="D12" s="41" t="e">
        <f ca="1">(GrossMargin!M14)</f>
        <v>#NAME?</v>
      </c>
      <c r="E12" s="236" t="e">
        <f t="shared" ca="1" si="0"/>
        <v>#NAME?</v>
      </c>
      <c r="F12" s="274"/>
      <c r="G12" s="235" t="e">
        <f ca="1">Expenses!D13+'CapChrg-AllocExp'!D14+'CapChrg-AllocExp'!K14</f>
        <v>#NAME?</v>
      </c>
      <c r="H12" s="41" t="e">
        <f ca="1">(Expenses!E13+'CapChrg-AllocExp'!E14+'CapChrg-AllocExp'!L14)</f>
        <v>#NAME?</v>
      </c>
      <c r="I12" s="236" t="e">
        <f t="shared" ca="1" si="1"/>
        <v>#NAME?</v>
      </c>
      <c r="J12" s="237"/>
      <c r="K12" s="235" t="e">
        <f t="shared" ca="1" si="2"/>
        <v>#NAME?</v>
      </c>
      <c r="L12" s="41" t="e">
        <f t="shared" ca="1" si="3"/>
        <v>#NAME?</v>
      </c>
      <c r="M12" s="236" t="e">
        <f t="shared" ca="1" si="4"/>
        <v>#NAME?</v>
      </c>
    </row>
    <row r="13" spans="1:22" ht="12" customHeight="1" x14ac:dyDescent="0.25">
      <c r="A13" s="230" t="s">
        <v>5</v>
      </c>
      <c r="B13" s="270"/>
      <c r="C13" s="235">
        <f>GrossMargin!I15</f>
        <v>8</v>
      </c>
      <c r="D13" s="41" t="e">
        <f ca="1">GrossMargin!M15</f>
        <v>#NAME?</v>
      </c>
      <c r="E13" s="236" t="e">
        <f t="shared" ca="1" si="0"/>
        <v>#NAME?</v>
      </c>
      <c r="F13" s="274"/>
      <c r="G13" s="235" t="e">
        <f ca="1">Expenses!D14+'CapChrg-AllocExp'!D15+'CapChrg-AllocExp'!K15</f>
        <v>#NAME?</v>
      </c>
      <c r="H13" s="41" t="e">
        <f ca="1">Expenses!E14+'CapChrg-AllocExp'!E15+'CapChrg-AllocExp'!L15</f>
        <v>#NAME?</v>
      </c>
      <c r="I13" s="236" t="e">
        <f t="shared" ca="1" si="1"/>
        <v>#NAME?</v>
      </c>
      <c r="J13" s="237"/>
      <c r="K13" s="235" t="e">
        <f t="shared" ca="1" si="2"/>
        <v>#NAME?</v>
      </c>
      <c r="L13" s="41" t="e">
        <f t="shared" ca="1" si="3"/>
        <v>#NAME?</v>
      </c>
      <c r="M13" s="236" t="e">
        <f t="shared" ca="1" si="4"/>
        <v>#NAME?</v>
      </c>
    </row>
    <row r="14" spans="1:22" ht="12" customHeight="1" x14ac:dyDescent="0.25">
      <c r="A14" s="230" t="s">
        <v>155</v>
      </c>
      <c r="B14" s="270"/>
      <c r="C14" s="235">
        <f>GrossMargin!I16</f>
        <v>213</v>
      </c>
      <c r="D14" s="41" t="e">
        <f ca="1">GrossMargin!M16</f>
        <v>#NAME?</v>
      </c>
      <c r="E14" s="236" t="e">
        <f t="shared" ca="1" si="0"/>
        <v>#NAME?</v>
      </c>
      <c r="F14" s="274"/>
      <c r="G14" s="235" t="e">
        <f ca="1">Expenses!D15+'CapChrg-AllocExp'!D16+'CapChrg-AllocExp'!K16</f>
        <v>#NAME?</v>
      </c>
      <c r="H14" s="41" t="e">
        <f ca="1">Expenses!E15+'CapChrg-AllocExp'!E16+'CapChrg-AllocExp'!L16</f>
        <v>#NAME?</v>
      </c>
      <c r="I14" s="236" t="e">
        <f t="shared" ca="1" si="1"/>
        <v>#NAME?</v>
      </c>
      <c r="J14" s="237"/>
      <c r="K14" s="235" t="e">
        <f t="shared" ca="1" si="2"/>
        <v>#NAME?</v>
      </c>
      <c r="L14" s="41" t="e">
        <f t="shared" ca="1" si="3"/>
        <v>#NAME?</v>
      </c>
      <c r="M14" s="236" t="e">
        <f t="shared" ca="1" si="4"/>
        <v>#NAME?</v>
      </c>
    </row>
    <row r="15" spans="1:22" ht="12" customHeight="1" x14ac:dyDescent="0.25">
      <c r="A15" s="230" t="s">
        <v>107</v>
      </c>
      <c r="B15" s="270"/>
      <c r="C15" s="235">
        <f>GrossMargin!I17</f>
        <v>-1488</v>
      </c>
      <c r="D15" s="41" t="e">
        <f ca="1">GrossMargin!M17</f>
        <v>#NAME?</v>
      </c>
      <c r="E15" s="236" t="e">
        <f t="shared" ca="1" si="0"/>
        <v>#NAME?</v>
      </c>
      <c r="F15" s="274"/>
      <c r="G15" s="235" t="e">
        <f ca="1">Expenses!D16+'CapChrg-AllocExp'!D17+'CapChrg-AllocExp'!K17</f>
        <v>#NAME?</v>
      </c>
      <c r="H15" s="41" t="e">
        <f ca="1">Expenses!E16+'CapChrg-AllocExp'!E17+'CapChrg-AllocExp'!L17</f>
        <v>#NAME?</v>
      </c>
      <c r="I15" s="236" t="e">
        <f t="shared" ca="1" si="1"/>
        <v>#NAME?</v>
      </c>
      <c r="J15" s="237"/>
      <c r="K15" s="235" t="e">
        <f t="shared" ca="1" si="2"/>
        <v>#NAME?</v>
      </c>
      <c r="L15" s="41" t="e">
        <f t="shared" ca="1" si="3"/>
        <v>#NAME?</v>
      </c>
      <c r="M15" s="236" t="e">
        <f t="shared" ca="1" si="4"/>
        <v>#NAME?</v>
      </c>
    </row>
    <row r="16" spans="1:22" ht="12" customHeight="1" x14ac:dyDescent="0.25">
      <c r="A16" s="230" t="s">
        <v>156</v>
      </c>
      <c r="B16" s="270"/>
      <c r="C16" s="235">
        <f>GrossMargin!I18</f>
        <v>0</v>
      </c>
      <c r="D16" s="41" t="e">
        <f ca="1">GrossMargin!M18</f>
        <v>#NAME?</v>
      </c>
      <c r="E16" s="236" t="e">
        <f t="shared" ca="1" si="0"/>
        <v>#NAME?</v>
      </c>
      <c r="F16" s="274"/>
      <c r="G16" s="235" t="e">
        <f ca="1">Expenses!D17+'CapChrg-AllocExp'!D18+'CapChrg-AllocExp'!K18</f>
        <v>#NAME?</v>
      </c>
      <c r="H16" s="41" t="e">
        <f ca="1">Expenses!E17+'CapChrg-AllocExp'!E18+'CapChrg-AllocExp'!L18</f>
        <v>#NAME?</v>
      </c>
      <c r="I16" s="236" t="e">
        <f t="shared" ca="1" si="1"/>
        <v>#NAME?</v>
      </c>
      <c r="J16" s="237"/>
      <c r="K16" s="235" t="e">
        <f t="shared" ca="1" si="2"/>
        <v>#NAME?</v>
      </c>
      <c r="L16" s="41" t="e">
        <f t="shared" ca="1" si="3"/>
        <v>#NAME?</v>
      </c>
      <c r="M16" s="236" t="e">
        <f t="shared" ca="1" si="4"/>
        <v>#NAME?</v>
      </c>
    </row>
    <row r="17" spans="1:13" s="204" customFormat="1" ht="12" customHeight="1" x14ac:dyDescent="0.2">
      <c r="A17" s="261" t="s">
        <v>130</v>
      </c>
      <c r="B17" s="271"/>
      <c r="C17" s="262">
        <f>SUM(C8:C16)</f>
        <v>19063</v>
      </c>
      <c r="D17" s="263" t="e">
        <f ca="1">SUM(D8:D16)</f>
        <v>#NAME?</v>
      </c>
      <c r="E17" s="264" t="e">
        <f ca="1">SUM(E8:E16)</f>
        <v>#NAME?</v>
      </c>
      <c r="F17" s="275" t="e">
        <f ca="1">SUM(D17:E17)</f>
        <v>#NAME?</v>
      </c>
      <c r="G17" s="262" t="e">
        <f ca="1">SUM(G8:G16)</f>
        <v>#NAME?</v>
      </c>
      <c r="H17" s="263" t="e">
        <f ca="1">SUM(H8:H16)</f>
        <v>#NAME?</v>
      </c>
      <c r="I17" s="264" t="e">
        <f ca="1">SUM(I8:I16)</f>
        <v>#NAME?</v>
      </c>
      <c r="J17" s="238"/>
      <c r="K17" s="262" t="e">
        <f ca="1">SUM(K8:K16)</f>
        <v>#NAME?</v>
      </c>
      <c r="L17" s="263" t="e">
        <f ca="1">SUM(L8:L16)</f>
        <v>#NAME?</v>
      </c>
      <c r="M17" s="264" t="e">
        <f ca="1">SUM(M8:M16)</f>
        <v>#NAME?</v>
      </c>
    </row>
    <row r="18" spans="1:13" ht="12" customHeight="1" x14ac:dyDescent="0.25">
      <c r="A18" s="230"/>
      <c r="B18" s="270"/>
      <c r="C18" s="235"/>
      <c r="D18" s="41"/>
      <c r="E18" s="236"/>
      <c r="F18" s="274"/>
      <c r="G18" s="239"/>
      <c r="H18" s="41"/>
      <c r="I18" s="236"/>
      <c r="J18" s="237"/>
      <c r="K18" s="235"/>
      <c r="L18" s="41"/>
      <c r="M18" s="236"/>
    </row>
    <row r="19" spans="1:13" ht="12" customHeight="1" x14ac:dyDescent="0.25">
      <c r="A19" s="230" t="s">
        <v>88</v>
      </c>
      <c r="B19" s="270"/>
      <c r="C19" s="235">
        <f>GrossMargin!I22</f>
        <v>0</v>
      </c>
      <c r="D19" s="41" t="e">
        <f ca="1">GrossMargin!M22</f>
        <v>#NAME?</v>
      </c>
      <c r="E19" s="236" t="e">
        <f ca="1">-D19+C19</f>
        <v>#NAME?</v>
      </c>
      <c r="F19" s="274"/>
      <c r="G19" s="235" t="e">
        <f ca="1">Expenses!D20+'CapChrg-AllocExp'!D21+'CapChrg-AllocExp'!K21</f>
        <v>#NAME?</v>
      </c>
      <c r="H19" s="41" t="e">
        <f ca="1">Expenses!E20+'CapChrg-AllocExp'!E21+'CapChrg-AllocExp'!L21</f>
        <v>#NAME?</v>
      </c>
      <c r="I19" s="236" t="e">
        <f ca="1">H19-G19</f>
        <v>#NAME?</v>
      </c>
      <c r="J19" s="237"/>
      <c r="K19" s="235" t="e">
        <f t="shared" ref="K19:L23" ca="1" si="5">C19-G19</f>
        <v>#NAME?</v>
      </c>
      <c r="L19" s="41" t="e">
        <f t="shared" ca="1" si="5"/>
        <v>#NAME?</v>
      </c>
      <c r="M19" s="236" t="e">
        <f ca="1">K19-L19</f>
        <v>#NAME?</v>
      </c>
    </row>
    <row r="20" spans="1:13" ht="12" customHeight="1" x14ac:dyDescent="0.25">
      <c r="A20" s="230" t="s">
        <v>89</v>
      </c>
      <c r="B20" s="270"/>
      <c r="C20" s="235">
        <f>GrossMargin!I23</f>
        <v>0</v>
      </c>
      <c r="D20" s="41" t="e">
        <f ca="1">GrossMargin!M23</f>
        <v>#NAME?</v>
      </c>
      <c r="E20" s="236" t="e">
        <f ca="1">-D20+C20</f>
        <v>#NAME?</v>
      </c>
      <c r="F20" s="274"/>
      <c r="G20" s="235" t="e">
        <f ca="1">Expenses!D21+'CapChrg-AllocExp'!D22+'CapChrg-AllocExp'!K22</f>
        <v>#NAME?</v>
      </c>
      <c r="H20" s="41" t="e">
        <f ca="1">Expenses!E21+'CapChrg-AllocExp'!E22+'CapChrg-AllocExp'!L22</f>
        <v>#NAME?</v>
      </c>
      <c r="I20" s="236" t="e">
        <f ca="1">H20-G20</f>
        <v>#NAME?</v>
      </c>
      <c r="J20" s="237"/>
      <c r="K20" s="235" t="e">
        <f t="shared" ca="1" si="5"/>
        <v>#NAME?</v>
      </c>
      <c r="L20" s="41" t="e">
        <f t="shared" ca="1" si="5"/>
        <v>#NAME?</v>
      </c>
      <c r="M20" s="236" t="e">
        <f ca="1">K20-L20</f>
        <v>#NAME?</v>
      </c>
    </row>
    <row r="21" spans="1:13" ht="12" customHeight="1" x14ac:dyDescent="0.25">
      <c r="A21" s="230" t="s">
        <v>258</v>
      </c>
      <c r="B21" s="270"/>
      <c r="C21" s="235">
        <f>GrossMargin!I24</f>
        <v>417</v>
      </c>
      <c r="D21" s="41" t="e">
        <f ca="1">GrossMargin!M24</f>
        <v>#NAME?</v>
      </c>
      <c r="E21" s="236" t="e">
        <f ca="1">-D21+C21</f>
        <v>#NAME?</v>
      </c>
      <c r="F21" s="274"/>
      <c r="G21" s="235" t="e">
        <f ca="1">Expenses!D22+'CapChrg-AllocExp'!D23+'CapChrg-AllocExp'!K23</f>
        <v>#NAME?</v>
      </c>
      <c r="H21" s="41" t="e">
        <f ca="1">Expenses!E22+'CapChrg-AllocExp'!E23+'CapChrg-AllocExp'!L23</f>
        <v>#NAME?</v>
      </c>
      <c r="I21" s="236" t="e">
        <f ca="1">H21-G21</f>
        <v>#NAME?</v>
      </c>
      <c r="J21" s="237"/>
      <c r="K21" s="235" t="e">
        <f t="shared" ca="1" si="5"/>
        <v>#NAME?</v>
      </c>
      <c r="L21" s="41" t="e">
        <f t="shared" ca="1" si="5"/>
        <v>#NAME?</v>
      </c>
      <c r="M21" s="236" t="e">
        <f ca="1">K21-L21</f>
        <v>#NAME?</v>
      </c>
    </row>
    <row r="22" spans="1:13" ht="12" customHeight="1" x14ac:dyDescent="0.25">
      <c r="A22" s="230" t="s">
        <v>104</v>
      </c>
      <c r="B22" s="270"/>
      <c r="C22" s="235">
        <f>GrossMargin!I25</f>
        <v>0</v>
      </c>
      <c r="D22" s="41" t="e">
        <f ca="1">GrossMargin!M25</f>
        <v>#NAME?</v>
      </c>
      <c r="E22" s="236" t="e">
        <f ca="1">-D22+C22</f>
        <v>#NAME?</v>
      </c>
      <c r="F22" s="274"/>
      <c r="G22" s="235" t="e">
        <f ca="1">Expenses!D23+'CapChrg-AllocExp'!D24+'CapChrg-AllocExp'!K24</f>
        <v>#NAME?</v>
      </c>
      <c r="H22" s="41" t="e">
        <f ca="1">Expenses!E23+'CapChrg-AllocExp'!E24+'CapChrg-AllocExp'!L24</f>
        <v>#NAME?</v>
      </c>
      <c r="I22" s="236" t="e">
        <f ca="1">H22-G22</f>
        <v>#NAME?</v>
      </c>
      <c r="J22" s="237"/>
      <c r="K22" s="235" t="e">
        <f t="shared" ca="1" si="5"/>
        <v>#NAME?</v>
      </c>
      <c r="L22" s="41" t="e">
        <f t="shared" ca="1" si="5"/>
        <v>#NAME?</v>
      </c>
      <c r="M22" s="236" t="e">
        <f ca="1">K22-L22</f>
        <v>#NAME?</v>
      </c>
    </row>
    <row r="23" spans="1:13" ht="12" customHeight="1" x14ac:dyDescent="0.25">
      <c r="A23" s="230" t="s">
        <v>0</v>
      </c>
      <c r="B23" s="270"/>
      <c r="C23" s="235">
        <f>GrossMargin!I26</f>
        <v>0</v>
      </c>
      <c r="D23" s="41" t="e">
        <f ca="1">GrossMargin!M26</f>
        <v>#NAME?</v>
      </c>
      <c r="E23" s="236" t="e">
        <f ca="1">-D23+C23</f>
        <v>#NAME?</v>
      </c>
      <c r="F23" s="274"/>
      <c r="G23" s="235" t="e">
        <f ca="1">Expenses!D24+'CapChrg-AllocExp'!D25+'CapChrg-AllocExp'!K25</f>
        <v>#NAME?</v>
      </c>
      <c r="H23" s="41" t="e">
        <f ca="1">Expenses!E24+'CapChrg-AllocExp'!E25+'CapChrg-AllocExp'!L25</f>
        <v>#NAME?</v>
      </c>
      <c r="I23" s="236" t="e">
        <f ca="1">H23-G23</f>
        <v>#NAME?</v>
      </c>
      <c r="J23" s="237"/>
      <c r="K23" s="235" t="e">
        <f t="shared" ca="1" si="5"/>
        <v>#NAME?</v>
      </c>
      <c r="L23" s="41" t="e">
        <f t="shared" ca="1" si="5"/>
        <v>#NAME?</v>
      </c>
      <c r="M23" s="236" t="e">
        <f ca="1">K23-L23</f>
        <v>#NAME?</v>
      </c>
    </row>
    <row r="24" spans="1:13" s="204" customFormat="1" ht="12" customHeight="1" x14ac:dyDescent="0.2">
      <c r="A24" s="261" t="s">
        <v>1</v>
      </c>
      <c r="B24" s="271"/>
      <c r="C24" s="262">
        <f t="shared" ref="C24:I24" si="6">SUM(C19:C23)</f>
        <v>417</v>
      </c>
      <c r="D24" s="263" t="e">
        <f t="shared" ca="1" si="6"/>
        <v>#NAME?</v>
      </c>
      <c r="E24" s="264" t="e">
        <f t="shared" ca="1" si="6"/>
        <v>#NAME?</v>
      </c>
      <c r="F24" s="275">
        <f t="shared" si="6"/>
        <v>0</v>
      </c>
      <c r="G24" s="262" t="e">
        <f t="shared" ca="1" si="6"/>
        <v>#NAME?</v>
      </c>
      <c r="H24" s="263" t="e">
        <f t="shared" ca="1" si="6"/>
        <v>#NAME?</v>
      </c>
      <c r="I24" s="264" t="e">
        <f t="shared" ca="1" si="6"/>
        <v>#NAME?</v>
      </c>
      <c r="J24" s="238"/>
      <c r="K24" s="262" t="e">
        <f ca="1">SUM(K19:K23)</f>
        <v>#NAME?</v>
      </c>
      <c r="L24" s="263" t="e">
        <f ca="1">SUM(L19:L23)</f>
        <v>#NAME?</v>
      </c>
      <c r="M24" s="264" t="e">
        <f ca="1">SUM(M19:M23)</f>
        <v>#NAME?</v>
      </c>
    </row>
    <row r="25" spans="1:13" ht="12" customHeight="1" x14ac:dyDescent="0.25">
      <c r="A25" s="230"/>
      <c r="B25" s="270"/>
      <c r="C25" s="235"/>
      <c r="D25" s="41"/>
      <c r="E25" s="236"/>
      <c r="F25" s="274"/>
      <c r="G25" s="239"/>
      <c r="H25" s="41"/>
      <c r="I25" s="236"/>
      <c r="J25" s="237"/>
      <c r="K25" s="235"/>
      <c r="L25" s="41"/>
      <c r="M25" s="236"/>
    </row>
    <row r="26" spans="1:13" ht="12" customHeight="1" x14ac:dyDescent="0.25">
      <c r="A26" s="230" t="s">
        <v>67</v>
      </c>
      <c r="B26" s="270"/>
      <c r="C26" s="235">
        <f>GrossMargin!I30</f>
        <v>3553</v>
      </c>
      <c r="D26" s="41" t="e">
        <f ca="1">GrossMargin!M30</f>
        <v>#NAME?</v>
      </c>
      <c r="E26" s="236" t="e">
        <f ca="1">-D26+C26</f>
        <v>#NAME?</v>
      </c>
      <c r="F26" s="274"/>
      <c r="G26" s="235" t="e">
        <f ca="1">Expenses!D27+'CapChrg-AllocExp'!D28+'CapChrg-AllocExp'!K28</f>
        <v>#NAME?</v>
      </c>
      <c r="H26" s="41" t="e">
        <f ca="1">Expenses!E27+'CapChrg-AllocExp'!E28+'CapChrg-AllocExp'!L28</f>
        <v>#NAME?</v>
      </c>
      <c r="I26" s="236" t="e">
        <f ca="1">H26-G26</f>
        <v>#NAME?</v>
      </c>
      <c r="J26" s="237"/>
      <c r="K26" s="235" t="e">
        <f t="shared" ref="K26:L28" ca="1" si="7">C26-G26</f>
        <v>#NAME?</v>
      </c>
      <c r="L26" s="41" t="e">
        <f t="shared" ca="1" si="7"/>
        <v>#NAME?</v>
      </c>
      <c r="M26" s="236" t="e">
        <f ca="1">K26-L26</f>
        <v>#NAME?</v>
      </c>
    </row>
    <row r="27" spans="1:13" ht="12" customHeight="1" x14ac:dyDescent="0.25">
      <c r="A27" s="230" t="s">
        <v>92</v>
      </c>
      <c r="B27" s="270"/>
      <c r="C27" s="235">
        <f>GrossMargin!I31</f>
        <v>17421</v>
      </c>
      <c r="D27" s="41" t="e">
        <f ca="1">GrossMargin!M31</f>
        <v>#NAME?</v>
      </c>
      <c r="E27" s="236" t="e">
        <f ca="1">-D27+C27</f>
        <v>#NAME?</v>
      </c>
      <c r="F27" s="274"/>
      <c r="G27" s="235" t="e">
        <f ca="1">Expenses!D28+'CapChrg-AllocExp'!D29+'CapChrg-AllocExp'!K29+Expenses!D55</f>
        <v>#NAME?</v>
      </c>
      <c r="H27" s="41" t="e">
        <f ca="1">Expenses!E28+'CapChrg-AllocExp'!E29+'CapChrg-AllocExp'!L29+Expenses!E55</f>
        <v>#NAME?</v>
      </c>
      <c r="I27" s="236" t="e">
        <f ca="1">H27-G27</f>
        <v>#NAME?</v>
      </c>
      <c r="J27" s="237"/>
      <c r="K27" s="235" t="e">
        <f t="shared" ca="1" si="7"/>
        <v>#NAME?</v>
      </c>
      <c r="L27" s="41" t="e">
        <f t="shared" ca="1" si="7"/>
        <v>#NAME?</v>
      </c>
      <c r="M27" s="236" t="e">
        <f ca="1">K27-L27</f>
        <v>#NAME?</v>
      </c>
    </row>
    <row r="28" spans="1:13" ht="12" customHeight="1" x14ac:dyDescent="0.25">
      <c r="A28" s="230" t="s">
        <v>93</v>
      </c>
      <c r="B28" s="270"/>
      <c r="C28" s="235">
        <f>GrossMargin!I32</f>
        <v>5531</v>
      </c>
      <c r="D28" s="41" t="e">
        <f ca="1">GrossMargin!M32</f>
        <v>#NAME?</v>
      </c>
      <c r="E28" s="236" t="e">
        <f ca="1">-D28+C28</f>
        <v>#NAME?</v>
      </c>
      <c r="F28" s="274"/>
      <c r="G28" s="235" t="e">
        <f ca="1">Expenses!D29+'CapChrg-AllocExp'!D30+'CapChrg-AllocExp'!K30</f>
        <v>#NAME?</v>
      </c>
      <c r="H28" s="41" t="e">
        <f ca="1">Expenses!E29+'CapChrg-AllocExp'!E30+'CapChrg-AllocExp'!L30</f>
        <v>#NAME?</v>
      </c>
      <c r="I28" s="236" t="e">
        <f ca="1">H28-G28</f>
        <v>#NAME?</v>
      </c>
      <c r="J28" s="237"/>
      <c r="K28" s="235" t="e">
        <f t="shared" ca="1" si="7"/>
        <v>#NAME?</v>
      </c>
      <c r="L28" s="41" t="e">
        <f t="shared" ca="1" si="7"/>
        <v>#NAME?</v>
      </c>
      <c r="M28" s="236" t="e">
        <f ca="1">K28-L28</f>
        <v>#NAME?</v>
      </c>
    </row>
    <row r="29" spans="1:13" s="204" customFormat="1" ht="12" customHeight="1" x14ac:dyDescent="0.2">
      <c r="A29" s="261" t="s">
        <v>86</v>
      </c>
      <c r="B29" s="271"/>
      <c r="C29" s="262">
        <f>SUM(C26:C28)</f>
        <v>26505</v>
      </c>
      <c r="D29" s="263" t="e">
        <f ca="1">SUM(D26:D28)</f>
        <v>#NAME?</v>
      </c>
      <c r="E29" s="264" t="e">
        <f ca="1">SUM(E26:E28)</f>
        <v>#NAME?</v>
      </c>
      <c r="F29" s="275"/>
      <c r="G29" s="262" t="e">
        <f ca="1">SUM(G26:G28)</f>
        <v>#NAME?</v>
      </c>
      <c r="H29" s="263" t="e">
        <f ca="1">SUM(H26:H28)</f>
        <v>#NAME?</v>
      </c>
      <c r="I29" s="264" t="e">
        <f ca="1">SUM(I26:I28)</f>
        <v>#NAME?</v>
      </c>
      <c r="J29" s="238"/>
      <c r="K29" s="262" t="e">
        <f ca="1">SUM(K26:K28)</f>
        <v>#NAME?</v>
      </c>
      <c r="L29" s="263" t="e">
        <f ca="1">SUM(L26:L28)</f>
        <v>#NAME?</v>
      </c>
      <c r="M29" s="264" t="e">
        <f ca="1">SUM(M26:M28)</f>
        <v>#NAME?</v>
      </c>
    </row>
    <row r="30" spans="1:13" ht="12" customHeight="1" x14ac:dyDescent="0.25">
      <c r="A30" s="230"/>
      <c r="B30" s="270"/>
      <c r="C30" s="235"/>
      <c r="D30" s="41"/>
      <c r="E30" s="236"/>
      <c r="F30" s="274"/>
      <c r="G30" s="239"/>
      <c r="H30" s="41"/>
      <c r="I30" s="236"/>
      <c r="J30" s="237"/>
      <c r="K30" s="235"/>
      <c r="L30" s="41"/>
      <c r="M30" s="236"/>
    </row>
    <row r="31" spans="1:13" ht="12" customHeight="1" x14ac:dyDescent="0.25">
      <c r="A31" s="230" t="s">
        <v>9</v>
      </c>
      <c r="B31" s="270"/>
      <c r="C31" s="235">
        <f>GrossMargin!I36</f>
        <v>-24822</v>
      </c>
      <c r="D31" s="41" t="e">
        <f ca="1">GrossMargin!M36</f>
        <v>#NAME?</v>
      </c>
      <c r="E31" s="236" t="e">
        <f ca="1">-D31+C31</f>
        <v>#NAME?</v>
      </c>
      <c r="F31" s="274"/>
      <c r="G31" s="235" t="e">
        <f ca="1">Expenses!D32+'CapChrg-AllocExp'!D33+'CapChrg-AllocExp'!K33</f>
        <v>#NAME?</v>
      </c>
      <c r="H31" s="41" t="e">
        <f ca="1">Expenses!E32+'CapChrg-AllocExp'!E33+'CapChrg-AllocExp'!L33</f>
        <v>#NAME?</v>
      </c>
      <c r="I31" s="236" t="e">
        <f ca="1">H31-G31</f>
        <v>#NAME?</v>
      </c>
      <c r="J31" s="237"/>
      <c r="K31" s="235" t="e">
        <f t="shared" ref="K31:L33" ca="1" si="8">C31-G31</f>
        <v>#NAME?</v>
      </c>
      <c r="L31" s="41" t="e">
        <f t="shared" ca="1" si="8"/>
        <v>#NAME?</v>
      </c>
      <c r="M31" s="236" t="e">
        <f ca="1">K31-L31</f>
        <v>#NAME?</v>
      </c>
    </row>
    <row r="32" spans="1:13" ht="12" customHeight="1" x14ac:dyDescent="0.25">
      <c r="A32" s="230" t="s">
        <v>151</v>
      </c>
      <c r="B32" s="270"/>
      <c r="C32" s="235">
        <f>GrossMargin!I37</f>
        <v>-505</v>
      </c>
      <c r="D32" s="41" t="e">
        <f ca="1">GrossMargin!M37</f>
        <v>#NAME?</v>
      </c>
      <c r="E32" s="236" t="e">
        <f ca="1">-D32+C32</f>
        <v>#NAME?</v>
      </c>
      <c r="F32" s="274"/>
      <c r="G32" s="235" t="e">
        <f ca="1">Expenses!D33+'CapChrg-AllocExp'!D34+'CapChrg-AllocExp'!K34</f>
        <v>#NAME?</v>
      </c>
      <c r="H32" s="41" t="e">
        <f ca="1">Expenses!E33+'CapChrg-AllocExp'!E34+'CapChrg-AllocExp'!L34</f>
        <v>#NAME?</v>
      </c>
      <c r="I32" s="236" t="e">
        <f ca="1">H32-G32</f>
        <v>#NAME?</v>
      </c>
      <c r="J32" s="237"/>
      <c r="K32" s="235" t="e">
        <f t="shared" ca="1" si="8"/>
        <v>#NAME?</v>
      </c>
      <c r="L32" s="41" t="e">
        <f t="shared" ca="1" si="8"/>
        <v>#NAME?</v>
      </c>
      <c r="M32" s="236" t="e">
        <f ca="1">K32-L32</f>
        <v>#NAME?</v>
      </c>
    </row>
    <row r="33" spans="1:13" x14ac:dyDescent="0.25">
      <c r="A33" s="230" t="s">
        <v>154</v>
      </c>
      <c r="B33" s="270"/>
      <c r="C33" s="235">
        <f>GrossMargin!I40</f>
        <v>-21391</v>
      </c>
      <c r="D33" s="41" t="e">
        <f ca="1">GrossMargin!M40</f>
        <v>#NAME?</v>
      </c>
      <c r="E33" s="236" t="e">
        <f ca="1">-D33+C33</f>
        <v>#NAME?</v>
      </c>
      <c r="F33" s="229"/>
      <c r="G33" s="235" t="e">
        <f ca="1">Expenses!D36+'CapChrg-AllocExp'!D37+'CapChrg-AllocExp'!K37</f>
        <v>#NAME?</v>
      </c>
      <c r="H33" s="41" t="e">
        <f ca="1">Expenses!E36+'CapChrg-AllocExp'!E37+'CapChrg-AllocExp'!L37</f>
        <v>#NAME?</v>
      </c>
      <c r="I33" s="236" t="e">
        <f ca="1">H33-G33</f>
        <v>#NAME?</v>
      </c>
      <c r="J33" s="229"/>
      <c r="K33" s="235" t="e">
        <f t="shared" ca="1" si="8"/>
        <v>#NAME?</v>
      </c>
      <c r="L33" s="41" t="e">
        <f t="shared" ca="1" si="8"/>
        <v>#NAME?</v>
      </c>
      <c r="M33" s="236" t="e">
        <f ca="1">K33-L33</f>
        <v>#NAME?</v>
      </c>
    </row>
    <row r="34" spans="1:13" s="204" customFormat="1" ht="12" customHeight="1" x14ac:dyDescent="0.2">
      <c r="A34" s="261" t="s">
        <v>87</v>
      </c>
      <c r="B34" s="271"/>
      <c r="C34" s="262">
        <f>C31+C32+C33</f>
        <v>-46718</v>
      </c>
      <c r="D34" s="263" t="e">
        <f ca="1">D31+D32+D33</f>
        <v>#NAME?</v>
      </c>
      <c r="E34" s="264" t="e">
        <f ca="1">SUM(E31:E33)</f>
        <v>#NAME?</v>
      </c>
      <c r="F34" s="275"/>
      <c r="G34" s="262" t="e">
        <f ca="1">G31+G32+G33</f>
        <v>#NAME?</v>
      </c>
      <c r="H34" s="263" t="e">
        <f ca="1">H31+H32+H33</f>
        <v>#NAME?</v>
      </c>
      <c r="I34" s="264" t="e">
        <f ca="1">SUM(I31:I33)</f>
        <v>#NAME?</v>
      </c>
      <c r="J34" s="238"/>
      <c r="K34" s="262" t="e">
        <f ca="1">K31+K32+K33</f>
        <v>#NAME?</v>
      </c>
      <c r="L34" s="263" t="e">
        <f ca="1">L31+L32+L33</f>
        <v>#NAME?</v>
      </c>
      <c r="M34" s="264" t="e">
        <f ca="1">SUM(M31:M33)</f>
        <v>#NAME?</v>
      </c>
    </row>
    <row r="35" spans="1:13" ht="12" customHeight="1" x14ac:dyDescent="0.25">
      <c r="A35" s="240"/>
      <c r="B35" s="270"/>
      <c r="C35" s="241"/>
      <c r="D35" s="104"/>
      <c r="E35" s="242"/>
      <c r="F35" s="274"/>
      <c r="G35" s="243"/>
      <c r="H35" s="104"/>
      <c r="I35" s="242"/>
      <c r="J35" s="237"/>
      <c r="K35" s="241"/>
      <c r="L35" s="104"/>
      <c r="M35" s="242"/>
    </row>
    <row r="36" spans="1:13" ht="12" customHeight="1" x14ac:dyDescent="0.25">
      <c r="A36" s="240" t="s">
        <v>8</v>
      </c>
      <c r="B36" s="270"/>
      <c r="C36" s="241">
        <f>GrossMargin!I44</f>
        <v>0</v>
      </c>
      <c r="D36" s="104" t="e">
        <f ca="1">GrossMargin!M44</f>
        <v>#NAME?</v>
      </c>
      <c r="E36" s="242" t="e">
        <f ca="1">-D36+C36</f>
        <v>#NAME?</v>
      </c>
      <c r="F36" s="274"/>
      <c r="G36" s="241" t="e">
        <f ca="1">Expenses!D39+'CapChrg-AllocExp'!D40+'CapChrg-AllocExp'!K40</f>
        <v>#NAME?</v>
      </c>
      <c r="H36" s="104" t="e">
        <f ca="1">Expenses!E39+'CapChrg-AllocExp'!E40+'CapChrg-AllocExp'!L40</f>
        <v>#NAME?</v>
      </c>
      <c r="I36" s="242" t="e">
        <f ca="1">H36-G36</f>
        <v>#NAME?</v>
      </c>
      <c r="J36" s="237"/>
      <c r="K36" s="241" t="e">
        <f t="shared" ref="K36:L38" ca="1" si="9">C36-G36</f>
        <v>#NAME?</v>
      </c>
      <c r="L36" s="104" t="e">
        <f t="shared" ca="1" si="9"/>
        <v>#NAME?</v>
      </c>
      <c r="M36" s="242" t="e">
        <f ca="1">K36-L36</f>
        <v>#NAME?</v>
      </c>
    </row>
    <row r="37" spans="1:13" ht="12" customHeight="1" x14ac:dyDescent="0.25">
      <c r="A37" s="240" t="s">
        <v>7</v>
      </c>
      <c r="B37" s="270"/>
      <c r="C37" s="241">
        <f>GrossMargin!I46</f>
        <v>0</v>
      </c>
      <c r="D37" s="104">
        <f>GrossMargin!M46</f>
        <v>0</v>
      </c>
      <c r="E37" s="242">
        <f>-D37+C37</f>
        <v>0</v>
      </c>
      <c r="F37" s="274"/>
      <c r="G37" s="241" t="e">
        <f ca="1">Expenses!D41+'CapChrg-AllocExp'!D42+'CapChrg-AllocExp'!K42</f>
        <v>#NAME?</v>
      </c>
      <c r="H37" s="104" t="e">
        <f ca="1">Expenses!E41+'CapChrg-AllocExp'!E42+'CapChrg-AllocExp'!L42</f>
        <v>#NAME?</v>
      </c>
      <c r="I37" s="242" t="e">
        <f ca="1">H37-G37</f>
        <v>#NAME?</v>
      </c>
      <c r="J37" s="237"/>
      <c r="K37" s="241" t="e">
        <f t="shared" ca="1" si="9"/>
        <v>#NAME?</v>
      </c>
      <c r="L37" s="104" t="e">
        <f t="shared" ca="1" si="9"/>
        <v>#NAME?</v>
      </c>
      <c r="M37" s="242" t="e">
        <f ca="1">K37-L37</f>
        <v>#NAME?</v>
      </c>
    </row>
    <row r="38" spans="1:13" ht="12" customHeight="1" x14ac:dyDescent="0.25">
      <c r="A38" s="240" t="s">
        <v>19</v>
      </c>
      <c r="B38" s="270"/>
      <c r="C38" s="241">
        <f>GrossMargin!I50</f>
        <v>0</v>
      </c>
      <c r="D38" s="104">
        <f>GrossMargin!M50</f>
        <v>38074</v>
      </c>
      <c r="E38" s="242">
        <f>-D38+C38</f>
        <v>-38074</v>
      </c>
      <c r="F38" s="274"/>
      <c r="G38" s="241">
        <f>Expenses!D51+'CapChrg-AllocExp'!D52+'CapChrg-AllocExp'!K52</f>
        <v>0</v>
      </c>
      <c r="H38" s="104">
        <f>Expenses!E51+'CapChrg-AllocExp'!E52+'CapChrg-AllocExp'!L52</f>
        <v>0</v>
      </c>
      <c r="I38" s="242">
        <f>H38-G38</f>
        <v>0</v>
      </c>
      <c r="J38" s="237"/>
      <c r="K38" s="241">
        <f t="shared" si="9"/>
        <v>0</v>
      </c>
      <c r="L38" s="104">
        <f t="shared" si="9"/>
        <v>38074</v>
      </c>
      <c r="M38" s="242">
        <f>K38-L38</f>
        <v>-38074</v>
      </c>
    </row>
    <row r="39" spans="1:13" s="204" customFormat="1" ht="12" customHeight="1" x14ac:dyDescent="0.2">
      <c r="A39" s="261" t="s">
        <v>10</v>
      </c>
      <c r="B39" s="271"/>
      <c r="C39" s="262">
        <f>SUM(C34:C38)+C17+C24+C29</f>
        <v>-733</v>
      </c>
      <c r="D39" s="263" t="e">
        <f ca="1">SUM(D34:D38)+D17+D24+D29</f>
        <v>#NAME?</v>
      </c>
      <c r="E39" s="264" t="e">
        <f ca="1">SUM(E34:E38)+E17+E24+E29</f>
        <v>#NAME?</v>
      </c>
      <c r="F39" s="275"/>
      <c r="G39" s="262" t="e">
        <f ca="1">SUM(G34:G38)+G17+G24+G29</f>
        <v>#NAME?</v>
      </c>
      <c r="H39" s="263" t="e">
        <f ca="1">SUM(H34:H38)+H17+H24+H29</f>
        <v>#NAME?</v>
      </c>
      <c r="I39" s="264" t="e">
        <f ca="1">SUM(I34:I38)+I17+I24+I29</f>
        <v>#NAME?</v>
      </c>
      <c r="J39" s="238"/>
      <c r="K39" s="262" t="e">
        <f ca="1">SUM(K34:K38)+K17+K24+K29</f>
        <v>#NAME?</v>
      </c>
      <c r="L39" s="263" t="e">
        <f ca="1">SUM(L34:L38)+L17+L24+L29</f>
        <v>#NAME?</v>
      </c>
      <c r="M39" s="264" t="e">
        <f ca="1">SUM(M34:M38)+M17+M24+M29</f>
        <v>#NAME?</v>
      </c>
    </row>
    <row r="40" spans="1:13" ht="12" customHeight="1" x14ac:dyDescent="0.25">
      <c r="A40" s="240"/>
      <c r="B40" s="270"/>
      <c r="C40" s="241"/>
      <c r="D40" s="104"/>
      <c r="E40" s="242"/>
      <c r="F40" s="274"/>
      <c r="G40" s="243"/>
      <c r="H40" s="104"/>
      <c r="I40" s="242"/>
      <c r="J40" s="237"/>
      <c r="K40" s="241"/>
      <c r="L40" s="104"/>
      <c r="M40" s="242"/>
    </row>
    <row r="41" spans="1:13" ht="12" customHeight="1" x14ac:dyDescent="0.25">
      <c r="A41" s="240" t="s">
        <v>265</v>
      </c>
      <c r="B41" s="270"/>
      <c r="C41" s="241">
        <v>0</v>
      </c>
      <c r="D41" s="104">
        <v>0</v>
      </c>
      <c r="E41" s="242">
        <f>-D41+C41</f>
        <v>0</v>
      </c>
      <c r="F41" s="274"/>
      <c r="G41" s="243">
        <v>0</v>
      </c>
      <c r="H41" s="104">
        <v>0</v>
      </c>
      <c r="I41" s="242">
        <f>H41-G41</f>
        <v>0</v>
      </c>
      <c r="J41" s="237"/>
      <c r="K41" s="241">
        <f t="shared" ref="K41:L44" si="10">C41-G41</f>
        <v>0</v>
      </c>
      <c r="L41" s="104">
        <f t="shared" si="10"/>
        <v>0</v>
      </c>
      <c r="M41" s="242">
        <f>K41-L41</f>
        <v>0</v>
      </c>
    </row>
    <row r="42" spans="1:13" ht="12" customHeight="1" x14ac:dyDescent="0.25">
      <c r="A42" s="240" t="s">
        <v>266</v>
      </c>
      <c r="B42" s="270"/>
      <c r="C42" s="241">
        <v>0</v>
      </c>
      <c r="D42" s="104">
        <v>0</v>
      </c>
      <c r="E42" s="242">
        <f>-D42+C42</f>
        <v>0</v>
      </c>
      <c r="F42" s="274"/>
      <c r="G42" s="241" t="e">
        <f ca="1">Expenses!D45+'CapChrg-AllocExp'!D48+'CapChrg-AllocExp'!K48</f>
        <v>#NAME?</v>
      </c>
      <c r="H42" s="104" t="e">
        <f ca="1">Expenses!E45+'CapChrg-AllocExp'!E48+'CapChrg-AllocExp'!L48</f>
        <v>#NAME?</v>
      </c>
      <c r="I42" s="242" t="e">
        <f ca="1">H42-G42</f>
        <v>#NAME?</v>
      </c>
      <c r="J42" s="237"/>
      <c r="K42" s="241" t="e">
        <f t="shared" ca="1" si="10"/>
        <v>#NAME?</v>
      </c>
      <c r="L42" s="104" t="e">
        <f t="shared" ca="1" si="10"/>
        <v>#NAME?</v>
      </c>
      <c r="M42" s="242" t="e">
        <f ca="1">K42-L42</f>
        <v>#NAME?</v>
      </c>
    </row>
    <row r="43" spans="1:13" ht="12" customHeight="1" x14ac:dyDescent="0.25">
      <c r="A43" s="240" t="s">
        <v>18</v>
      </c>
      <c r="B43" s="270"/>
      <c r="C43" s="241">
        <f>GrossMargin!I48</f>
        <v>-19367</v>
      </c>
      <c r="D43" s="104" t="e">
        <f ca="1">GrossMargin!M48</f>
        <v>#NAME?</v>
      </c>
      <c r="E43" s="242" t="e">
        <f ca="1">-D43+C43</f>
        <v>#NAME?</v>
      </c>
      <c r="F43" s="276"/>
      <c r="G43" s="241" t="e">
        <f ca="1">Expenses!D47</f>
        <v>#NAME?</v>
      </c>
      <c r="H43" s="104" t="e">
        <f ca="1">Expenses!E47</f>
        <v>#NAME?</v>
      </c>
      <c r="I43" s="242" t="e">
        <f ca="1">H43-G43</f>
        <v>#NAME?</v>
      </c>
      <c r="J43" s="237"/>
      <c r="K43" s="241" t="e">
        <f t="shared" ca="1" si="10"/>
        <v>#NAME?</v>
      </c>
      <c r="L43" s="104" t="e">
        <f t="shared" ca="1" si="10"/>
        <v>#NAME?</v>
      </c>
      <c r="M43" s="242" t="e">
        <f ca="1">K43-L43</f>
        <v>#NAME?</v>
      </c>
    </row>
    <row r="44" spans="1:13" ht="12" customHeight="1" x14ac:dyDescent="0.25">
      <c r="A44" s="240" t="s">
        <v>60</v>
      </c>
      <c r="B44" s="270"/>
      <c r="C44" s="241">
        <v>0</v>
      </c>
      <c r="D44" s="104">
        <v>0</v>
      </c>
      <c r="E44" s="242">
        <f>-D44+C44</f>
        <v>0</v>
      </c>
      <c r="F44" s="274"/>
      <c r="G44" s="241" t="e">
        <f ca="1">'CapChrg-AllocExp'!D44</f>
        <v>#NAME?</v>
      </c>
      <c r="H44" s="104" t="e">
        <f ca="1">'CapChrg-AllocExp'!E44</f>
        <v>#NAME?</v>
      </c>
      <c r="I44" s="242" t="e">
        <f ca="1">H44-G44</f>
        <v>#NAME?</v>
      </c>
      <c r="J44" s="237"/>
      <c r="K44" s="241" t="e">
        <f t="shared" ca="1" si="10"/>
        <v>#NAME?</v>
      </c>
      <c r="L44" s="104" t="e">
        <f t="shared" ca="1" si="10"/>
        <v>#NAME?</v>
      </c>
      <c r="M44" s="242" t="e">
        <f ca="1">K44-L44</f>
        <v>#NAME?</v>
      </c>
    </row>
    <row r="45" spans="1:13" s="204" customFormat="1" ht="12" customHeight="1" x14ac:dyDescent="0.2">
      <c r="A45" s="261" t="s">
        <v>65</v>
      </c>
      <c r="B45" s="271"/>
      <c r="C45" s="262">
        <f>SUM(C39:C44)</f>
        <v>-20100</v>
      </c>
      <c r="D45" s="263" t="e">
        <f ca="1">SUM(D39:D44)</f>
        <v>#NAME?</v>
      </c>
      <c r="E45" s="265" t="e">
        <f ca="1">SUM(E39:E44)</f>
        <v>#NAME?</v>
      </c>
      <c r="F45" s="275"/>
      <c r="G45" s="262" t="e">
        <f ca="1">SUM(G39:G44)</f>
        <v>#NAME?</v>
      </c>
      <c r="H45" s="263" t="e">
        <f ca="1">SUM(H39:H44)</f>
        <v>#NAME?</v>
      </c>
      <c r="I45" s="265" t="e">
        <f ca="1">SUM(I39:I44)</f>
        <v>#NAME?</v>
      </c>
      <c r="J45" s="238"/>
      <c r="K45" s="262" t="e">
        <f ca="1">SUM(K39:K44)</f>
        <v>#NAME?</v>
      </c>
      <c r="L45" s="263" t="e">
        <f ca="1">SUM(L39:L44)</f>
        <v>#NAME?</v>
      </c>
      <c r="M45" s="265" t="e">
        <f ca="1">SUM(M39:M44)</f>
        <v>#NAME?</v>
      </c>
    </row>
    <row r="46" spans="1:13" ht="12" customHeight="1" thickBot="1" x14ac:dyDescent="0.3">
      <c r="A46" s="240" t="s">
        <v>150</v>
      </c>
      <c r="B46" s="270"/>
      <c r="C46" s="241">
        <v>0</v>
      </c>
      <c r="D46" s="104">
        <v>0</v>
      </c>
      <c r="E46" s="242">
        <f>D46-C46</f>
        <v>0</v>
      </c>
      <c r="F46" s="274"/>
      <c r="G46" s="241">
        <f>'Old Mgmt Summary'!M53</f>
        <v>8600</v>
      </c>
      <c r="H46" s="104">
        <f>'Old Mgmt Summary'!D53</f>
        <v>8600</v>
      </c>
      <c r="I46" s="242">
        <f>H46-G46</f>
        <v>0</v>
      </c>
      <c r="J46" s="237"/>
      <c r="K46" s="241">
        <f>C46-G46</f>
        <v>-8600</v>
      </c>
      <c r="L46" s="104">
        <f>D46-H46</f>
        <v>-8600</v>
      </c>
      <c r="M46" s="242">
        <f>K46-L46</f>
        <v>0</v>
      </c>
    </row>
    <row r="47" spans="1:13" s="204" customFormat="1" ht="12" customHeight="1" thickBot="1" x14ac:dyDescent="0.25">
      <c r="A47" s="287" t="s">
        <v>66</v>
      </c>
      <c r="B47" s="288"/>
      <c r="C47" s="289">
        <f>SUM(C45:C46)</f>
        <v>-20100</v>
      </c>
      <c r="D47" s="290" t="e">
        <f ca="1">SUM(D45:D46)</f>
        <v>#NAME?</v>
      </c>
      <c r="E47" s="291" t="e">
        <f ca="1">SUM(E45:E46)</f>
        <v>#NAME?</v>
      </c>
      <c r="F47" s="292"/>
      <c r="G47" s="289" t="e">
        <f ca="1">SUM(G45:G46)</f>
        <v>#NAME?</v>
      </c>
      <c r="H47" s="290" t="e">
        <f ca="1">SUM(H45:H46)</f>
        <v>#NAME?</v>
      </c>
      <c r="I47" s="291" t="e">
        <f ca="1">SUM(I45:I46)</f>
        <v>#NAME?</v>
      </c>
      <c r="J47" s="292"/>
      <c r="K47" s="289" t="e">
        <f ca="1">SUM(K45:K46)</f>
        <v>#NAME?</v>
      </c>
      <c r="L47" s="290" t="e">
        <f ca="1">SUM(L45:L46)</f>
        <v>#NAME?</v>
      </c>
      <c r="M47" s="291" t="e">
        <f ca="1">SUM(M45:M46)</f>
        <v>#NAME?</v>
      </c>
    </row>
    <row r="48" spans="1:13" ht="3" customHeight="1" x14ac:dyDescent="0.25">
      <c r="A48" s="185"/>
      <c r="C48" s="186"/>
      <c r="D48" s="42"/>
      <c r="E48" s="185"/>
      <c r="F48" s="44"/>
      <c r="I48" s="177"/>
    </row>
    <row r="49" spans="1:8" x14ac:dyDescent="0.25">
      <c r="A49" s="177" t="s">
        <v>149</v>
      </c>
      <c r="C49" s="44"/>
      <c r="D49" s="42"/>
      <c r="E49" s="44"/>
      <c r="F49" s="44"/>
    </row>
    <row r="50" spans="1:8" ht="13.5" customHeight="1" x14ac:dyDescent="0.25">
      <c r="D50" s="38"/>
      <c r="E50" s="38"/>
      <c r="F50" s="38"/>
      <c r="G50" s="38"/>
      <c r="H50" s="38"/>
    </row>
    <row r="51" spans="1:8" ht="13.5" x14ac:dyDescent="0.25">
      <c r="A51" s="266" t="s">
        <v>254</v>
      </c>
      <c r="B51" s="310">
        <v>36623</v>
      </c>
      <c r="C51" s="311"/>
    </row>
    <row r="52" spans="1:8" ht="13.5" x14ac:dyDescent="0.25">
      <c r="A52" s="277" t="s">
        <v>263</v>
      </c>
      <c r="B52" s="278"/>
      <c r="C52" s="279">
        <f>[1]web_summary!$C$62</f>
        <v>-8488</v>
      </c>
    </row>
    <row r="53" spans="1:8" x14ac:dyDescent="0.25">
      <c r="A53" s="244" t="s">
        <v>182</v>
      </c>
      <c r="B53" s="205"/>
      <c r="C53" s="66">
        <f>'GM-WklyChnge'!C51</f>
        <v>26916</v>
      </c>
    </row>
    <row r="54" spans="1:8" x14ac:dyDescent="0.25">
      <c r="A54" s="244" t="s">
        <v>136</v>
      </c>
      <c r="B54" s="205"/>
      <c r="C54" s="66">
        <f>'GM-WklyChnge'!D51</f>
        <v>-30391</v>
      </c>
    </row>
    <row r="55" spans="1:8" x14ac:dyDescent="0.25">
      <c r="A55" s="245" t="s">
        <v>183</v>
      </c>
      <c r="B55" s="246"/>
      <c r="C55" s="247">
        <f>'GM-WklyChnge'!E51+'GM-WklyChnge'!F51+'GM-WklyChnge'!G51</f>
        <v>-8137</v>
      </c>
    </row>
    <row r="56" spans="1:8" ht="13.5" x14ac:dyDescent="0.25">
      <c r="A56" s="248" t="s">
        <v>184</v>
      </c>
      <c r="B56" s="249"/>
      <c r="C56" s="303">
        <f>SUM(C53:C55)</f>
        <v>-11612</v>
      </c>
    </row>
    <row r="57" spans="1:8" ht="13.5" x14ac:dyDescent="0.25">
      <c r="A57" s="266" t="s">
        <v>264</v>
      </c>
      <c r="B57" s="267"/>
      <c r="C57" s="268">
        <f>C52+C53+C54+C55</f>
        <v>-20100</v>
      </c>
    </row>
  </sheetData>
  <mergeCells count="4">
    <mergeCell ref="C5:E5"/>
    <mergeCell ref="G5:I5"/>
    <mergeCell ref="K5:M5"/>
    <mergeCell ref="B51:C51"/>
  </mergeCells>
  <printOptions horizontalCentered="1" verticalCentered="1"/>
  <pageMargins left="0.17" right="0.25" top="0.17" bottom="0.28000000000000003" header="0.17" footer="0.26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50"/>
    <col min="15" max="15" width="9.140625" style="170"/>
    <col min="16" max="24" width="9.140625" style="150"/>
    <col min="25" max="16384" width="9.140625" style="85"/>
  </cols>
  <sheetData>
    <row r="1" spans="1:24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6.5" x14ac:dyDescent="0.3">
      <c r="A2" s="313" t="s">
        <v>158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">
      <c r="A3" s="314" t="str">
        <f>'Old Mgmt Summary'!A3</f>
        <v>Results based on Activity through April 14, 2000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2"/>
    <row r="5" spans="1:24" s="27" customFormat="1" x14ac:dyDescent="0.25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5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x14ac:dyDescent="0.25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x14ac:dyDescent="0.25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x14ac:dyDescent="0.25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x14ac:dyDescent="0.25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x14ac:dyDescent="0.25">
      <c r="A12" s="154"/>
      <c r="B12" s="27" t="s">
        <v>185</v>
      </c>
      <c r="C12" s="27" t="s">
        <v>186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x14ac:dyDescent="0.25">
      <c r="A13" s="154"/>
      <c r="B13" s="27" t="s">
        <v>187</v>
      </c>
      <c r="C13" s="27" t="s">
        <v>186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x14ac:dyDescent="0.25">
      <c r="A14" s="154"/>
      <c r="B14" s="27" t="s">
        <v>188</v>
      </c>
      <c r="C14" s="27" t="s">
        <v>189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x14ac:dyDescent="0.25">
      <c r="A15" s="154"/>
      <c r="B15" s="27" t="s">
        <v>190</v>
      </c>
      <c r="C15" s="27" t="s">
        <v>191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x14ac:dyDescent="0.25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x14ac:dyDescent="0.25">
      <c r="A17" s="154" t="s">
        <v>156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x14ac:dyDescent="0.25">
      <c r="A18" s="154"/>
      <c r="B18" s="27" t="s">
        <v>250</v>
      </c>
      <c r="C18" s="27" t="s">
        <v>251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x14ac:dyDescent="0.25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x14ac:dyDescent="0.25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5">
      <c r="A21" s="154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5">
      <c r="A22" s="154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5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x14ac:dyDescent="0.25">
      <c r="A25" s="154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x14ac:dyDescent="0.25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x14ac:dyDescent="0.25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x14ac:dyDescent="0.25">
      <c r="A30" s="154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x14ac:dyDescent="0.25">
      <c r="A31" s="154"/>
      <c r="B31" s="27" t="s">
        <v>199</v>
      </c>
      <c r="C31" s="27" t="s">
        <v>200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x14ac:dyDescent="0.25">
      <c r="A32" s="154"/>
      <c r="B32" s="27" t="s">
        <v>201</v>
      </c>
      <c r="C32" s="27" t="s">
        <v>202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x14ac:dyDescent="0.25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16000</v>
      </c>
      <c r="J34" s="158"/>
      <c r="K34" s="157">
        <f>SUM(K30:K33)</f>
        <v>0</v>
      </c>
      <c r="L34" s="158"/>
      <c r="M34" s="157">
        <f>SUM(E34:K34)</f>
        <v>16050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x14ac:dyDescent="0.25">
      <c r="A35" s="154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x14ac:dyDescent="0.25">
      <c r="A36" s="154"/>
      <c r="E36" s="44"/>
      <c r="F36" s="44"/>
      <c r="G36" s="44"/>
      <c r="H36" s="44"/>
      <c r="I36" s="44"/>
      <c r="J36" s="44"/>
      <c r="K36" s="44"/>
      <c r="L36" s="44"/>
      <c r="M36" s="44"/>
      <c r="N36" s="153"/>
      <c r="O36" s="172"/>
      <c r="P36" s="153"/>
      <c r="Q36" s="153"/>
      <c r="R36" s="153"/>
      <c r="S36" s="153"/>
      <c r="T36" s="153"/>
      <c r="U36" s="153"/>
      <c r="V36" s="153"/>
      <c r="W36" s="153"/>
      <c r="X36" s="153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x14ac:dyDescent="0.25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0</v>
      </c>
      <c r="J38" s="158"/>
      <c r="K38" s="157">
        <f>SUM(K36:K37)</f>
        <v>0</v>
      </c>
      <c r="L38" s="158"/>
      <c r="M38" s="157">
        <f>SUM(E38:K38)</f>
        <v>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x14ac:dyDescent="0.25">
      <c r="A39" s="154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x14ac:dyDescent="0.25">
      <c r="A40" s="154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x14ac:dyDescent="0.25">
      <c r="A41" s="154"/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x14ac:dyDescent="0.25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850</v>
      </c>
      <c r="J42" s="158"/>
      <c r="K42" s="157">
        <f>SUM(K40:K41)</f>
        <v>0</v>
      </c>
      <c r="L42" s="158"/>
      <c r="M42" s="157">
        <f>SUM(E42:K42)</f>
        <v>850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x14ac:dyDescent="0.25">
      <c r="A43" s="154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3"/>
      <c r="O44" s="172"/>
      <c r="P44" s="153"/>
      <c r="Q44" s="153"/>
      <c r="R44" s="153"/>
      <c r="S44" s="153" t="s">
        <v>116</v>
      </c>
      <c r="T44" s="153"/>
      <c r="U44" s="153"/>
      <c r="V44" s="153"/>
      <c r="W44" s="153"/>
      <c r="X44" s="153"/>
    </row>
    <row r="45" spans="1:24" s="27" customFormat="1" x14ac:dyDescent="0.25">
      <c r="A45" s="38"/>
      <c r="B45" s="227" t="s">
        <v>221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x14ac:dyDescent="0.25">
      <c r="A46" s="38"/>
      <c r="B46" s="227" t="s">
        <v>222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x14ac:dyDescent="0.25">
      <c r="A47" s="38"/>
      <c r="B47" s="227" t="s">
        <v>223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x14ac:dyDescent="0.25">
      <c r="A48" s="53"/>
      <c r="B48" s="227" t="s">
        <v>223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3"/>
      <c r="O48" s="172"/>
      <c r="P48" s="153"/>
      <c r="Q48" s="153"/>
      <c r="R48" s="153"/>
      <c r="S48" s="153"/>
      <c r="T48" s="153"/>
      <c r="U48" s="153"/>
      <c r="V48" s="153"/>
      <c r="W48" s="153"/>
      <c r="X48" s="153"/>
    </row>
    <row r="49" spans="1:24" s="27" customFormat="1" x14ac:dyDescent="0.25">
      <c r="A49" s="156"/>
      <c r="B49" s="156"/>
      <c r="C49" s="156"/>
      <c r="D49" s="156"/>
      <c r="E49" s="157">
        <f>SUM(E44:E48)</f>
        <v>9000</v>
      </c>
      <c r="F49" s="158"/>
      <c r="G49" s="157">
        <f>SUM(G44:G48)</f>
        <v>0</v>
      </c>
      <c r="H49" s="158"/>
      <c r="I49" s="157">
        <f>SUM(I44:I48)</f>
        <v>19000</v>
      </c>
      <c r="J49" s="158"/>
      <c r="K49" s="157">
        <f>SUM(K44:K48)</f>
        <v>0</v>
      </c>
      <c r="L49" s="158"/>
      <c r="M49" s="157">
        <f>SUM(E49:K49)</f>
        <v>28000</v>
      </c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x14ac:dyDescent="0.25">
      <c r="A50" s="154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x14ac:dyDescent="0.25">
      <c r="A51" s="154"/>
      <c r="B51" s="27" t="s">
        <v>203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3"/>
      <c r="O51" s="172"/>
      <c r="P51" s="153"/>
      <c r="Q51" s="153"/>
      <c r="R51" s="153"/>
      <c r="S51" s="153" t="s">
        <v>117</v>
      </c>
      <c r="T51" s="153"/>
      <c r="U51" s="153"/>
      <c r="V51" s="153"/>
      <c r="W51" s="153"/>
      <c r="X51" s="153"/>
    </row>
    <row r="52" spans="1:24" s="27" customFormat="1" x14ac:dyDescent="0.25">
      <c r="A52" s="154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3"/>
      <c r="O52" s="172"/>
      <c r="P52" s="153"/>
      <c r="Q52" s="153"/>
      <c r="R52" s="153"/>
      <c r="S52" s="153" t="s">
        <v>117</v>
      </c>
      <c r="T52" s="153"/>
      <c r="U52" s="153"/>
      <c r="V52" s="153"/>
      <c r="W52" s="153"/>
      <c r="X52" s="153"/>
    </row>
    <row r="53" spans="1:24" s="27" customFormat="1" x14ac:dyDescent="0.25">
      <c r="A53" s="154"/>
      <c r="B53" s="27" t="s">
        <v>204</v>
      </c>
      <c r="C53" s="27" t="s">
        <v>205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3"/>
      <c r="O53" s="172"/>
      <c r="P53" s="153"/>
      <c r="Q53" s="153"/>
      <c r="R53" s="153"/>
      <c r="S53" s="153" t="s">
        <v>117</v>
      </c>
      <c r="T53" s="153"/>
      <c r="U53" s="153"/>
      <c r="V53" s="153"/>
      <c r="W53" s="153"/>
      <c r="X53" s="153"/>
    </row>
    <row r="54" spans="1:24" s="27" customFormat="1" x14ac:dyDescent="0.25">
      <c r="A54" s="154"/>
      <c r="B54" s="27" t="s">
        <v>207</v>
      </c>
      <c r="C54" s="27" t="s">
        <v>208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 t="s">
        <v>117</v>
      </c>
      <c r="T54" s="153"/>
      <c r="U54" s="153"/>
      <c r="V54" s="153"/>
      <c r="W54" s="153"/>
      <c r="X54" s="153"/>
    </row>
    <row r="55" spans="1:24" s="27" customFormat="1" x14ac:dyDescent="0.25">
      <c r="A55" s="154"/>
      <c r="B55" s="27" t="s">
        <v>209</v>
      </c>
      <c r="C55" s="27" t="s">
        <v>208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x14ac:dyDescent="0.25">
      <c r="A56" s="154"/>
      <c r="B56" s="27" t="s">
        <v>210</v>
      </c>
      <c r="C56" s="27" t="s">
        <v>211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x14ac:dyDescent="0.25">
      <c r="A57" s="154"/>
      <c r="B57" s="27" t="s">
        <v>212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x14ac:dyDescent="0.25">
      <c r="A58" s="154"/>
      <c r="B58" s="27" t="s">
        <v>213</v>
      </c>
      <c r="C58" s="27" t="s">
        <v>214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x14ac:dyDescent="0.25">
      <c r="A59" s="154"/>
      <c r="B59" s="27" t="s">
        <v>206</v>
      </c>
      <c r="C59" s="27" t="s">
        <v>215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x14ac:dyDescent="0.25">
      <c r="A60" s="154"/>
      <c r="B60" s="27" t="s">
        <v>224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/>
      <c r="T60" s="153"/>
      <c r="U60" s="153"/>
      <c r="V60" s="153"/>
      <c r="W60" s="153"/>
      <c r="X60" s="153"/>
    </row>
    <row r="61" spans="1:24" s="27" customFormat="1" x14ac:dyDescent="0.25">
      <c r="A61" s="154"/>
      <c r="B61" s="27" t="s">
        <v>225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3"/>
      <c r="O61" s="172"/>
      <c r="P61" s="153"/>
      <c r="Q61" s="153"/>
      <c r="R61" s="153"/>
      <c r="S61" s="153"/>
      <c r="T61" s="153"/>
      <c r="U61" s="153"/>
      <c r="V61" s="153"/>
      <c r="W61" s="153"/>
      <c r="X61" s="153"/>
    </row>
    <row r="62" spans="1:24" s="27" customFormat="1" x14ac:dyDescent="0.25">
      <c r="A62" s="154"/>
      <c r="B62" s="27" t="s">
        <v>226</v>
      </c>
      <c r="C62" s="27" t="s">
        <v>216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idden="1" x14ac:dyDescent="0.25">
      <c r="A63" s="154"/>
      <c r="E63" s="44"/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idden="1" x14ac:dyDescent="0.25">
      <c r="A64" s="154"/>
      <c r="E64" s="44"/>
      <c r="F64" s="44"/>
      <c r="G64" s="44"/>
      <c r="H64" s="44"/>
      <c r="I64" s="44"/>
      <c r="J64" s="44"/>
      <c r="K64" s="44"/>
      <c r="L64" s="44"/>
      <c r="M64" s="44"/>
      <c r="N64" s="153"/>
      <c r="O64" s="172"/>
      <c r="P64" s="153"/>
      <c r="Q64" s="153"/>
      <c r="R64" s="153"/>
      <c r="S64" s="153" t="s">
        <v>117</v>
      </c>
      <c r="T64" s="153"/>
      <c r="U64" s="153"/>
      <c r="V64" s="153"/>
      <c r="W64" s="153"/>
      <c r="X64" s="153"/>
    </row>
    <row r="65" spans="1:24" s="27" customFormat="1" hidden="1" x14ac:dyDescent="0.25">
      <c r="A65" s="154"/>
      <c r="E65" s="44"/>
      <c r="F65" s="44"/>
      <c r="G65" s="44"/>
      <c r="H65" s="44"/>
      <c r="I65" s="44"/>
      <c r="J65" s="44"/>
      <c r="K65" s="44"/>
      <c r="L65" s="44"/>
      <c r="M65" s="44"/>
      <c r="N65" s="153"/>
      <c r="O65" s="172"/>
      <c r="P65" s="153"/>
      <c r="Q65" s="153"/>
      <c r="R65" s="153"/>
      <c r="S65" s="153" t="s">
        <v>117</v>
      </c>
      <c r="T65" s="153"/>
      <c r="U65" s="153"/>
      <c r="V65" s="153"/>
      <c r="W65" s="153"/>
      <c r="X65" s="153"/>
    </row>
    <row r="66" spans="1:24" s="27" customFormat="1" hidden="1" x14ac:dyDescent="0.25">
      <c r="A66" s="154"/>
      <c r="E66" s="44"/>
      <c r="F66" s="44"/>
      <c r="G66" s="44"/>
      <c r="H66" s="44"/>
      <c r="I66" s="44"/>
      <c r="J66" s="44"/>
      <c r="K66" s="44"/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idden="1" x14ac:dyDescent="0.25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idden="1" x14ac:dyDescent="0.25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idden="1" x14ac:dyDescent="0.25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idden="1" x14ac:dyDescent="0.25">
      <c r="A70" s="15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idden="1" x14ac:dyDescent="0.25">
      <c r="A71" s="15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idden="1" x14ac:dyDescent="0.25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/>
      <c r="T72" s="153"/>
      <c r="U72" s="153"/>
      <c r="V72" s="153"/>
      <c r="W72" s="153"/>
      <c r="X72" s="153"/>
    </row>
    <row r="73" spans="1:24" s="27" customFormat="1" hidden="1" x14ac:dyDescent="0.25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/>
      <c r="T73" s="153"/>
      <c r="U73" s="153"/>
      <c r="V73" s="153"/>
      <c r="W73" s="153"/>
      <c r="X73" s="153"/>
    </row>
    <row r="74" spans="1:24" s="27" customFormat="1" hidden="1" x14ac:dyDescent="0.25">
      <c r="A74" s="154"/>
      <c r="E74" s="44"/>
      <c r="F74" s="44"/>
      <c r="G74" s="44"/>
      <c r="H74" s="44"/>
      <c r="I74" s="44"/>
      <c r="J74" s="44"/>
      <c r="K74" s="44"/>
      <c r="L74" s="44"/>
      <c r="M74" s="44"/>
      <c r="N74" s="153"/>
      <c r="O74" s="172"/>
      <c r="P74" s="153"/>
      <c r="Q74" s="153"/>
      <c r="R74" s="153"/>
      <c r="S74" s="153"/>
      <c r="T74" s="153"/>
      <c r="U74" s="153"/>
      <c r="V74" s="153"/>
      <c r="W74" s="153"/>
      <c r="X74" s="153"/>
    </row>
    <row r="75" spans="1:24" s="27" customFormat="1" hidden="1" x14ac:dyDescent="0.25">
      <c r="A75" s="154"/>
      <c r="J75" s="44"/>
      <c r="K75" s="44"/>
      <c r="L75" s="44"/>
      <c r="M75" s="44"/>
      <c r="N75" s="153"/>
      <c r="O75" s="172"/>
      <c r="P75" s="153"/>
      <c r="Q75" s="153"/>
      <c r="R75" s="153"/>
      <c r="T75" s="153"/>
      <c r="U75" s="153"/>
      <c r="V75" s="153"/>
      <c r="W75" s="153"/>
      <c r="X75" s="153"/>
    </row>
    <row r="76" spans="1:24" s="27" customFormat="1" x14ac:dyDescent="0.25">
      <c r="A76" s="156"/>
      <c r="B76" s="156"/>
      <c r="C76" s="156"/>
      <c r="D76" s="156"/>
      <c r="E76" s="157">
        <f>SUM(E51:E72)</f>
        <v>5875</v>
      </c>
      <c r="F76" s="158"/>
      <c r="G76" s="157">
        <f>SUM(G51:G72)</f>
        <v>3000</v>
      </c>
      <c r="H76" s="158"/>
      <c r="I76" s="157">
        <f>SUM(I51:I72)</f>
        <v>3500</v>
      </c>
      <c r="J76" s="158"/>
      <c r="K76" s="157">
        <f>SUM(K51:K72)</f>
        <v>2105</v>
      </c>
      <c r="L76" s="158"/>
      <c r="M76" s="157">
        <f>SUM(E76:K76)</f>
        <v>14480</v>
      </c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x14ac:dyDescent="0.25">
      <c r="A77" s="154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x14ac:dyDescent="0.25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3"/>
      <c r="O79" s="172"/>
      <c r="P79" s="153"/>
      <c r="Q79" s="153"/>
      <c r="R79" s="153"/>
      <c r="S79" s="153"/>
      <c r="T79" s="153"/>
      <c r="U79" s="153"/>
      <c r="V79" s="153"/>
      <c r="W79" s="153"/>
      <c r="X79" s="153"/>
    </row>
    <row r="80" spans="1:24" s="27" customFormat="1" x14ac:dyDescent="0.25">
      <c r="A80" s="156"/>
      <c r="B80" s="156"/>
      <c r="C80" s="156"/>
      <c r="D80" s="156"/>
      <c r="E80" s="157">
        <f>SUM(E78:E79)</f>
        <v>0</v>
      </c>
      <c r="F80" s="158"/>
      <c r="G80" s="157">
        <f>SUM(G78:G79)</f>
        <v>0</v>
      </c>
      <c r="H80" s="158"/>
      <c r="I80" s="157">
        <f>SUM(I78:I79)</f>
        <v>0</v>
      </c>
      <c r="J80" s="158"/>
      <c r="K80" s="157">
        <f>SUM(K78:K79)</f>
        <v>0</v>
      </c>
      <c r="L80" s="158"/>
      <c r="M80" s="157">
        <f>SUM(E80:K80)</f>
        <v>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6" s="27" customFormat="1" x14ac:dyDescent="0.25">
      <c r="A81" s="154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6" s="27" customFormat="1" x14ac:dyDescent="0.25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6" s="27" customFormat="1" x14ac:dyDescent="0.25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6" s="27" customFormat="1" x14ac:dyDescent="0.25">
      <c r="A85" s="154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6" s="27" customFormat="1" x14ac:dyDescent="0.25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6" s="27" customFormat="1" x14ac:dyDescent="0.25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6" s="27" customFormat="1" ht="13.5" thickBot="1" x14ac:dyDescent="0.3">
      <c r="A90" s="159" t="s">
        <v>100</v>
      </c>
      <c r="B90" s="160"/>
      <c r="C90" s="160"/>
      <c r="D90" s="160"/>
      <c r="E90" s="161" t="e">
        <f>E10+E16+E20+E24+E28+E34+#REF!+E38+E42+E49+E76+E80+E84+E88</f>
        <v>#REF!</v>
      </c>
      <c r="F90" s="162"/>
      <c r="G90" s="161" t="e">
        <f>G10+G16+G20+G24+G28+G34+#REF!+G38+G42+G49+G76+G80+G84+G88</f>
        <v>#REF!</v>
      </c>
      <c r="H90" s="162"/>
      <c r="I90" s="161" t="e">
        <f>I10+I16+I20+I24+I28+I34+#REF!+I38+I42+I49+I76+I80+I84+I88</f>
        <v>#REF!</v>
      </c>
      <c r="J90" s="162"/>
      <c r="K90" s="161" t="e">
        <f>K10+K16+K20+K24+K28+K34+#REF!+K38+K42+K49+K76+K80+K84+K88</f>
        <v>#REF!</v>
      </c>
      <c r="L90" s="162"/>
      <c r="M90" s="161" t="e">
        <f>SUM(E90:K90)</f>
        <v>#REF!</v>
      </c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1" t="s">
        <v>126</v>
      </c>
      <c r="B93" s="152"/>
      <c r="C93" s="152"/>
      <c r="D93" s="152"/>
      <c r="E93" s="145"/>
      <c r="F93" s="152"/>
      <c r="G93" s="145"/>
      <c r="H93" s="152"/>
      <c r="I93" s="145"/>
      <c r="J93" s="152"/>
      <c r="K93" s="145"/>
      <c r="L93" s="152"/>
      <c r="M93" s="146" t="s">
        <v>14</v>
      </c>
      <c r="N93" s="153"/>
      <c r="O93" s="172"/>
      <c r="P93" s="153"/>
      <c r="Q93" s="153"/>
      <c r="R93" s="153"/>
      <c r="S93" s="173" t="s">
        <v>115</v>
      </c>
      <c r="T93" s="166" t="s">
        <v>118</v>
      </c>
      <c r="U93" s="166" t="s">
        <v>119</v>
      </c>
      <c r="V93" s="166" t="s">
        <v>123</v>
      </c>
      <c r="W93" s="166" t="s">
        <v>99</v>
      </c>
      <c r="X93" s="166" t="s">
        <v>120</v>
      </c>
      <c r="Y93" s="173" t="s">
        <v>121</v>
      </c>
      <c r="Z93" s="173" t="s">
        <v>14</v>
      </c>
    </row>
    <row r="94" spans="1:26" s="27" customFormat="1" ht="3" customHeight="1" x14ac:dyDescent="0.25"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6" s="27" customFormat="1" hidden="1" x14ac:dyDescent="0.25">
      <c r="A95" s="154" t="s">
        <v>144</v>
      </c>
      <c r="N95" s="153"/>
      <c r="O95" s="172"/>
      <c r="P95" s="153"/>
      <c r="Q95" s="153"/>
      <c r="R95" s="153"/>
      <c r="S95" s="153"/>
      <c r="T95" s="153"/>
      <c r="U95" s="153"/>
      <c r="V95" s="153"/>
      <c r="W95" s="153"/>
      <c r="X95" s="153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3"/>
      <c r="O96" s="172"/>
      <c r="P96" s="153"/>
      <c r="Q96" s="153"/>
      <c r="R96" s="153"/>
      <c r="S96" s="153"/>
      <c r="T96" s="174"/>
      <c r="U96" s="174"/>
      <c r="V96" s="174"/>
      <c r="W96" s="174"/>
      <c r="X96" s="174"/>
      <c r="Y96" s="174"/>
      <c r="Z96" s="175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3"/>
      <c r="O97" s="172"/>
      <c r="P97" s="153"/>
      <c r="Q97" s="153"/>
      <c r="R97" s="153"/>
      <c r="S97" s="153"/>
      <c r="T97" s="174"/>
      <c r="U97" s="174"/>
      <c r="V97" s="174"/>
      <c r="W97" s="174"/>
      <c r="X97" s="174"/>
      <c r="Y97" s="174"/>
      <c r="Z97" s="175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3"/>
      <c r="O98" s="172"/>
      <c r="P98" s="153"/>
      <c r="Q98" s="153"/>
      <c r="R98" s="153"/>
      <c r="S98" s="153"/>
      <c r="T98" s="174"/>
      <c r="U98" s="174"/>
      <c r="V98" s="174"/>
      <c r="W98" s="174"/>
      <c r="X98" s="174"/>
      <c r="Y98" s="174"/>
      <c r="Z98" s="175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idden="1" x14ac:dyDescent="0.25">
      <c r="A100" s="156"/>
      <c r="B100" s="156"/>
      <c r="C100" s="156"/>
      <c r="D100" s="156"/>
      <c r="E100" s="157"/>
      <c r="F100" s="158"/>
      <c r="G100" s="157"/>
      <c r="H100" s="158"/>
      <c r="I100" s="157"/>
      <c r="J100" s="158"/>
      <c r="K100" s="157"/>
      <c r="L100" s="158"/>
      <c r="M100" s="157">
        <f>SUM(M96:M98)</f>
        <v>0</v>
      </c>
      <c r="N100" s="153"/>
      <c r="O100" s="172"/>
      <c r="P100" s="153"/>
      <c r="Q100" s="153"/>
      <c r="R100" s="153"/>
      <c r="S100" s="153"/>
      <c r="T100" s="153"/>
      <c r="U100" s="153"/>
      <c r="V100" s="153"/>
      <c r="W100" s="153"/>
      <c r="X100" s="153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53"/>
      <c r="U101" s="153"/>
      <c r="V101" s="153"/>
      <c r="W101" s="153"/>
      <c r="X101" s="153"/>
    </row>
    <row r="102" spans="1:26" s="27" customFormat="1" hidden="1" x14ac:dyDescent="0.25">
      <c r="A102" s="154" t="s">
        <v>145</v>
      </c>
      <c r="N102" s="153"/>
      <c r="O102" s="172"/>
      <c r="P102" s="153"/>
      <c r="Q102" s="153"/>
      <c r="R102" s="153"/>
      <c r="S102" s="153"/>
      <c r="T102" s="153"/>
      <c r="U102" s="153"/>
      <c r="V102" s="153"/>
      <c r="W102" s="153"/>
      <c r="X102" s="153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74"/>
      <c r="U103" s="174"/>
      <c r="V103" s="174"/>
      <c r="W103" s="174"/>
      <c r="X103" s="174"/>
      <c r="Y103" s="174"/>
      <c r="Z103" s="175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idden="1" x14ac:dyDescent="0.25">
      <c r="A105" s="156"/>
      <c r="B105" s="156"/>
      <c r="C105" s="156"/>
      <c r="D105" s="156"/>
      <c r="E105" s="157"/>
      <c r="F105" s="158"/>
      <c r="G105" s="157"/>
      <c r="H105" s="158"/>
      <c r="I105" s="157"/>
      <c r="J105" s="158"/>
      <c r="K105" s="157"/>
      <c r="L105" s="158"/>
      <c r="M105" s="157">
        <f>SUM(M103:M103)</f>
        <v>0</v>
      </c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x14ac:dyDescent="0.25">
      <c r="A107" s="154" t="s">
        <v>90</v>
      </c>
      <c r="N107" s="153"/>
      <c r="O107" s="172"/>
      <c r="P107" s="153"/>
      <c r="Q107" s="153"/>
      <c r="R107" s="153"/>
      <c r="S107" s="153"/>
      <c r="T107" s="153"/>
      <c r="U107" s="153"/>
      <c r="V107" s="153"/>
      <c r="W107" s="153"/>
      <c r="X107" s="153"/>
    </row>
    <row r="108" spans="1:26" s="27" customFormat="1" x14ac:dyDescent="0.25">
      <c r="A108" s="154"/>
      <c r="B108" s="27" t="s">
        <v>195</v>
      </c>
      <c r="C108" s="27" t="s">
        <v>197</v>
      </c>
      <c r="M108" s="44">
        <v>116</v>
      </c>
      <c r="N108" s="153"/>
      <c r="O108" s="172"/>
      <c r="P108" s="153"/>
      <c r="Q108" s="153"/>
      <c r="R108" s="153"/>
      <c r="S108" s="153"/>
      <c r="T108" s="174"/>
      <c r="U108" s="174"/>
      <c r="V108" s="174"/>
      <c r="W108" s="174"/>
      <c r="X108" s="174"/>
      <c r="Y108" s="174"/>
      <c r="Z108" s="175"/>
    </row>
    <row r="109" spans="1:26" s="27" customFormat="1" x14ac:dyDescent="0.25">
      <c r="B109" s="27" t="s">
        <v>196</v>
      </c>
      <c r="C109" s="27" t="s">
        <v>198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3"/>
      <c r="O109" s="172"/>
      <c r="P109" s="153"/>
      <c r="Q109" s="153"/>
      <c r="R109" s="153"/>
      <c r="S109" s="153"/>
      <c r="T109" s="174"/>
      <c r="U109" s="174"/>
      <c r="V109" s="174"/>
      <c r="W109" s="174"/>
      <c r="X109" s="174"/>
      <c r="Y109" s="174"/>
      <c r="Z109" s="175"/>
    </row>
    <row r="110" spans="1:26" s="27" customFormat="1" x14ac:dyDescent="0.25">
      <c r="A110" s="154"/>
      <c r="M110" s="44"/>
      <c r="N110" s="153"/>
      <c r="O110" s="172"/>
      <c r="P110" s="153"/>
      <c r="Q110" s="153"/>
      <c r="R110" s="153"/>
      <c r="S110" s="153"/>
      <c r="T110" s="174"/>
      <c r="U110" s="174"/>
      <c r="V110" s="174"/>
      <c r="W110" s="174"/>
      <c r="X110" s="174"/>
      <c r="Y110" s="174"/>
      <c r="Z110" s="175"/>
    </row>
    <row r="111" spans="1:26" s="27" customFormat="1" x14ac:dyDescent="0.25">
      <c r="A111" s="154"/>
      <c r="M111" s="44"/>
      <c r="N111" s="153"/>
      <c r="O111" s="172"/>
      <c r="P111" s="153"/>
      <c r="Q111" s="153"/>
      <c r="R111" s="153"/>
      <c r="S111" s="153"/>
      <c r="T111" s="174"/>
      <c r="U111" s="174"/>
      <c r="V111" s="174"/>
      <c r="W111" s="174"/>
      <c r="X111" s="174"/>
      <c r="Y111" s="174"/>
      <c r="Z111" s="175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3"/>
      <c r="O112" s="172"/>
      <c r="P112" s="153"/>
      <c r="Q112" s="153"/>
      <c r="R112" s="153"/>
      <c r="S112" s="153"/>
      <c r="T112" s="153"/>
      <c r="U112" s="153"/>
      <c r="V112" s="153"/>
      <c r="W112" s="153"/>
      <c r="X112" s="153"/>
    </row>
    <row r="113" spans="1:26" s="27" customFormat="1" x14ac:dyDescent="0.25">
      <c r="A113" s="156"/>
      <c r="B113" s="156"/>
      <c r="C113" s="156"/>
      <c r="D113" s="156"/>
      <c r="E113" s="157"/>
      <c r="F113" s="158"/>
      <c r="G113" s="157"/>
      <c r="H113" s="158"/>
      <c r="I113" s="157"/>
      <c r="J113" s="158"/>
      <c r="K113" s="157"/>
      <c r="L113" s="158"/>
      <c r="M113" s="157">
        <f>SUM(M108:M112)</f>
        <v>336</v>
      </c>
      <c r="N113" s="153"/>
      <c r="O113" s="172"/>
      <c r="P113" s="153"/>
      <c r="Q113" s="153"/>
      <c r="R113" s="153"/>
      <c r="S113" s="153"/>
      <c r="T113" s="153"/>
      <c r="U113" s="153"/>
      <c r="V113" s="153"/>
      <c r="W113" s="153"/>
      <c r="X113" s="153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3"/>
      <c r="O114" s="172"/>
      <c r="P114" s="153"/>
      <c r="Q114" s="153"/>
      <c r="R114" s="153"/>
      <c r="S114" s="153"/>
      <c r="T114" s="153"/>
      <c r="U114" s="153"/>
      <c r="V114" s="153"/>
      <c r="W114" s="153"/>
      <c r="X114" s="153"/>
    </row>
    <row r="115" spans="1:26" s="27" customFormat="1" hidden="1" x14ac:dyDescent="0.25">
      <c r="A115" s="154" t="s">
        <v>114</v>
      </c>
      <c r="N115" s="153"/>
      <c r="O115" s="172"/>
      <c r="P115" s="153"/>
      <c r="Q115" s="153"/>
      <c r="R115" s="153"/>
      <c r="S115" s="153"/>
      <c r="T115" s="153"/>
      <c r="U115" s="153"/>
      <c r="V115" s="153"/>
      <c r="W115" s="153"/>
      <c r="X115" s="153"/>
    </row>
    <row r="116" spans="1:26" s="27" customFormat="1" hidden="1" x14ac:dyDescent="0.25">
      <c r="A116" s="154"/>
      <c r="M116" s="44"/>
      <c r="N116" s="153"/>
      <c r="O116" s="172"/>
      <c r="P116" s="153"/>
      <c r="Q116" s="153"/>
      <c r="R116" s="153"/>
      <c r="S116" s="153"/>
      <c r="T116" s="174"/>
      <c r="U116" s="174"/>
      <c r="V116" s="174"/>
      <c r="W116" s="174"/>
      <c r="X116" s="174"/>
      <c r="Y116" s="174"/>
      <c r="Z116" s="175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idden="1" x14ac:dyDescent="0.25">
      <c r="A118" s="156"/>
      <c r="B118" s="156"/>
      <c r="C118" s="156"/>
      <c r="D118" s="156"/>
      <c r="E118" s="157"/>
      <c r="F118" s="158"/>
      <c r="G118" s="157"/>
      <c r="H118" s="158"/>
      <c r="I118" s="157"/>
      <c r="J118" s="158"/>
      <c r="K118" s="157"/>
      <c r="L118" s="158"/>
      <c r="M118" s="157">
        <f>SUM(M116:M116)</f>
        <v>0</v>
      </c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x14ac:dyDescent="0.25">
      <c r="A120" s="154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3"/>
      <c r="O120" s="172"/>
      <c r="P120" s="153"/>
      <c r="Q120" s="153"/>
      <c r="R120" s="153"/>
      <c r="S120" s="153"/>
      <c r="T120" s="153"/>
      <c r="U120" s="153"/>
      <c r="V120" s="153"/>
      <c r="W120" s="153"/>
      <c r="X120" s="153"/>
    </row>
    <row r="121" spans="1:26" s="27" customFormat="1" x14ac:dyDescent="0.25">
      <c r="A121" s="154"/>
      <c r="B121" s="27" t="s">
        <v>217</v>
      </c>
      <c r="C121" s="27" t="s">
        <v>218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3"/>
      <c r="O121" s="172"/>
      <c r="P121" s="153"/>
      <c r="Q121" s="153"/>
      <c r="R121" s="153"/>
      <c r="S121" s="153"/>
      <c r="T121" s="174"/>
      <c r="U121" s="174"/>
      <c r="V121" s="174"/>
      <c r="W121" s="174"/>
      <c r="X121" s="174"/>
      <c r="Y121" s="174"/>
      <c r="Z121" s="175"/>
    </row>
    <row r="122" spans="1:26" s="27" customFormat="1" x14ac:dyDescent="0.25">
      <c r="A122" s="154"/>
      <c r="B122" s="27" t="s">
        <v>219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3"/>
      <c r="O122" s="172"/>
      <c r="P122" s="153"/>
      <c r="Q122" s="153"/>
      <c r="R122" s="153"/>
      <c r="S122" s="153"/>
      <c r="T122" s="174"/>
      <c r="U122" s="174"/>
      <c r="V122" s="174"/>
      <c r="W122" s="174"/>
      <c r="X122" s="174"/>
      <c r="Y122" s="174"/>
      <c r="Z122" s="175"/>
    </row>
    <row r="123" spans="1:26" s="27" customFormat="1" x14ac:dyDescent="0.25">
      <c r="A123" s="154"/>
      <c r="B123" s="27" t="s">
        <v>220</v>
      </c>
      <c r="C123" s="27" t="s">
        <v>216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3"/>
      <c r="O123" s="172"/>
      <c r="P123" s="153"/>
      <c r="Q123" s="153"/>
      <c r="R123" s="153"/>
      <c r="S123" s="153"/>
      <c r="T123" s="174"/>
      <c r="U123" s="174"/>
      <c r="V123" s="174"/>
      <c r="W123" s="174"/>
      <c r="X123" s="174"/>
      <c r="Y123" s="174"/>
      <c r="Z123" s="175"/>
    </row>
    <row r="124" spans="1:26" s="27" customFormat="1" x14ac:dyDescent="0.25">
      <c r="A124" s="154"/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74"/>
      <c r="U124" s="174"/>
      <c r="V124" s="174"/>
      <c r="W124" s="174"/>
      <c r="X124" s="174"/>
      <c r="Y124" s="174"/>
      <c r="Z124" s="175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3"/>
      <c r="O125" s="172"/>
      <c r="P125" s="153"/>
      <c r="Q125" s="153"/>
      <c r="R125" s="153"/>
      <c r="S125" s="153"/>
      <c r="T125" s="153"/>
      <c r="U125" s="153"/>
      <c r="V125" s="153"/>
      <c r="W125" s="153"/>
      <c r="X125" s="153"/>
    </row>
    <row r="126" spans="1:26" s="27" customFormat="1" x14ac:dyDescent="0.25">
      <c r="A126" s="156"/>
      <c r="B126" s="156"/>
      <c r="C126" s="156"/>
      <c r="D126" s="156"/>
      <c r="E126" s="157"/>
      <c r="F126" s="158"/>
      <c r="G126" s="157"/>
      <c r="H126" s="158"/>
      <c r="I126" s="157"/>
      <c r="J126" s="158"/>
      <c r="K126" s="157"/>
      <c r="L126" s="158"/>
      <c r="M126" s="157">
        <f>SUM(M121:M124)</f>
        <v>352</v>
      </c>
      <c r="N126" s="153"/>
      <c r="O126" s="172"/>
      <c r="P126" s="153"/>
      <c r="Q126" s="153"/>
      <c r="R126" s="153"/>
      <c r="S126" s="153"/>
      <c r="T126" s="153"/>
      <c r="U126" s="153"/>
      <c r="V126" s="153"/>
      <c r="W126" s="153"/>
      <c r="X126" s="153"/>
    </row>
    <row r="127" spans="1:26" s="153" customFormat="1" ht="3" customHeight="1" x14ac:dyDescent="0.25">
      <c r="A127" s="172"/>
      <c r="B127" s="172"/>
      <c r="C127" s="172"/>
      <c r="D127" s="172"/>
      <c r="E127" s="189"/>
      <c r="F127" s="81"/>
      <c r="G127" s="189"/>
      <c r="H127" s="81"/>
      <c r="I127" s="189"/>
      <c r="J127" s="81"/>
      <c r="K127" s="189"/>
      <c r="L127" s="81"/>
      <c r="M127" s="189"/>
      <c r="O127" s="172"/>
    </row>
    <row r="128" spans="1:26" s="27" customFormat="1" hidden="1" x14ac:dyDescent="0.25">
      <c r="A128" s="154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53"/>
      <c r="U128" s="153"/>
      <c r="V128" s="153"/>
      <c r="W128" s="153"/>
      <c r="X128" s="153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74"/>
      <c r="U129" s="174"/>
      <c r="V129" s="174"/>
      <c r="W129" s="174"/>
      <c r="X129" s="174"/>
      <c r="Y129" s="174"/>
      <c r="Z129" s="175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27" customFormat="1" hidden="1" x14ac:dyDescent="0.25">
      <c r="A131" s="156"/>
      <c r="B131" s="156"/>
      <c r="C131" s="156"/>
      <c r="D131" s="156"/>
      <c r="E131" s="157"/>
      <c r="F131" s="158"/>
      <c r="G131" s="157"/>
      <c r="H131" s="158"/>
      <c r="I131" s="157"/>
      <c r="J131" s="158"/>
      <c r="K131" s="157"/>
      <c r="L131" s="158"/>
      <c r="M131" s="157">
        <f>SUM(M129:M130)</f>
        <v>0</v>
      </c>
      <c r="N131" s="153"/>
      <c r="O131" s="172"/>
      <c r="P131" s="153"/>
      <c r="Q131" s="153"/>
      <c r="R131" s="153"/>
      <c r="S131" s="153"/>
      <c r="T131" s="153"/>
      <c r="U131" s="153"/>
      <c r="V131" s="153"/>
      <c r="W131" s="153"/>
      <c r="X131" s="153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idden="1" x14ac:dyDescent="0.25">
      <c r="A133" s="154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53"/>
      <c r="U133" s="153"/>
      <c r="V133" s="153"/>
      <c r="W133" s="153"/>
      <c r="X133" s="153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74"/>
      <c r="U134" s="174"/>
      <c r="V134" s="174"/>
      <c r="W134" s="174"/>
      <c r="X134" s="174"/>
      <c r="Y134" s="174"/>
      <c r="Z134" s="175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idden="1" x14ac:dyDescent="0.25">
      <c r="A136" s="156"/>
      <c r="B136" s="156"/>
      <c r="C136" s="156"/>
      <c r="D136" s="156"/>
      <c r="E136" s="157"/>
      <c r="F136" s="158"/>
      <c r="G136" s="157"/>
      <c r="H136" s="158"/>
      <c r="I136" s="157"/>
      <c r="J136" s="158"/>
      <c r="K136" s="157"/>
      <c r="L136" s="158"/>
      <c r="M136" s="157">
        <f>SUM(M134)</f>
        <v>0</v>
      </c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idden="1" x14ac:dyDescent="0.25">
      <c r="A138" s="154" t="s">
        <v>180</v>
      </c>
      <c r="N138" s="153"/>
      <c r="O138" s="172"/>
      <c r="P138" s="153"/>
      <c r="Q138" s="153"/>
      <c r="R138" s="153"/>
      <c r="S138" s="153"/>
      <c r="T138" s="153"/>
      <c r="U138" s="153"/>
      <c r="V138" s="153"/>
      <c r="W138" s="153"/>
      <c r="X138" s="153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74"/>
      <c r="U139" s="174"/>
      <c r="V139" s="174"/>
      <c r="W139" s="174"/>
      <c r="X139" s="174"/>
      <c r="Y139" s="174"/>
      <c r="Z139" s="175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idden="1" x14ac:dyDescent="0.25">
      <c r="A141" s="156"/>
      <c r="B141" s="156"/>
      <c r="C141" s="156"/>
      <c r="D141" s="156"/>
      <c r="E141" s="157"/>
      <c r="F141" s="158"/>
      <c r="G141" s="157"/>
      <c r="H141" s="158"/>
      <c r="I141" s="157"/>
      <c r="J141" s="158"/>
      <c r="K141" s="157"/>
      <c r="L141" s="158"/>
      <c r="M141" s="157">
        <f>SUM(M139:M139)</f>
        <v>0</v>
      </c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3.5" thickBot="1" x14ac:dyDescent="0.3">
      <c r="A143" s="159" t="s">
        <v>101</v>
      </c>
      <c r="B143" s="160"/>
      <c r="C143" s="160"/>
      <c r="D143" s="160"/>
      <c r="E143" s="161"/>
      <c r="F143" s="162"/>
      <c r="G143" s="161"/>
      <c r="H143" s="162"/>
      <c r="I143" s="161"/>
      <c r="J143" s="162"/>
      <c r="K143" s="161"/>
      <c r="L143" s="162"/>
      <c r="M143" s="161">
        <f>M105+M113+M118+M126+M141+M131+M136+M100</f>
        <v>688</v>
      </c>
      <c r="N143" s="153"/>
      <c r="O143" s="172"/>
      <c r="P143" s="153"/>
      <c r="Q143" s="153"/>
      <c r="R143" s="153"/>
      <c r="S143" s="153"/>
      <c r="T143" s="153"/>
      <c r="U143" s="153"/>
      <c r="V143" s="153"/>
      <c r="W143" s="153"/>
      <c r="X143" s="153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x14ac:dyDescent="0.25"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x14ac:dyDescent="0.25"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x14ac:dyDescent="0.25"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x14ac:dyDescent="0.25"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x14ac:dyDescent="0.25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x14ac:dyDescent="0.25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x14ac:dyDescent="0.25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x14ac:dyDescent="0.25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x14ac:dyDescent="0.25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x14ac:dyDescent="0.25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x14ac:dyDescent="0.25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x14ac:dyDescent="0.25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x14ac:dyDescent="0.25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x14ac:dyDescent="0.25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x14ac:dyDescent="0.25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x14ac:dyDescent="0.25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x14ac:dyDescent="0.25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x14ac:dyDescent="0.25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x14ac:dyDescent="0.25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x14ac:dyDescent="0.25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x14ac:dyDescent="0.25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x14ac:dyDescent="0.25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x14ac:dyDescent="0.25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x14ac:dyDescent="0.25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x14ac:dyDescent="0.25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x14ac:dyDescent="0.25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x14ac:dyDescent="0.25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x14ac:dyDescent="0.25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x14ac:dyDescent="0.25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x14ac:dyDescent="0.25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x14ac:dyDescent="0.25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x14ac:dyDescent="0.25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x14ac:dyDescent="0.25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x14ac:dyDescent="0.25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x14ac:dyDescent="0.25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x14ac:dyDescent="0.25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x14ac:dyDescent="0.25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x14ac:dyDescent="0.25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x14ac:dyDescent="0.25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x14ac:dyDescent="0.25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x14ac:dyDescent="0.25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x14ac:dyDescent="0.25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x14ac:dyDescent="0.25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x14ac:dyDescent="0.25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x14ac:dyDescent="0.25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x14ac:dyDescent="0.25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x14ac:dyDescent="0.25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x14ac:dyDescent="0.25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x14ac:dyDescent="0.25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x14ac:dyDescent="0.25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x14ac:dyDescent="0.25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x14ac:dyDescent="0.25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x14ac:dyDescent="0.25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x14ac:dyDescent="0.25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x14ac:dyDescent="0.25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x14ac:dyDescent="0.25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x14ac:dyDescent="0.25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x14ac:dyDescent="0.25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x14ac:dyDescent="0.25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x14ac:dyDescent="0.25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x14ac:dyDescent="0.25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x14ac:dyDescent="0.25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x14ac:dyDescent="0.25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x14ac:dyDescent="0.25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x14ac:dyDescent="0.25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x14ac:dyDescent="0.25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x14ac:dyDescent="0.25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x14ac:dyDescent="0.25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x14ac:dyDescent="0.25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x14ac:dyDescent="0.25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x14ac:dyDescent="0.25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x14ac:dyDescent="0.25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x14ac:dyDescent="0.25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x14ac:dyDescent="0.25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x14ac:dyDescent="0.25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x14ac:dyDescent="0.25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x14ac:dyDescent="0.25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x14ac:dyDescent="0.25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335" spans="20:26" ht="13.5" thickBot="1" x14ac:dyDescent="0.25">
      <c r="T335" s="176">
        <f t="shared" ref="T335:Y335" si="0">SUM(T96:T334)</f>
        <v>0</v>
      </c>
      <c r="U335" s="176">
        <f t="shared" si="0"/>
        <v>0</v>
      </c>
      <c r="V335" s="176">
        <f t="shared" si="0"/>
        <v>0</v>
      </c>
      <c r="W335" s="176">
        <f t="shared" si="0"/>
        <v>0</v>
      </c>
      <c r="X335" s="176">
        <f t="shared" si="0"/>
        <v>0</v>
      </c>
      <c r="Y335" s="176">
        <f t="shared" si="0"/>
        <v>0</v>
      </c>
      <c r="Z335" s="176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opLeftCell="A6" workbookViewId="0">
      <selection activeCell="F14" sqref="F14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147"/>
    </row>
    <row r="2" spans="1:23" ht="16.5" x14ac:dyDescent="0.3">
      <c r="A2" s="313" t="s">
        <v>159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148"/>
    </row>
    <row r="3" spans="1:23" ht="13.5" x14ac:dyDescent="0.25">
      <c r="A3" s="318" t="s">
        <v>271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149"/>
    </row>
    <row r="4" spans="1:23" ht="3" customHeight="1" x14ac:dyDescent="0.25"/>
    <row r="5" spans="1:23" ht="12" customHeight="1" x14ac:dyDescent="0.25">
      <c r="A5" s="28"/>
      <c r="C5" s="315" t="s">
        <v>15</v>
      </c>
      <c r="D5" s="316"/>
      <c r="E5" s="317"/>
      <c r="G5" s="315" t="s">
        <v>72</v>
      </c>
      <c r="H5" s="316"/>
      <c r="I5" s="316"/>
      <c r="J5" s="316"/>
      <c r="K5" s="316"/>
      <c r="L5" s="316"/>
      <c r="M5" s="316"/>
      <c r="N5" s="316"/>
      <c r="O5" s="317"/>
      <c r="Q5" s="315" t="s">
        <v>61</v>
      </c>
      <c r="R5" s="316"/>
      <c r="S5" s="316"/>
      <c r="T5" s="316"/>
      <c r="U5" s="316"/>
      <c r="V5" s="317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 t="e">
        <f ca="1">GrossMargin!M10</f>
        <v>#NAME?</v>
      </c>
      <c r="D9" s="60" t="e">
        <f ca="1">Expenses!E9+'CapChrg-AllocExp'!E10+'CapChrg-AllocExp'!L10</f>
        <v>#NAME?</v>
      </c>
      <c r="E9" s="84" t="e">
        <f ca="1">C9-D9</f>
        <v>#NAME?</v>
      </c>
      <c r="F9" s="42"/>
      <c r="G9" s="59">
        <f>GrossMargin!I10</f>
        <v>20776</v>
      </c>
      <c r="H9" s="60">
        <f>GrossMargin!J10</f>
        <v>0</v>
      </c>
      <c r="I9" s="60">
        <f>GrossMargin!K10</f>
        <v>0</v>
      </c>
      <c r="J9" s="82">
        <f>SUM(G9:I9)</f>
        <v>20776</v>
      </c>
      <c r="K9" s="178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2" t="e">
        <f ca="1">J9-K9-M9-N9-L9</f>
        <v>#NAME?</v>
      </c>
      <c r="P9" s="44"/>
      <c r="Q9" s="59" t="e">
        <f ca="1">GrossMargin!N10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4" t="e">
        <f ca="1">ROUND(SUM(Q9:U9),0)</f>
        <v>#NAME?</v>
      </c>
    </row>
    <row r="10" spans="1:23" ht="12" customHeight="1" x14ac:dyDescent="0.25">
      <c r="A10" s="29" t="s">
        <v>106</v>
      </c>
      <c r="B10" s="38"/>
      <c r="C10" s="41" t="e">
        <f ca="1">GrossMargin!M11</f>
        <v>#NAME?</v>
      </c>
      <c r="D10" s="42" t="e">
        <f ca="1">Expenses!E10+'CapChrg-AllocExp'!E11+'CapChrg-AllocExp'!L11+Expenses!E54</f>
        <v>#NAME?</v>
      </c>
      <c r="E10" s="66" t="e">
        <f t="shared" ref="E10:E17" ca="1" si="0">C10-D10</f>
        <v>#NAME?</v>
      </c>
      <c r="F10" s="42"/>
      <c r="G10" s="41">
        <f>GrossMargin!I11</f>
        <v>-6131</v>
      </c>
      <c r="H10" s="42">
        <f>GrossMargin!J11</f>
        <v>0</v>
      </c>
      <c r="I10" s="42">
        <f>GrossMargin!K11</f>
        <v>0</v>
      </c>
      <c r="J10" s="83">
        <f t="shared" ref="J10:J16" si="1">SUM(G10:I10)</f>
        <v>-6131</v>
      </c>
      <c r="K10" s="42">
        <f>Expenses!D54</f>
        <v>8206</v>
      </c>
      <c r="L10" s="42">
        <f>'CapChrg-AllocExp'!D11</f>
        <v>7642</v>
      </c>
      <c r="M10" s="42" t="e">
        <f ca="1">Expenses!D10</f>
        <v>#NAME?</v>
      </c>
      <c r="N10" s="43" t="e">
        <f ca="1">'CapChrg-AllocExp'!K11</f>
        <v>#NAME?</v>
      </c>
      <c r="O10" s="83" t="e">
        <f t="shared" ref="O10:O18" ca="1" si="2">J10-K10-M10-N10-L10</f>
        <v>#NAME?</v>
      </c>
      <c r="P10" s="44"/>
      <c r="Q10" s="41" t="e">
        <f ca="1">GrossMargin!N11</f>
        <v>#NAME?</v>
      </c>
      <c r="R10" s="42">
        <f>Expenses!F54</f>
        <v>583</v>
      </c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6" ca="1" si="3">ROUND(SUM(Q10:U10),0)</f>
        <v>#NAME?</v>
      </c>
    </row>
    <row r="11" spans="1:23" ht="12" customHeight="1" x14ac:dyDescent="0.25">
      <c r="A11" s="29" t="s">
        <v>132</v>
      </c>
      <c r="B11" s="38"/>
      <c r="C11" s="41" t="e">
        <f ca="1">GrossMargin!M12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GrossMargin!I12</f>
        <v>4610</v>
      </c>
      <c r="H11" s="42">
        <f>GrossMargin!J12</f>
        <v>0</v>
      </c>
      <c r="I11" s="42">
        <f>GrossMargin!K12</f>
        <v>0</v>
      </c>
      <c r="J11" s="83">
        <f t="shared" si="1"/>
        <v>4610</v>
      </c>
      <c r="K11" s="65"/>
      <c r="L11" s="42" t="e">
        <f ca="1">'CapChrg-AllocExp'!D12</f>
        <v>#NAME?</v>
      </c>
      <c r="M11" s="42" t="e">
        <f ca="1">Expenses!D11</f>
        <v>#NAME?</v>
      </c>
      <c r="N11" s="43" t="e">
        <f ca="1">'CapChrg-AllocExp'!K12</f>
        <v>#NAME?</v>
      </c>
      <c r="O11" s="83" t="e">
        <f t="shared" ca="1" si="2"/>
        <v>#NAME?</v>
      </c>
      <c r="P11" s="44"/>
      <c r="Q11" s="41" t="e">
        <f ca="1">GrossMargin!N12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133</v>
      </c>
      <c r="B12" s="38"/>
      <c r="C12" s="41" t="e">
        <f ca="1">GrossMargin!M13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GrossMargin!I13</f>
        <v>-5591</v>
      </c>
      <c r="H12" s="42">
        <f>GrossMargin!J13</f>
        <v>0</v>
      </c>
      <c r="I12" s="42">
        <f>GrossMargin!K13</f>
        <v>0</v>
      </c>
      <c r="J12" s="83">
        <f>SUM(G12:I12)</f>
        <v>-5591</v>
      </c>
      <c r="K12" s="65"/>
      <c r="L12" s="42" t="e">
        <f ca="1">'CapChrg-AllocExp'!D13</f>
        <v>#NAME?</v>
      </c>
      <c r="M12" s="42" t="e">
        <f ca="1">Expenses!D12</f>
        <v>#NAME?</v>
      </c>
      <c r="N12" s="43" t="e">
        <f ca="1">'CapChrg-AllocExp'!K13</f>
        <v>#NAME?</v>
      </c>
      <c r="O12" s="83" t="e">
        <f ca="1">J12-K12-M12-N12-L12</f>
        <v>#NAME?</v>
      </c>
      <c r="P12" s="44"/>
      <c r="Q12" s="41" t="e">
        <f ca="1">GrossMargin!N13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114</v>
      </c>
      <c r="B13" s="38"/>
      <c r="C13" s="41" t="e">
        <f ca="1">GrossMargin!M14</f>
        <v>#NAME?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GrossMargin!I14</f>
        <v>6666</v>
      </c>
      <c r="H13" s="42">
        <f>GrossMargin!J14</f>
        <v>0</v>
      </c>
      <c r="I13" s="42">
        <f>GrossMargin!K14</f>
        <v>0</v>
      </c>
      <c r="J13" s="83">
        <f>SUM(G13:I13)</f>
        <v>6666</v>
      </c>
      <c r="K13" s="65"/>
      <c r="L13" s="42">
        <f>'CapChrg-AllocExp'!D14</f>
        <v>186</v>
      </c>
      <c r="M13" s="42" t="e">
        <f ca="1">Expenses!D13</f>
        <v>#NAME?</v>
      </c>
      <c r="N13" s="43" t="e">
        <f ca="1">'CapChrg-AllocExp'!K14</f>
        <v>#NAME?</v>
      </c>
      <c r="O13" s="83" t="e">
        <f t="shared" ca="1" si="2"/>
        <v>#NAME?</v>
      </c>
      <c r="P13" s="44"/>
      <c r="Q13" s="41" t="e">
        <f ca="1">GrossMargin!N14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5</v>
      </c>
      <c r="B14" s="38"/>
      <c r="C14" s="41" t="e">
        <f ca="1">GrossMargin!M15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GrossMargin!I15</f>
        <v>8</v>
      </c>
      <c r="H14" s="42">
        <f>GrossMargin!J15</f>
        <v>0</v>
      </c>
      <c r="I14" s="42">
        <f>GrossMargin!K15</f>
        <v>0</v>
      </c>
      <c r="J14" s="83">
        <f t="shared" si="1"/>
        <v>8</v>
      </c>
      <c r="K14" s="65"/>
      <c r="L14" s="42">
        <f>'CapChrg-AllocExp'!D15</f>
        <v>615</v>
      </c>
      <c r="M14" s="42" t="e">
        <f ca="1">Expenses!D14</f>
        <v>#NAME?</v>
      </c>
      <c r="N14" s="43" t="e">
        <f ca="1">'CapChrg-AllocExp'!K15</f>
        <v>#NAME?</v>
      </c>
      <c r="O14" s="83" t="e">
        <f t="shared" ca="1" si="2"/>
        <v>#NAME?</v>
      </c>
      <c r="P14" s="44"/>
      <c r="Q14" s="41" t="e">
        <f ca="1">GrossMargin!N15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155</v>
      </c>
      <c r="B15" s="38"/>
      <c r="C15" s="41" t="e">
        <f ca="1">GrossMargin!M16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GrossMargin!I16</f>
        <v>213</v>
      </c>
      <c r="H15" s="42">
        <f>GrossMargin!J16</f>
        <v>0</v>
      </c>
      <c r="I15" s="42">
        <f>GrossMargin!K16</f>
        <v>0</v>
      </c>
      <c r="J15" s="83">
        <f t="shared" si="1"/>
        <v>213</v>
      </c>
      <c r="K15" s="65"/>
      <c r="L15" s="42" t="e">
        <f ca="1">'CapChrg-AllocExp'!D16</f>
        <v>#NAME?</v>
      </c>
      <c r="M15" s="42" t="e">
        <f ca="1">Expenses!D15</f>
        <v>#NAME?</v>
      </c>
      <c r="N15" s="43" t="e">
        <f ca="1">'CapChrg-AllocExp'!K16</f>
        <v>#NAME?</v>
      </c>
      <c r="O15" s="83" t="e">
        <f t="shared" ca="1" si="2"/>
        <v>#NAME?</v>
      </c>
      <c r="P15" s="44"/>
      <c r="Q15" s="41" t="e">
        <f ca="1">GrossMargin!N16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107</v>
      </c>
      <c r="B16" s="38"/>
      <c r="C16" s="41" t="e">
        <f ca="1">GrossMargin!M17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GrossMargin!I17</f>
        <v>-1488</v>
      </c>
      <c r="H16" s="42">
        <f>GrossMargin!J17</f>
        <v>0</v>
      </c>
      <c r="I16" s="42">
        <f>GrossMargin!K17</f>
        <v>0</v>
      </c>
      <c r="J16" s="83">
        <f t="shared" si="1"/>
        <v>-1488</v>
      </c>
      <c r="K16" s="65"/>
      <c r="L16" s="42" t="e">
        <f ca="1">'CapChrg-AllocExp'!D17</f>
        <v>#NAME?</v>
      </c>
      <c r="M16" s="42" t="e">
        <f ca="1">Expenses!D16</f>
        <v>#NAME?</v>
      </c>
      <c r="N16" s="43" t="e">
        <f ca="1">'CapChrg-AllocExp'!K17</f>
        <v>#NAME?</v>
      </c>
      <c r="O16" s="83" t="e">
        <f t="shared" ca="1" si="2"/>
        <v>#NAME?</v>
      </c>
      <c r="P16" s="44"/>
      <c r="Q16" s="41" t="e">
        <f ca="1">GrossMargin!N17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156</v>
      </c>
      <c r="B17" s="38"/>
      <c r="C17" s="41" t="e">
        <f ca="1">GrossMargin!M18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3">
        <f>SUM(G17:I17)</f>
        <v>0</v>
      </c>
      <c r="K17" s="65"/>
      <c r="L17" s="42" t="e">
        <f ca="1">'CapChrg-AllocExp'!D18</f>
        <v>#NAME?</v>
      </c>
      <c r="M17" s="42">
        <f>Expenses!D17</f>
        <v>1364</v>
      </c>
      <c r="N17" s="43" t="e">
        <f ca="1">'CapChrg-AllocExp'!K18</f>
        <v>#NAME?</v>
      </c>
      <c r="O17" s="83" t="e">
        <f t="shared" ca="1" si="2"/>
        <v>#NAME?</v>
      </c>
      <c r="P17" s="44"/>
      <c r="Q17" s="41" t="e">
        <f ca="1">GrossMargin!N18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s="90" customFormat="1" ht="12" customHeight="1" x14ac:dyDescent="0.25">
      <c r="A18" s="94" t="s">
        <v>130</v>
      </c>
      <c r="B18" s="91"/>
      <c r="C18" s="99" t="e">
        <f ca="1">SUM(C9:C17)</f>
        <v>#NAME?</v>
      </c>
      <c r="D18" s="100" t="e">
        <f ca="1">SUM(D9:D17)</f>
        <v>#NAME?</v>
      </c>
      <c r="E18" s="101" t="e">
        <f ca="1">SUM(E9:E17)</f>
        <v>#NAME?</v>
      </c>
      <c r="F18" s="92"/>
      <c r="G18" s="99">
        <f t="shared" ref="G18:N18" si="4">SUM(G9:G17)</f>
        <v>19063</v>
      </c>
      <c r="H18" s="100">
        <f t="shared" si="4"/>
        <v>0</v>
      </c>
      <c r="I18" s="100">
        <f t="shared" si="4"/>
        <v>0</v>
      </c>
      <c r="J18" s="102">
        <f t="shared" si="4"/>
        <v>19063</v>
      </c>
      <c r="K18" s="100">
        <f t="shared" si="4"/>
        <v>8206</v>
      </c>
      <c r="L18" s="100" t="e">
        <f t="shared" ca="1" si="4"/>
        <v>#NAME?</v>
      </c>
      <c r="M18" s="100" t="e">
        <f t="shared" ca="1" si="4"/>
        <v>#NAME?</v>
      </c>
      <c r="N18" s="101" t="e">
        <f t="shared" ca="1" si="4"/>
        <v>#NAME?</v>
      </c>
      <c r="O18" s="102" t="e">
        <f t="shared" ca="1" si="2"/>
        <v>#NAME?</v>
      </c>
      <c r="P18" s="93"/>
      <c r="Q18" s="99" t="e">
        <f t="shared" ref="Q18:V18" ca="1" si="5">SUM(Q9:Q17)</f>
        <v>#NAME?</v>
      </c>
      <c r="R18" s="100">
        <f t="shared" si="5"/>
        <v>583</v>
      </c>
      <c r="S18" s="100" t="e">
        <f t="shared" ca="1" si="5"/>
        <v>#NAME?</v>
      </c>
      <c r="T18" s="100" t="e">
        <f t="shared" ca="1" si="5"/>
        <v>#NAME?</v>
      </c>
      <c r="U18" s="100" t="e">
        <f t="shared" ca="1" si="5"/>
        <v>#NAME?</v>
      </c>
      <c r="V18" s="101" t="e">
        <f t="shared" ca="1" si="5"/>
        <v>#NAME?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 t="e">
        <f ca="1">GrossMargin!M22</f>
        <v>#NAME?</v>
      </c>
      <c r="D20" s="42" t="e">
        <f ca="1">Expenses!E20+'CapChrg-AllocExp'!E21+'CapChrg-AllocExp'!L21</f>
        <v>#NAME?</v>
      </c>
      <c r="E20" s="66" t="e">
        <f ca="1">C20-D20</f>
        <v>#NAME?</v>
      </c>
      <c r="F20" s="42"/>
      <c r="G20" s="41">
        <f>GrossMargin!I22</f>
        <v>0</v>
      </c>
      <c r="H20" s="42">
        <f>GrossMargin!J22</f>
        <v>0</v>
      </c>
      <c r="I20" s="42">
        <f>GrossMargin!K22</f>
        <v>0</v>
      </c>
      <c r="J20" s="83">
        <f>SUM(G20:I20)</f>
        <v>0</v>
      </c>
      <c r="K20" s="65"/>
      <c r="L20" s="42" t="e">
        <f ca="1">'CapChrg-AllocExp'!D21</f>
        <v>#NAME?</v>
      </c>
      <c r="M20" s="42" t="e">
        <f ca="1">Expenses!D20</f>
        <v>#NAME?</v>
      </c>
      <c r="N20" s="43" t="e">
        <f ca="1">'CapChrg-AllocExp'!K21</f>
        <v>#NAME?</v>
      </c>
      <c r="O20" s="83" t="e">
        <f t="shared" ref="O20:O25" ca="1" si="6">J20-K20-M20-N20-L20</f>
        <v>#NAME?</v>
      </c>
      <c r="P20" s="44"/>
      <c r="Q20" s="41" t="e">
        <f ca="1">GrossMargin!N22</f>
        <v>#NAME?</v>
      </c>
      <c r="R20" s="42"/>
      <c r="S20" s="42" t="e">
        <f ca="1">'CapChrg-AllocExp'!F21</f>
        <v>#NAME?</v>
      </c>
      <c r="T20" s="42" t="e">
        <f ca="1">Expenses!F20</f>
        <v>#NAME?</v>
      </c>
      <c r="U20" s="42" t="e">
        <f ca="1">'CapChrg-AllocExp'!M21</f>
        <v>#NAME?</v>
      </c>
      <c r="V20" s="66" t="e">
        <f ca="1">ROUND(SUM(Q20:U20),0)</f>
        <v>#NAME?</v>
      </c>
    </row>
    <row r="21" spans="1:22" ht="12" customHeight="1" x14ac:dyDescent="0.25">
      <c r="A21" s="29" t="s">
        <v>89</v>
      </c>
      <c r="B21" s="38"/>
      <c r="C21" s="41" t="e">
        <f ca="1">GrossMargin!M23</f>
        <v>#NAME?</v>
      </c>
      <c r="D21" s="42" t="e">
        <f ca="1">Expenses!E21+'CapChrg-AllocExp'!E22+'CapChrg-AllocExp'!L22</f>
        <v>#NAME?</v>
      </c>
      <c r="E21" s="66" t="e">
        <f ca="1">C21-D21</f>
        <v>#NAME?</v>
      </c>
      <c r="F21" s="42"/>
      <c r="G21" s="41">
        <f>GrossMargin!I23</f>
        <v>0</v>
      </c>
      <c r="H21" s="42">
        <f>GrossMargin!J23</f>
        <v>0</v>
      </c>
      <c r="I21" s="42">
        <f>GrossMargin!K23</f>
        <v>0</v>
      </c>
      <c r="J21" s="83">
        <f>SUM(G21:I21)</f>
        <v>0</v>
      </c>
      <c r="K21" s="65"/>
      <c r="L21" s="42">
        <f>'CapChrg-AllocExp'!D22</f>
        <v>943</v>
      </c>
      <c r="M21" s="42" t="e">
        <f ca="1">Expenses!D21</f>
        <v>#NAME?</v>
      </c>
      <c r="N21" s="43" t="e">
        <f ca="1">'CapChrg-AllocExp'!K22</f>
        <v>#NAME?</v>
      </c>
      <c r="O21" s="83" t="e">
        <f t="shared" ca="1" si="6"/>
        <v>#NAME?</v>
      </c>
      <c r="P21" s="44"/>
      <c r="Q21" s="41" t="e">
        <f ca="1">GrossMargin!N23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ca="1">ROUND(SUM(Q21:U21),0)</f>
        <v>#NAME?</v>
      </c>
    </row>
    <row r="22" spans="1:22" ht="12" customHeight="1" x14ac:dyDescent="0.25">
      <c r="A22" s="29" t="s">
        <v>258</v>
      </c>
      <c r="B22" s="38"/>
      <c r="C22" s="41" t="e">
        <f ca="1">GrossMargin!M24</f>
        <v>#NAME?</v>
      </c>
      <c r="D22" s="42" t="e">
        <f ca="1">Expenses!E22+'CapChrg-AllocExp'!E23+'CapChrg-AllocExp'!L23</f>
        <v>#NAME?</v>
      </c>
      <c r="E22" s="66" t="e">
        <f ca="1">C22-D22</f>
        <v>#NAME?</v>
      </c>
      <c r="F22" s="42"/>
      <c r="G22" s="41">
        <f>GrossMargin!I24</f>
        <v>417</v>
      </c>
      <c r="H22" s="42">
        <f>GrossMargin!J24</f>
        <v>0</v>
      </c>
      <c r="I22" s="42">
        <f>GrossMargin!K24</f>
        <v>0</v>
      </c>
      <c r="J22" s="83">
        <f>SUM(G22:I22)</f>
        <v>417</v>
      </c>
      <c r="K22" s="65"/>
      <c r="L22" s="42">
        <f>'CapChrg-AllocExp'!D23</f>
        <v>109</v>
      </c>
      <c r="M22" s="42" t="e">
        <f ca="1">Expenses!D22</f>
        <v>#NAME?</v>
      </c>
      <c r="N22" s="43" t="e">
        <f ca="1">'CapChrg-AllocExp'!K23</f>
        <v>#NAME?</v>
      </c>
      <c r="O22" s="83" t="e">
        <f t="shared" ca="1" si="6"/>
        <v>#NAME?</v>
      </c>
      <c r="P22" s="44"/>
      <c r="Q22" s="41" t="e">
        <f ca="1">GrossMargin!N24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ca="1">ROUND(SUM(Q22:U22),0)</f>
        <v>#NAME?</v>
      </c>
    </row>
    <row r="23" spans="1:22" ht="12" customHeight="1" x14ac:dyDescent="0.25">
      <c r="A23" s="29" t="s">
        <v>104</v>
      </c>
      <c r="B23" s="38"/>
      <c r="C23" s="41" t="e">
        <f ca="1">GrossMargin!M25</f>
        <v>#NAME?</v>
      </c>
      <c r="D23" s="42" t="e">
        <f ca="1">Expenses!E23+'CapChrg-AllocExp'!E24+'CapChrg-AllocExp'!L24</f>
        <v>#NAME?</v>
      </c>
      <c r="E23" s="66" t="e">
        <f ca="1">C23-D23</f>
        <v>#NAME?</v>
      </c>
      <c r="F23" s="42"/>
      <c r="G23" s="41">
        <f>GrossMargin!I25</f>
        <v>0</v>
      </c>
      <c r="H23" s="42">
        <f>GrossMargin!J25</f>
        <v>0</v>
      </c>
      <c r="I23" s="42">
        <f>GrossMargin!K25</f>
        <v>0</v>
      </c>
      <c r="J23" s="83">
        <f>SUM(G23:I23)</f>
        <v>0</v>
      </c>
      <c r="K23" s="65"/>
      <c r="L23" s="42" t="e">
        <f ca="1">'CapChrg-AllocExp'!D24</f>
        <v>#NAME?</v>
      </c>
      <c r="M23" s="42" t="e">
        <f ca="1">Expenses!D23</f>
        <v>#NAME?</v>
      </c>
      <c r="N23" s="43" t="e">
        <f ca="1">'CapChrg-AllocExp'!K24</f>
        <v>#NAME?</v>
      </c>
      <c r="O23" s="83" t="e">
        <f t="shared" ca="1" si="6"/>
        <v>#NAME?</v>
      </c>
      <c r="P23" s="44"/>
      <c r="Q23" s="41" t="e">
        <f ca="1">GrossMargin!N25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ca="1">ROUND(SUM(Q23:U23),0)</f>
        <v>#NAME?</v>
      </c>
    </row>
    <row r="24" spans="1:22" ht="12" customHeight="1" x14ac:dyDescent="0.25">
      <c r="A24" s="29" t="s">
        <v>0</v>
      </c>
      <c r="B24" s="38"/>
      <c r="C24" s="41" t="e">
        <f ca="1">GrossMargin!M26</f>
        <v>#NAME?</v>
      </c>
      <c r="D24" s="42" t="e">
        <f ca="1">Expenses!E24+'CapChrg-AllocExp'!E25+'CapChrg-AllocExp'!L25</f>
        <v>#NAME?</v>
      </c>
      <c r="E24" s="66" t="e">
        <f ca="1">C24-D24</f>
        <v>#NAME?</v>
      </c>
      <c r="F24" s="42"/>
      <c r="G24" s="41">
        <f>GrossMargin!I26</f>
        <v>0</v>
      </c>
      <c r="H24" s="42">
        <f>GrossMargin!J26</f>
        <v>0</v>
      </c>
      <c r="I24" s="42">
        <f>GrossMargin!K26</f>
        <v>0</v>
      </c>
      <c r="J24" s="83">
        <f>SUM(G24:I24)</f>
        <v>0</v>
      </c>
      <c r="K24" s="65"/>
      <c r="L24" s="42" t="e">
        <f ca="1">'CapChrg-AllocExp'!D25</f>
        <v>#NAME?</v>
      </c>
      <c r="M24" s="42" t="e">
        <f ca="1">Expenses!D24</f>
        <v>#NAME?</v>
      </c>
      <c r="N24" s="43" t="e">
        <f ca="1">'CapChrg-AllocExp'!K25</f>
        <v>#NAME?</v>
      </c>
      <c r="O24" s="83" t="e">
        <f t="shared" ca="1" si="6"/>
        <v>#NAME?</v>
      </c>
      <c r="P24" s="44"/>
      <c r="Q24" s="41" t="e">
        <f ca="1">GrossMargin!N26</f>
        <v>#NAME?</v>
      </c>
      <c r="R24" s="42"/>
      <c r="S24" s="42" t="e">
        <f ca="1">'CapChrg-AllocExp'!F25</f>
        <v>#NAME?</v>
      </c>
      <c r="T24" s="42" t="e">
        <f ca="1">Expenses!F24</f>
        <v>#NAME?</v>
      </c>
      <c r="U24" s="42" t="e">
        <f ca="1">'CapChrg-AllocExp'!M25</f>
        <v>#NAME?</v>
      </c>
      <c r="V24" s="66" t="e">
        <f ca="1">ROUND(SUM(Q24:U24),0)</f>
        <v>#NAME?</v>
      </c>
    </row>
    <row r="25" spans="1:22" s="90" customFormat="1" ht="12" customHeight="1" x14ac:dyDescent="0.25">
      <c r="A25" s="94" t="s">
        <v>1</v>
      </c>
      <c r="B25" s="91"/>
      <c r="C25" s="99" t="e">
        <f t="shared" ref="C25:N25" ca="1" si="7">SUM(C20:C24)</f>
        <v>#NAME?</v>
      </c>
      <c r="D25" s="100" t="e">
        <f t="shared" ca="1" si="7"/>
        <v>#NAME?</v>
      </c>
      <c r="E25" s="101" t="e">
        <f t="shared" ca="1" si="7"/>
        <v>#NAME?</v>
      </c>
      <c r="F25" s="92">
        <f t="shared" si="7"/>
        <v>0</v>
      </c>
      <c r="G25" s="99">
        <f t="shared" si="7"/>
        <v>417</v>
      </c>
      <c r="H25" s="100">
        <f t="shared" si="7"/>
        <v>0</v>
      </c>
      <c r="I25" s="100">
        <f t="shared" si="7"/>
        <v>0</v>
      </c>
      <c r="J25" s="102">
        <f t="shared" si="7"/>
        <v>417</v>
      </c>
      <c r="K25" s="100">
        <f t="shared" si="7"/>
        <v>0</v>
      </c>
      <c r="L25" s="100" t="e">
        <f t="shared" ca="1" si="7"/>
        <v>#NAME?</v>
      </c>
      <c r="M25" s="100" t="e">
        <f t="shared" ca="1" si="7"/>
        <v>#NAME?</v>
      </c>
      <c r="N25" s="101" t="e">
        <f t="shared" ca="1" si="7"/>
        <v>#NAME?</v>
      </c>
      <c r="O25" s="102" t="e">
        <f t="shared" ca="1" si="6"/>
        <v>#NAME?</v>
      </c>
      <c r="P25" s="93"/>
      <c r="Q25" s="99" t="e">
        <f t="shared" ref="Q25:V25" ca="1" si="8">SUM(Q20:Q24)</f>
        <v>#NAME?</v>
      </c>
      <c r="R25" s="100">
        <f t="shared" si="8"/>
        <v>0</v>
      </c>
      <c r="S25" s="100" t="e">
        <f t="shared" ca="1" si="8"/>
        <v>#NAME?</v>
      </c>
      <c r="T25" s="100" t="e">
        <f t="shared" ca="1" si="8"/>
        <v>#NAME?</v>
      </c>
      <c r="U25" s="100" t="e">
        <f t="shared" ca="1" si="8"/>
        <v>#NAME?</v>
      </c>
      <c r="V25" s="101" t="e">
        <f t="shared" ca="1" si="8"/>
        <v>#NAME?</v>
      </c>
    </row>
    <row r="26" spans="1:22" ht="3" customHeight="1" x14ac:dyDescent="0.25">
      <c r="A26" s="29"/>
      <c r="B26" s="38"/>
      <c r="C26" s="41"/>
      <c r="D26" s="42"/>
      <c r="E26" s="66"/>
      <c r="F26" s="42"/>
      <c r="G26" s="41"/>
      <c r="H26" s="42"/>
      <c r="I26" s="42"/>
      <c r="J26" s="83"/>
      <c r="K26" s="65"/>
      <c r="L26" s="65"/>
      <c r="M26" s="42"/>
      <c r="N26" s="43"/>
      <c r="O26" s="83"/>
      <c r="P26" s="44"/>
      <c r="Q26" s="41"/>
      <c r="R26" s="42"/>
      <c r="S26" s="42"/>
      <c r="T26" s="42"/>
      <c r="U26" s="42"/>
      <c r="V26" s="66"/>
    </row>
    <row r="27" spans="1:22" ht="12" customHeight="1" x14ac:dyDescent="0.25">
      <c r="A27" s="29" t="s">
        <v>67</v>
      </c>
      <c r="B27" s="38"/>
      <c r="C27" s="41" t="e">
        <f ca="1">GrossMargin!M30</f>
        <v>#NAME?</v>
      </c>
      <c r="D27" s="42" t="e">
        <f ca="1">Expenses!E27+'CapChrg-AllocExp'!E28+'CapChrg-AllocExp'!L28</f>
        <v>#NAME?</v>
      </c>
      <c r="E27" s="66" t="e">
        <f ca="1">C27-D27</f>
        <v>#NAME?</v>
      </c>
      <c r="F27" s="42"/>
      <c r="G27" s="41">
        <f>GrossMargin!I30</f>
        <v>3553</v>
      </c>
      <c r="H27" s="42">
        <f>GrossMargin!J30</f>
        <v>0</v>
      </c>
      <c r="I27" s="42">
        <f>GrossMargin!K30</f>
        <v>0</v>
      </c>
      <c r="J27" s="83">
        <f>SUM(G27:I27)</f>
        <v>3553</v>
      </c>
      <c r="K27" s="42"/>
      <c r="L27" s="42">
        <f>'CapChrg-AllocExp'!D28</f>
        <v>6052</v>
      </c>
      <c r="M27" s="42" t="e">
        <f ca="1">Expenses!D27</f>
        <v>#NAME?</v>
      </c>
      <c r="N27" s="43" t="e">
        <f ca="1">'CapChrg-AllocExp'!K28</f>
        <v>#NAME?</v>
      </c>
      <c r="O27" s="83" t="e">
        <f ca="1">J27-K27-M27-N27-L27</f>
        <v>#NAME?</v>
      </c>
      <c r="P27" s="44"/>
      <c r="Q27" s="41" t="e">
        <f ca="1">GrossMargin!N30</f>
        <v>#NAME?</v>
      </c>
      <c r="R27" s="42"/>
      <c r="S27" s="42" t="e">
        <f ca="1">'CapChrg-AllocExp'!F28</f>
        <v>#NAME?</v>
      </c>
      <c r="T27" s="42" t="e">
        <f ca="1">Expenses!F27</f>
        <v>#NAME?</v>
      </c>
      <c r="U27" s="42" t="e">
        <f ca="1">'CapChrg-AllocExp'!M28</f>
        <v>#NAME?</v>
      </c>
      <c r="V27" s="66" t="e">
        <f ca="1">ROUND(SUM(Q27:U27),0)</f>
        <v>#NAME?</v>
      </c>
    </row>
    <row r="28" spans="1:22" ht="12" customHeight="1" x14ac:dyDescent="0.25">
      <c r="A28" s="29" t="s">
        <v>92</v>
      </c>
      <c r="B28" s="38"/>
      <c r="C28" s="41" t="e">
        <f ca="1">GrossMargin!M31</f>
        <v>#NAME?</v>
      </c>
      <c r="D28" s="42" t="e">
        <f ca="1">Expenses!E28+Expenses!E55+'CapChrg-AllocExp'!E29+'CapChrg-AllocExp'!L29</f>
        <v>#NAME?</v>
      </c>
      <c r="E28" s="66" t="e">
        <f ca="1">C28-D28</f>
        <v>#NAME?</v>
      </c>
      <c r="F28" s="42"/>
      <c r="G28" s="41">
        <f>GrossMargin!I31</f>
        <v>17421</v>
      </c>
      <c r="H28" s="42">
        <f>GrossMargin!J31</f>
        <v>0</v>
      </c>
      <c r="I28" s="42">
        <f>GrossMargin!K31</f>
        <v>0</v>
      </c>
      <c r="J28" s="83">
        <f>SUM(G28:I28)</f>
        <v>17421</v>
      </c>
      <c r="K28" s="42">
        <f>Expenses!D55</f>
        <v>40447</v>
      </c>
      <c r="L28" s="42">
        <f>'CapChrg-AllocExp'!D29</f>
        <v>12467</v>
      </c>
      <c r="M28" s="42">
        <f>Expenses!D28</f>
        <v>4961</v>
      </c>
      <c r="N28" s="43" t="e">
        <f ca="1">'CapChrg-AllocExp'!K29</f>
        <v>#NAME?</v>
      </c>
      <c r="O28" s="83" t="e">
        <f ca="1">J28-K28-M28-N28-L28</f>
        <v>#NAME?</v>
      </c>
      <c r="P28" s="44"/>
      <c r="Q28" s="41" t="e">
        <f ca="1">GrossMargin!N31</f>
        <v>#NAME?</v>
      </c>
      <c r="R28" s="42">
        <f>Expenses!F55</f>
        <v>-1704</v>
      </c>
      <c r="S28" s="42" t="e">
        <f ca="1">'CapChrg-AllocExp'!F29</f>
        <v>#NAME?</v>
      </c>
      <c r="T28" s="42" t="e">
        <f ca="1">Expenses!F28</f>
        <v>#NAME?</v>
      </c>
      <c r="U28" s="42" t="e">
        <f ca="1">'CapChrg-AllocExp'!M29</f>
        <v>#NAME?</v>
      </c>
      <c r="V28" s="66" t="e">
        <f ca="1">ROUND(SUM(Q28:U28),0)</f>
        <v>#NAME?</v>
      </c>
    </row>
    <row r="29" spans="1:22" ht="12" customHeight="1" x14ac:dyDescent="0.25">
      <c r="A29" s="29" t="s">
        <v>93</v>
      </c>
      <c r="B29" s="38"/>
      <c r="C29" s="41" t="e">
        <f ca="1">GrossMargin!M32</f>
        <v>#NAME?</v>
      </c>
      <c r="D29" s="42" t="e">
        <f ca="1">Expenses!E29+'CapChrg-AllocExp'!E30+'CapChrg-AllocExp'!L30</f>
        <v>#NAME?</v>
      </c>
      <c r="E29" s="66" t="e">
        <f ca="1">C29-D29</f>
        <v>#NAME?</v>
      </c>
      <c r="F29" s="42"/>
      <c r="G29" s="41">
        <f>GrossMargin!I32</f>
        <v>5531</v>
      </c>
      <c r="H29" s="42">
        <f>GrossMargin!J32</f>
        <v>0</v>
      </c>
      <c r="I29" s="42">
        <f>GrossMargin!K32</f>
        <v>0</v>
      </c>
      <c r="J29" s="83">
        <f>SUM(G29:I29)</f>
        <v>5531</v>
      </c>
      <c r="K29" s="65"/>
      <c r="L29" s="65" t="e">
        <f ca="1">'CapChrg-AllocExp'!D30</f>
        <v>#NAME?</v>
      </c>
      <c r="M29" s="42" t="e">
        <f ca="1">Expenses!D29</f>
        <v>#NAME?</v>
      </c>
      <c r="N29" s="43" t="e">
        <f ca="1">'CapChrg-AllocExp'!K30</f>
        <v>#NAME?</v>
      </c>
      <c r="O29" s="83" t="e">
        <f ca="1">J29-K29-M29-N29-L29</f>
        <v>#NAME?</v>
      </c>
      <c r="P29" s="44"/>
      <c r="Q29" s="41" t="e">
        <f ca="1">GrossMargin!N32</f>
        <v>#NAME?</v>
      </c>
      <c r="R29" s="42"/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s="90" customFormat="1" ht="12" customHeight="1" x14ac:dyDescent="0.25">
      <c r="A30" s="94" t="s">
        <v>86</v>
      </c>
      <c r="B30" s="91"/>
      <c r="C30" s="99" t="e">
        <f ca="1">SUM(C27:C29)</f>
        <v>#NAME?</v>
      </c>
      <c r="D30" s="100" t="e">
        <f ca="1">SUM(D27:D29)</f>
        <v>#NAME?</v>
      </c>
      <c r="E30" s="101" t="e">
        <f ca="1">SUM(E27:E29)</f>
        <v>#NAME?</v>
      </c>
      <c r="F30" s="92"/>
      <c r="G30" s="99">
        <f t="shared" ref="G30:N30" si="9">SUM(G27:G29)</f>
        <v>26505</v>
      </c>
      <c r="H30" s="100">
        <f t="shared" si="9"/>
        <v>0</v>
      </c>
      <c r="I30" s="100">
        <f t="shared" si="9"/>
        <v>0</v>
      </c>
      <c r="J30" s="102">
        <f t="shared" si="9"/>
        <v>26505</v>
      </c>
      <c r="K30" s="100">
        <f t="shared" si="9"/>
        <v>40447</v>
      </c>
      <c r="L30" s="100" t="e">
        <f t="shared" ca="1" si="9"/>
        <v>#NAME?</v>
      </c>
      <c r="M30" s="100" t="e">
        <f t="shared" ca="1" si="9"/>
        <v>#NAME?</v>
      </c>
      <c r="N30" s="101" t="e">
        <f t="shared" ca="1" si="9"/>
        <v>#NAME?</v>
      </c>
      <c r="O30" s="102" t="e">
        <f ca="1">J30-K30-M30-N30-L30</f>
        <v>#NAME?</v>
      </c>
      <c r="P30" s="93"/>
      <c r="Q30" s="99" t="e">
        <f t="shared" ref="Q30:V30" ca="1" si="10">SUM(Q27:Q29)</f>
        <v>#NAME?</v>
      </c>
      <c r="R30" s="100">
        <f t="shared" si="10"/>
        <v>-1704</v>
      </c>
      <c r="S30" s="100" t="e">
        <f t="shared" ca="1" si="10"/>
        <v>#NAME?</v>
      </c>
      <c r="T30" s="100" t="e">
        <f t="shared" ca="1" si="10"/>
        <v>#NAME?</v>
      </c>
      <c r="U30" s="100" t="e">
        <f t="shared" ca="1" si="10"/>
        <v>#NAME?</v>
      </c>
      <c r="V30" s="101" t="e">
        <f t="shared" ca="1" si="10"/>
        <v>#NAME?</v>
      </c>
    </row>
    <row r="31" spans="1:22" ht="3" customHeight="1" x14ac:dyDescent="0.25">
      <c r="A31" s="29"/>
      <c r="B31" s="38"/>
      <c r="C31" s="41"/>
      <c r="D31" s="42"/>
      <c r="E31" s="66"/>
      <c r="F31" s="42"/>
      <c r="G31" s="41"/>
      <c r="H31" s="42"/>
      <c r="I31" s="42"/>
      <c r="J31" s="83"/>
      <c r="K31" s="65"/>
      <c r="L31" s="65"/>
      <c r="M31" s="42"/>
      <c r="N31" s="43"/>
      <c r="O31" s="83"/>
      <c r="P31" s="44"/>
      <c r="Q31" s="41"/>
      <c r="R31" s="42"/>
      <c r="S31" s="42"/>
      <c r="T31" s="42"/>
      <c r="U31" s="42"/>
      <c r="V31" s="66"/>
    </row>
    <row r="32" spans="1:22" ht="12" customHeight="1" x14ac:dyDescent="0.25">
      <c r="A32" s="29" t="s">
        <v>9</v>
      </c>
      <c r="B32" s="38"/>
      <c r="C32" s="41" t="e">
        <f ca="1">GrossMargin!M36</f>
        <v>#NAME?</v>
      </c>
      <c r="D32" s="42" t="e">
        <f ca="1">Expenses!E32+'CapChrg-AllocExp'!E33+'CapChrg-AllocExp'!L33</f>
        <v>#NAME?</v>
      </c>
      <c r="E32" s="66" t="e">
        <f ca="1">C32-D32</f>
        <v>#NAME?</v>
      </c>
      <c r="F32" s="42"/>
      <c r="G32" s="41">
        <f>GrossMargin!I36</f>
        <v>-24822</v>
      </c>
      <c r="H32" s="42">
        <f>GrossMargin!J36</f>
        <v>0</v>
      </c>
      <c r="I32" s="42">
        <f>GrossMargin!K36</f>
        <v>0</v>
      </c>
      <c r="J32" s="83">
        <f>SUM(G32:I32)</f>
        <v>-24822</v>
      </c>
      <c r="K32" s="65"/>
      <c r="L32" s="42">
        <f>'CapChrg-AllocExp'!D33</f>
        <v>704</v>
      </c>
      <c r="M32" s="42">
        <f>Expenses!D32</f>
        <v>838</v>
      </c>
      <c r="N32" s="43" t="e">
        <f ca="1">'CapChrg-AllocExp'!K33</f>
        <v>#NAME?</v>
      </c>
      <c r="O32" s="83" t="e">
        <f ca="1">J32-K32-M32-N32-L32</f>
        <v>#NAME?</v>
      </c>
      <c r="P32" s="44"/>
      <c r="Q32" s="41" t="e">
        <f ca="1">GrossMargin!N36</f>
        <v>#NAME?</v>
      </c>
      <c r="R32" s="42"/>
      <c r="S32" s="42" t="e">
        <f ca="1">'CapChrg-AllocExp'!F33</f>
        <v>#NAME?</v>
      </c>
      <c r="T32" s="42" t="e">
        <f ca="1">Expenses!F32</f>
        <v>#NAME?</v>
      </c>
      <c r="U32" s="42" t="e">
        <f ca="1">'CapChrg-AllocExp'!M33</f>
        <v>#NAME?</v>
      </c>
      <c r="V32" s="66" t="e">
        <f ca="1">ROUND(SUM(Q32:U32),0)</f>
        <v>#NAME?</v>
      </c>
    </row>
    <row r="33" spans="1:22" ht="12" customHeight="1" x14ac:dyDescent="0.25">
      <c r="A33" s="29" t="s">
        <v>151</v>
      </c>
      <c r="B33" s="38"/>
      <c r="C33" s="41">
        <f>GrossMargin!I40+6</f>
        <v>-21385</v>
      </c>
      <c r="D33" s="42" t="e">
        <f ca="1">Expenses!E33+'CapChrg-AllocExp'!E34+'CapChrg-AllocExp'!L34</f>
        <v>#NAME?</v>
      </c>
      <c r="E33" s="66" t="e">
        <f ca="1">C33-D33</f>
        <v>#NAME?</v>
      </c>
      <c r="F33" s="42"/>
      <c r="G33" s="41">
        <f>GrossMargin!I37</f>
        <v>-505</v>
      </c>
      <c r="H33" s="42">
        <f>GrossMargin!J37</f>
        <v>0</v>
      </c>
      <c r="I33" s="42">
        <f>GrossMargin!K37</f>
        <v>0</v>
      </c>
      <c r="J33" s="83">
        <f>SUM(G33:I33)</f>
        <v>-505</v>
      </c>
      <c r="K33" s="65"/>
      <c r="L33" s="42">
        <f>'CapChrg-AllocExp'!D34</f>
        <v>2880</v>
      </c>
      <c r="M33" s="42" t="e">
        <f ca="1">Expenses!D33</f>
        <v>#NAME?</v>
      </c>
      <c r="N33" s="43" t="e">
        <f ca="1">'CapChrg-AllocExp'!K34</f>
        <v>#NAME?</v>
      </c>
      <c r="O33" s="83" t="e">
        <f ca="1">J33-K33-M33-N33-L33</f>
        <v>#NAME?</v>
      </c>
      <c r="P33" s="44"/>
      <c r="Q33" s="41" t="e">
        <f ca="1">GrossMargin!N37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6" t="e">
        <f ca="1">ROUND(SUM(Q33:U33),0)</f>
        <v>#NAME?</v>
      </c>
    </row>
    <row r="34" spans="1:22" ht="12" customHeight="1" x14ac:dyDescent="0.25">
      <c r="A34" s="29" t="s">
        <v>154</v>
      </c>
      <c r="B34" s="38"/>
      <c r="C34" s="41" t="e">
        <f ca="1">GrossMargin!M40</f>
        <v>#NAME?</v>
      </c>
      <c r="D34" s="42" t="e">
        <f ca="1">Expenses!E36+'CapChrg-AllocExp'!E37+'CapChrg-AllocExp'!L37</f>
        <v>#NAME?</v>
      </c>
      <c r="E34" s="66" t="e">
        <f ca="1">C34-D34</f>
        <v>#NAME?</v>
      </c>
      <c r="F34" s="42"/>
      <c r="G34" s="41">
        <f>GrossMargin!I40</f>
        <v>-21391</v>
      </c>
      <c r="H34" s="42">
        <f>GrossMargin!J40</f>
        <v>0</v>
      </c>
      <c r="I34" s="42">
        <f>GrossMargin!K40</f>
        <v>0</v>
      </c>
      <c r="J34" s="83">
        <f>SUM(G34:I34)</f>
        <v>-21391</v>
      </c>
      <c r="K34" s="65"/>
      <c r="L34" s="42">
        <f>'CapChrg-AllocExp'!D37</f>
        <v>7965</v>
      </c>
      <c r="M34" s="42" t="e">
        <f ca="1">Expenses!D36</f>
        <v>#NAME?</v>
      </c>
      <c r="N34" s="43" t="e">
        <f ca="1">'CapChrg-AllocExp'!K37</f>
        <v>#NAME?</v>
      </c>
      <c r="O34" s="83" t="e">
        <f ca="1">J34-K34-M34-N34-L34</f>
        <v>#NAME?</v>
      </c>
      <c r="P34" s="44"/>
      <c r="Q34" s="41" t="e">
        <f ca="1">GrossMargin!N40</f>
        <v>#NAME?</v>
      </c>
      <c r="R34" s="42"/>
      <c r="S34" s="42" t="e">
        <f ca="1">'CapChrg-AllocExp'!F37</f>
        <v>#NAME?</v>
      </c>
      <c r="T34" s="42" t="e">
        <f ca="1">Expenses!F36</f>
        <v>#NAME?</v>
      </c>
      <c r="U34" s="42" t="e">
        <f ca="1">'CapChrg-AllocExp'!M37</f>
        <v>#NAME?</v>
      </c>
      <c r="V34" s="66" t="e">
        <f ca="1">ROUND(SUM(Q34:U34),0)</f>
        <v>#NAME?</v>
      </c>
    </row>
    <row r="35" spans="1:22" s="90" customFormat="1" ht="12" customHeight="1" x14ac:dyDescent="0.25">
      <c r="A35" s="94" t="s">
        <v>87</v>
      </c>
      <c r="B35" s="91"/>
      <c r="C35" s="99" t="e">
        <f ca="1">SUM(C32:C34)</f>
        <v>#NAME?</v>
      </c>
      <c r="D35" s="100" t="e">
        <f ca="1">SUM(D32:D34)</f>
        <v>#NAME?</v>
      </c>
      <c r="E35" s="101" t="e">
        <f ca="1">SUM(E32:E34)</f>
        <v>#NAME?</v>
      </c>
      <c r="F35" s="92"/>
      <c r="G35" s="99">
        <f t="shared" ref="G35:N35" si="11">SUM(G32:G34)</f>
        <v>-46718</v>
      </c>
      <c r="H35" s="100">
        <f t="shared" si="11"/>
        <v>0</v>
      </c>
      <c r="I35" s="100">
        <f t="shared" si="11"/>
        <v>0</v>
      </c>
      <c r="J35" s="102">
        <f t="shared" si="11"/>
        <v>-46718</v>
      </c>
      <c r="K35" s="100">
        <f t="shared" si="11"/>
        <v>0</v>
      </c>
      <c r="L35" s="100">
        <f t="shared" si="11"/>
        <v>11549</v>
      </c>
      <c r="M35" s="100" t="e">
        <f t="shared" ca="1" si="11"/>
        <v>#NAME?</v>
      </c>
      <c r="N35" s="101" t="e">
        <f t="shared" ca="1" si="11"/>
        <v>#NAME?</v>
      </c>
      <c r="O35" s="102" t="e">
        <f ca="1">J35-K35-M35-N35-L35</f>
        <v>#NAME?</v>
      </c>
      <c r="P35" s="93"/>
      <c r="Q35" s="99" t="e">
        <f t="shared" ref="Q35:V35" ca="1" si="12">SUM(Q32:Q34)</f>
        <v>#NAME?</v>
      </c>
      <c r="R35" s="100">
        <f t="shared" si="12"/>
        <v>0</v>
      </c>
      <c r="S35" s="100" t="e">
        <f t="shared" ca="1" si="12"/>
        <v>#NAME?</v>
      </c>
      <c r="T35" s="100" t="e">
        <f t="shared" ca="1" si="12"/>
        <v>#NAME?</v>
      </c>
      <c r="U35" s="100" t="e">
        <f t="shared" ca="1" si="12"/>
        <v>#NAME?</v>
      </c>
      <c r="V35" s="101" t="e">
        <f t="shared" ca="1" si="12"/>
        <v>#NAME?</v>
      </c>
    </row>
    <row r="36" spans="1:22" ht="3" customHeight="1" x14ac:dyDescent="0.25">
      <c r="A36" s="29"/>
      <c r="B36" s="38"/>
      <c r="C36" s="41"/>
      <c r="D36" s="42"/>
      <c r="E36" s="66"/>
      <c r="F36" s="42"/>
      <c r="G36" s="41"/>
      <c r="H36" s="42"/>
      <c r="I36" s="42"/>
      <c r="J36" s="83"/>
      <c r="K36" s="65"/>
      <c r="L36" s="65"/>
      <c r="M36" s="42"/>
      <c r="N36" s="43"/>
      <c r="O36" s="83"/>
      <c r="P36" s="44"/>
      <c r="Q36" s="41"/>
      <c r="R36" s="42"/>
      <c r="S36" s="42"/>
      <c r="T36" s="42"/>
      <c r="U36" s="42"/>
      <c r="V36" s="66"/>
    </row>
    <row r="37" spans="1:22" ht="12" customHeight="1" x14ac:dyDescent="0.25">
      <c r="A37" s="29" t="s">
        <v>8</v>
      </c>
      <c r="B37" s="38"/>
      <c r="C37" s="41" t="e">
        <f ca="1">GrossMargin!M44</f>
        <v>#NAME?</v>
      </c>
      <c r="D37" s="42" t="e">
        <f ca="1">Expenses!E39+'CapChrg-AllocExp'!E40+'CapChrg-AllocExp'!L40</f>
        <v>#NAME?</v>
      </c>
      <c r="E37" s="66" t="e">
        <f ca="1">C37-D37</f>
        <v>#NAME?</v>
      </c>
      <c r="F37" s="42"/>
      <c r="G37" s="41">
        <f>GrossMargin!I44</f>
        <v>0</v>
      </c>
      <c r="H37" s="42">
        <f>GrossMargin!J44</f>
        <v>0</v>
      </c>
      <c r="I37" s="42">
        <f>GrossMargin!K44</f>
        <v>0</v>
      </c>
      <c r="J37" s="83">
        <f>SUM(G37:I37)</f>
        <v>0</v>
      </c>
      <c r="K37" s="65"/>
      <c r="L37" s="42" t="e">
        <f ca="1">'CapChrg-AllocExp'!D40</f>
        <v>#NAME?</v>
      </c>
      <c r="M37" s="42" t="e">
        <f ca="1">Expenses!D39</f>
        <v>#NAME?</v>
      </c>
      <c r="N37" s="43" t="e">
        <f ca="1">'CapChrg-AllocExp'!K40</f>
        <v>#NAME?</v>
      </c>
      <c r="O37" s="83" t="e">
        <f ca="1">J37-K37-M37-N37-L37</f>
        <v>#NAME?</v>
      </c>
      <c r="P37" s="44"/>
      <c r="Q37" s="41" t="e">
        <f ca="1">GrossMargin!N44</f>
        <v>#NAME?</v>
      </c>
      <c r="R37" s="42"/>
      <c r="S37" s="42" t="e">
        <f ca="1">'CapChrg-AllocExp'!F40</f>
        <v>#NAME?</v>
      </c>
      <c r="T37" s="42" t="e">
        <f ca="1">Expenses!F39</f>
        <v>#NAME?</v>
      </c>
      <c r="U37" s="42" t="e">
        <f ca="1">'CapChrg-AllocExp'!M40</f>
        <v>#NAME?</v>
      </c>
      <c r="V37" s="66" t="e">
        <f ca="1">ROUND(SUM(Q37:U37),0)</f>
        <v>#NAME?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19</v>
      </c>
      <c r="B39" s="38"/>
      <c r="C39" s="41">
        <f>GrossMargin!M50</f>
        <v>38074</v>
      </c>
      <c r="D39" s="42"/>
      <c r="E39" s="66">
        <f>C39-D39</f>
        <v>38074</v>
      </c>
      <c r="F39" s="42"/>
      <c r="G39" s="41">
        <f>GrossMargin!I50</f>
        <v>0</v>
      </c>
      <c r="H39" s="42"/>
      <c r="I39" s="42">
        <f>GrossMargin!K50</f>
        <v>0</v>
      </c>
      <c r="J39" s="83">
        <f>SUM(G39:I39)</f>
        <v>0</v>
      </c>
      <c r="K39" s="65"/>
      <c r="L39" s="42"/>
      <c r="M39" s="42"/>
      <c r="N39" s="43"/>
      <c r="O39" s="83">
        <f>J39-K39-M39-N39-L39</f>
        <v>0</v>
      </c>
      <c r="P39" s="44"/>
      <c r="Q39" s="41">
        <f>GrossMargin!N50</f>
        <v>-38074</v>
      </c>
      <c r="R39" s="42"/>
      <c r="S39" s="42"/>
      <c r="T39" s="42">
        <v>0</v>
      </c>
      <c r="U39" s="42"/>
      <c r="V39" s="66">
        <f>ROUND(SUM(Q39:U39),0)</f>
        <v>-38074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7</v>
      </c>
      <c r="B41" s="38"/>
      <c r="C41" s="41">
        <f>GrossMargin!M46</f>
        <v>0</v>
      </c>
      <c r="D41" s="42" t="e">
        <f ca="1">Expenses!E41+'CapChrg-AllocExp'!E42+'CapChrg-AllocExp'!L42</f>
        <v>#NAME?</v>
      </c>
      <c r="E41" s="66" t="e">
        <f ca="1">C41-D41</f>
        <v>#NAME?</v>
      </c>
      <c r="F41" s="42"/>
      <c r="G41" s="41">
        <f>GrossMargin!I46</f>
        <v>0</v>
      </c>
      <c r="H41" s="42">
        <f>GrossMargin!J46</f>
        <v>0</v>
      </c>
      <c r="I41" s="42">
        <f>GrossMargin!K46</f>
        <v>0</v>
      </c>
      <c r="J41" s="83">
        <f>SUM(G41:I41)</f>
        <v>0</v>
      </c>
      <c r="K41" s="65"/>
      <c r="L41" s="42" t="e">
        <f ca="1">'CapChrg-AllocExp'!D42</f>
        <v>#NAME?</v>
      </c>
      <c r="M41" s="42">
        <f>Expenses!D41</f>
        <v>2930</v>
      </c>
      <c r="N41" s="43" t="e">
        <f ca="1">'CapChrg-AllocExp'!K42</f>
        <v>#NAME?</v>
      </c>
      <c r="O41" s="83" t="e">
        <f ca="1">J41-K41-M41-N41-L41</f>
        <v>#NAME?</v>
      </c>
      <c r="P41" s="44"/>
      <c r="Q41" s="41">
        <f>GrossMargin!N46</f>
        <v>0</v>
      </c>
      <c r="R41" s="42"/>
      <c r="S41" s="42" t="e">
        <f ca="1">'CapChrg-AllocExp'!F42</f>
        <v>#NAME?</v>
      </c>
      <c r="T41" s="42" t="e">
        <f ca="1">Expenses!F41</f>
        <v>#NAME?</v>
      </c>
      <c r="U41" s="42" t="e">
        <f ca="1">'CapChrg-AllocExp'!M42</f>
        <v>#NAME?</v>
      </c>
      <c r="V41" s="66" t="e">
        <f ca="1">ROUND(SUM(Q41:U41),0)</f>
        <v>#NAME?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s="90" customFormat="1" ht="12" customHeight="1" x14ac:dyDescent="0.25">
      <c r="A43" s="94" t="s">
        <v>10</v>
      </c>
      <c r="B43" s="91"/>
      <c r="C43" s="99" t="e">
        <f ca="1">SUM(C35:C41)+C18+C25+C30</f>
        <v>#NAME?</v>
      </c>
      <c r="D43" s="100" t="e">
        <f ca="1">SUM(D35:D41)+D18+D25+D30</f>
        <v>#NAME?</v>
      </c>
      <c r="E43" s="101" t="e">
        <f ca="1">SUM(E35:E41)+E18+E25+E30</f>
        <v>#NAME?</v>
      </c>
      <c r="F43" s="92"/>
      <c r="G43" s="99">
        <f t="shared" ref="G43:N43" si="13">SUM(G35:G41)+G18+G25+G30</f>
        <v>-733</v>
      </c>
      <c r="H43" s="100">
        <f t="shared" si="13"/>
        <v>0</v>
      </c>
      <c r="I43" s="100">
        <f t="shared" si="13"/>
        <v>0</v>
      </c>
      <c r="J43" s="102">
        <f t="shared" si="13"/>
        <v>-733</v>
      </c>
      <c r="K43" s="100">
        <f t="shared" si="13"/>
        <v>48653</v>
      </c>
      <c r="L43" s="100" t="e">
        <f t="shared" ca="1" si="13"/>
        <v>#NAME?</v>
      </c>
      <c r="M43" s="100" t="e">
        <f t="shared" ca="1" si="13"/>
        <v>#NAME?</v>
      </c>
      <c r="N43" s="101" t="e">
        <f t="shared" ca="1" si="13"/>
        <v>#NAME?</v>
      </c>
      <c r="O43" s="102" t="e">
        <f ca="1">J43-K43-M43-N43-L43</f>
        <v>#NAME?</v>
      </c>
      <c r="P43" s="93"/>
      <c r="Q43" s="99" t="e">
        <f t="shared" ref="Q43:V43" ca="1" si="14">SUM(Q35:Q41)+Q18+Q25+Q30</f>
        <v>#NAME?</v>
      </c>
      <c r="R43" s="100">
        <f t="shared" si="14"/>
        <v>-1121</v>
      </c>
      <c r="S43" s="100" t="e">
        <f t="shared" ca="1" si="14"/>
        <v>#NAME?</v>
      </c>
      <c r="T43" s="100" t="e">
        <f t="shared" ca="1" si="14"/>
        <v>#NAME?</v>
      </c>
      <c r="U43" s="100" t="e">
        <f t="shared" ca="1" si="14"/>
        <v>#NAME?</v>
      </c>
      <c r="V43" s="101" t="e">
        <f t="shared" ca="1" si="14"/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ht="12" customHeight="1" x14ac:dyDescent="0.25">
      <c r="A45" s="29" t="s">
        <v>48</v>
      </c>
      <c r="B45" s="38"/>
      <c r="C45" s="41"/>
      <c r="D45" s="42" t="e">
        <f ca="1">Expenses!E45+'CapChrg-AllocExp'!E48+'CapChrg-AllocExp'!L48</f>
        <v>#NAME?</v>
      </c>
      <c r="E45" s="66" t="e">
        <f ca="1">C45-D45</f>
        <v>#NAME?</v>
      </c>
      <c r="F45" s="42"/>
      <c r="G45" s="41"/>
      <c r="H45" s="42"/>
      <c r="I45" s="42"/>
      <c r="J45" s="83"/>
      <c r="K45" s="65"/>
      <c r="L45" s="42"/>
      <c r="M45" s="42" t="e">
        <f ca="1">Expenses!D45</f>
        <v>#NAME?</v>
      </c>
      <c r="N45" s="43" t="e">
        <f ca="1">'CapChrg-AllocExp'!K48</f>
        <v>#NAME?</v>
      </c>
      <c r="O45" s="83" t="e">
        <f ca="1">J45-K45-M45-N45-L45</f>
        <v>#NAME?</v>
      </c>
      <c r="P45" s="44"/>
      <c r="Q45" s="41">
        <v>0</v>
      </c>
      <c r="R45" s="42"/>
      <c r="S45" s="42"/>
      <c r="T45" s="42" t="e">
        <f ca="1">Expenses!F45</f>
        <v>#NAME?</v>
      </c>
      <c r="U45" s="42" t="e">
        <f ca="1">'CapChrg-AllocExp'!M48</f>
        <v>#NAME?</v>
      </c>
      <c r="V45" s="66" t="e">
        <f ca="1">ROUND(SUM(Q45:U45),0)</f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18</v>
      </c>
      <c r="B47" s="38"/>
      <c r="C47" s="41" t="e">
        <f ca="1">GrossMargin!M48</f>
        <v>#NAME?</v>
      </c>
      <c r="D47" s="42" t="e">
        <f ca="1">Expenses!E47</f>
        <v>#NAME?</v>
      </c>
      <c r="E47" s="66" t="e">
        <f ca="1">C47-D47</f>
        <v>#NAME?</v>
      </c>
      <c r="F47" s="65"/>
      <c r="G47" s="41">
        <f>GrossMargin!I48</f>
        <v>-19367</v>
      </c>
      <c r="H47" s="42">
        <f>GrossMargin!J48</f>
        <v>0</v>
      </c>
      <c r="I47" s="42">
        <f>GrossMargin!K48</f>
        <v>0</v>
      </c>
      <c r="J47" s="83">
        <f>SUM(G47:I47)</f>
        <v>-19367</v>
      </c>
      <c r="K47" s="65"/>
      <c r="L47" s="42"/>
      <c r="M47" s="42" t="e">
        <f ca="1">Expenses!D47</f>
        <v>#NAME?</v>
      </c>
      <c r="N47" s="43"/>
      <c r="O47" s="83" t="e">
        <f ca="1">J47-K47-M47-N47-L47</f>
        <v>#NAME?</v>
      </c>
      <c r="P47" s="44"/>
      <c r="Q47" s="41" t="e">
        <f ca="1">GrossMargin!N48</f>
        <v>#NAME?</v>
      </c>
      <c r="R47" s="42"/>
      <c r="S47" s="42"/>
      <c r="T47" s="42" t="e">
        <f ca="1">Expenses!F47</f>
        <v>#NAME?</v>
      </c>
      <c r="U47" s="42"/>
      <c r="V47" s="66" t="e">
        <f ca="1">ROUND(SUM(Q47:U47),0)</f>
        <v>#NAME?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60</v>
      </c>
      <c r="B49" s="38"/>
      <c r="C49" s="41"/>
      <c r="D49" s="42" t="e">
        <f ca="1">'CapChrg-AllocExp'!E44</f>
        <v>#NAME?</v>
      </c>
      <c r="E49" s="66" t="e">
        <f ca="1">C49-D49</f>
        <v>#NAME?</v>
      </c>
      <c r="F49" s="42"/>
      <c r="G49" s="41"/>
      <c r="H49" s="42"/>
      <c r="I49" s="42"/>
      <c r="J49" s="83">
        <f>SUM(G49:I49)</f>
        <v>0</v>
      </c>
      <c r="K49" s="65"/>
      <c r="L49" s="42" t="e">
        <f ca="1">'CapChrg-AllocExp'!D44</f>
        <v>#NAME?</v>
      </c>
      <c r="M49" s="42"/>
      <c r="N49" s="43"/>
      <c r="O49" s="83" t="e">
        <f ca="1">J49-K49-M49-N49-L49</f>
        <v>#NAME?</v>
      </c>
      <c r="P49" s="44"/>
      <c r="Q49" s="41"/>
      <c r="R49" s="42"/>
      <c r="S49" s="42" t="e">
        <f ca="1">'CapChrg-AllocExp'!F44</f>
        <v>#NAME?</v>
      </c>
      <c r="T49" s="42"/>
      <c r="U49" s="42"/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>
        <f>ROUND(SUM(Q50:U50),0)</f>
        <v>0</v>
      </c>
    </row>
    <row r="51" spans="1:22" s="90" customFormat="1" ht="12" customHeight="1" x14ac:dyDescent="0.25">
      <c r="A51" s="94" t="s">
        <v>65</v>
      </c>
      <c r="B51" s="91"/>
      <c r="C51" s="99" t="e">
        <f ca="1">SUM(C43:C50)</f>
        <v>#NAME?</v>
      </c>
      <c r="D51" s="100" t="e">
        <f ca="1">SUM(D43:D50)</f>
        <v>#NAME?</v>
      </c>
      <c r="E51" s="101" t="e">
        <f ca="1">SUM(E43:E50)</f>
        <v>#NAME?</v>
      </c>
      <c r="F51" s="92"/>
      <c r="G51" s="99">
        <f t="shared" ref="G51:N51" si="15">SUM(G43:G50)</f>
        <v>-20100</v>
      </c>
      <c r="H51" s="100">
        <f t="shared" si="15"/>
        <v>0</v>
      </c>
      <c r="I51" s="100">
        <f t="shared" si="15"/>
        <v>0</v>
      </c>
      <c r="J51" s="102">
        <f t="shared" si="15"/>
        <v>-20100</v>
      </c>
      <c r="K51" s="100">
        <f t="shared" si="15"/>
        <v>48653</v>
      </c>
      <c r="L51" s="100" t="e">
        <f t="shared" ca="1" si="15"/>
        <v>#NAME?</v>
      </c>
      <c r="M51" s="100" t="e">
        <f t="shared" ca="1" si="15"/>
        <v>#NAME?</v>
      </c>
      <c r="N51" s="101" t="e">
        <f t="shared" ca="1" si="15"/>
        <v>#NAME?</v>
      </c>
      <c r="O51" s="102" t="e">
        <f ca="1">J51-K51-M51-N51-L51</f>
        <v>#NAME?</v>
      </c>
      <c r="P51" s="93"/>
      <c r="Q51" s="99" t="e">
        <f t="shared" ref="Q51:V51" ca="1" si="16">SUM(Q43:Q50)</f>
        <v>#NAME?</v>
      </c>
      <c r="R51" s="100">
        <f t="shared" si="16"/>
        <v>-1121</v>
      </c>
      <c r="S51" s="100" t="e">
        <f t="shared" ca="1" si="16"/>
        <v>#NAME?</v>
      </c>
      <c r="T51" s="100" t="e">
        <f t="shared" ca="1" si="16"/>
        <v>#NAME?</v>
      </c>
      <c r="U51" s="100" t="e">
        <f t="shared" ca="1" si="16"/>
        <v>#NAME?</v>
      </c>
      <c r="V51" s="101" t="e">
        <f t="shared" ca="1" si="16"/>
        <v>#NAME?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150</v>
      </c>
      <c r="B53" s="38"/>
      <c r="C53" s="41"/>
      <c r="D53" s="42">
        <v>8600</v>
      </c>
      <c r="E53" s="66">
        <f>C53-D53</f>
        <v>-8600</v>
      </c>
      <c r="F53" s="42"/>
      <c r="G53" s="41"/>
      <c r="H53" s="42"/>
      <c r="I53" s="42"/>
      <c r="J53" s="83"/>
      <c r="K53" s="65"/>
      <c r="L53" s="65"/>
      <c r="M53" s="42">
        <v>8600</v>
      </c>
      <c r="N53" s="43"/>
      <c r="O53" s="83">
        <f>J53-K53-M53-N53-L53</f>
        <v>-8600</v>
      </c>
      <c r="P53" s="44"/>
      <c r="Q53" s="41"/>
      <c r="R53" s="42"/>
      <c r="S53" s="42"/>
      <c r="T53" s="42">
        <f>D53-M53</f>
        <v>0</v>
      </c>
      <c r="U53" s="42"/>
      <c r="V53" s="66">
        <f>ROUND(SUM(Q53:U53),0)</f>
        <v>0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s="90" customFormat="1" ht="12" customHeight="1" x14ac:dyDescent="0.25">
      <c r="A55" s="94" t="s">
        <v>66</v>
      </c>
      <c r="B55" s="91"/>
      <c r="C55" s="95" t="e">
        <f ca="1">SUM(C51:C53)</f>
        <v>#NAME?</v>
      </c>
      <c r="D55" s="96" t="e">
        <f ca="1">SUM(D51:D53)</f>
        <v>#NAME?</v>
      </c>
      <c r="E55" s="97" t="e">
        <f ca="1">SUM(E51:E53)</f>
        <v>#NAME?</v>
      </c>
      <c r="F55" s="92"/>
      <c r="G55" s="95">
        <f t="shared" ref="G55:V55" si="17">SUM(G51:G53)</f>
        <v>-20100</v>
      </c>
      <c r="H55" s="96">
        <f t="shared" si="17"/>
        <v>0</v>
      </c>
      <c r="I55" s="96">
        <f t="shared" si="17"/>
        <v>0</v>
      </c>
      <c r="J55" s="98">
        <f t="shared" si="17"/>
        <v>-20100</v>
      </c>
      <c r="K55" s="96">
        <f t="shared" si="17"/>
        <v>48653</v>
      </c>
      <c r="L55" s="96" t="e">
        <f t="shared" ca="1" si="17"/>
        <v>#NAME?</v>
      </c>
      <c r="M55" s="96" t="e">
        <f t="shared" ca="1" si="17"/>
        <v>#NAME?</v>
      </c>
      <c r="N55" s="97" t="e">
        <f t="shared" ca="1" si="17"/>
        <v>#NAME?</v>
      </c>
      <c r="O55" s="98" t="e">
        <f ca="1">J55-K55-M55-N55-L55</f>
        <v>#NAME?</v>
      </c>
      <c r="P55" s="93"/>
      <c r="Q55" s="95" t="e">
        <f t="shared" ca="1" si="17"/>
        <v>#NAME?</v>
      </c>
      <c r="R55" s="96">
        <f t="shared" si="17"/>
        <v>-1121</v>
      </c>
      <c r="S55" s="96" t="e">
        <f t="shared" ca="1" si="17"/>
        <v>#NAME?</v>
      </c>
      <c r="T55" s="96" t="e">
        <f t="shared" ca="1" si="17"/>
        <v>#NAME?</v>
      </c>
      <c r="U55" s="96" t="e">
        <f t="shared" ca="1" si="17"/>
        <v>#NAME?</v>
      </c>
      <c r="V55" s="97" t="e">
        <f t="shared" ca="1" si="17"/>
        <v>#NAME?</v>
      </c>
    </row>
    <row r="56" spans="1:22" s="38" customFormat="1" ht="3" customHeight="1" x14ac:dyDescent="0.25">
      <c r="A56" s="48"/>
      <c r="B56" s="36"/>
      <c r="C56" s="49"/>
      <c r="D56" s="50"/>
      <c r="E56" s="51"/>
      <c r="F56" s="42"/>
      <c r="G56" s="52"/>
      <c r="H56" s="53"/>
      <c r="I56" s="53"/>
      <c r="J56" s="48"/>
      <c r="K56" s="53"/>
      <c r="L56" s="53"/>
      <c r="M56" s="53"/>
      <c r="N56" s="54"/>
      <c r="O56" s="48"/>
      <c r="Q56" s="52"/>
      <c r="R56" s="53"/>
      <c r="S56" s="53"/>
      <c r="T56" s="53"/>
      <c r="U56" s="53"/>
      <c r="V56" s="54"/>
    </row>
    <row r="57" spans="1:22" ht="13.5" x14ac:dyDescent="0.25">
      <c r="A57" s="185"/>
      <c r="C57" s="186"/>
      <c r="D57" s="44"/>
      <c r="E57" s="185" t="s">
        <v>136</v>
      </c>
      <c r="F57" s="44"/>
      <c r="G57" s="191">
        <f>'GM-WklyChnge'!D51</f>
        <v>-30391</v>
      </c>
    </row>
    <row r="58" spans="1:22" ht="6" customHeight="1" x14ac:dyDescent="0.25">
      <c r="C58" s="44"/>
      <c r="D58" s="44"/>
      <c r="E58" s="44"/>
      <c r="F58" s="44"/>
    </row>
    <row r="59" spans="1:22" x14ac:dyDescent="0.25">
      <c r="A59" s="177" t="s">
        <v>149</v>
      </c>
      <c r="C59" s="44"/>
      <c r="D59" s="44"/>
      <c r="E59" s="44"/>
      <c r="F59" s="44"/>
    </row>
    <row r="60" spans="1:22" x14ac:dyDescent="0.25">
      <c r="C60" s="44"/>
      <c r="D60" s="44"/>
      <c r="E60" s="44"/>
      <c r="F60" s="44"/>
    </row>
    <row r="61" spans="1:22" x14ac:dyDescent="0.25">
      <c r="C61" s="44"/>
      <c r="D61" s="44"/>
      <c r="E61" s="44"/>
      <c r="F61" s="44"/>
    </row>
    <row r="62" spans="1:22" x14ac:dyDescent="0.25">
      <c r="C62" s="44"/>
      <c r="D62" s="44"/>
      <c r="E62" s="44"/>
      <c r="F62" s="44"/>
    </row>
    <row r="63" spans="1:22" x14ac:dyDescent="0.25"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1:6" x14ac:dyDescent="0.25"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</row>
    <row r="68" spans="1:6" x14ac:dyDescent="0.25">
      <c r="C68" s="44"/>
      <c r="D68" s="44"/>
      <c r="E68" s="44"/>
    </row>
    <row r="69" spans="1:6" x14ac:dyDescent="0.25">
      <c r="C69" s="44"/>
      <c r="D69" s="44"/>
      <c r="E69" s="44"/>
    </row>
    <row r="70" spans="1:6" x14ac:dyDescent="0.25">
      <c r="C70" s="44"/>
      <c r="D70" s="44"/>
      <c r="E70" s="44"/>
    </row>
    <row r="71" spans="1:6" x14ac:dyDescent="0.25">
      <c r="C71" s="44"/>
      <c r="D71" s="44"/>
      <c r="E71" s="44"/>
    </row>
    <row r="72" spans="1:6" x14ac:dyDescent="0.25">
      <c r="C72" s="44"/>
      <c r="D72" s="44"/>
      <c r="E72" s="44"/>
    </row>
    <row r="73" spans="1:6" hidden="1" x14ac:dyDescent="0.25">
      <c r="C73" s="44"/>
      <c r="D73" s="44"/>
      <c r="E73" s="44"/>
      <c r="F73" s="44"/>
    </row>
    <row r="74" spans="1:6" hidden="1" x14ac:dyDescent="0.25">
      <c r="A74" s="44"/>
    </row>
    <row r="75" spans="1:6" hidden="1" x14ac:dyDescent="0.25">
      <c r="A75" s="44"/>
    </row>
    <row r="76" spans="1:6" hidden="1" x14ac:dyDescent="0.25">
      <c r="A76" s="44"/>
    </row>
    <row r="77" spans="1:6" hidden="1" x14ac:dyDescent="0.25">
      <c r="A77" s="44"/>
    </row>
    <row r="78" spans="1:6" hidden="1" x14ac:dyDescent="0.25">
      <c r="A78" s="44"/>
    </row>
    <row r="79" spans="1:6" hidden="1" x14ac:dyDescent="0.25">
      <c r="A79" s="44"/>
    </row>
    <row r="80" spans="1:6" hidden="1" x14ac:dyDescent="0.25">
      <c r="C80" s="44"/>
      <c r="D80" s="44"/>
      <c r="E80" s="44"/>
      <c r="F80" s="44"/>
    </row>
    <row r="81" spans="3:6" hidden="1" x14ac:dyDescent="0.25">
      <c r="C81" s="44"/>
      <c r="D81" s="44"/>
      <c r="E81" s="44"/>
      <c r="F81" s="44"/>
    </row>
    <row r="82" spans="3:6" hidden="1" x14ac:dyDescent="0.25"/>
    <row r="83" spans="3:6" hidden="1" x14ac:dyDescent="0.25"/>
    <row r="84" spans="3:6" hidden="1" x14ac:dyDescent="0.25"/>
    <row r="85" spans="3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3" t="s">
        <v>159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4" t="s">
        <v>160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15" t="s">
        <v>15</v>
      </c>
      <c r="D5" s="316"/>
      <c r="E5" s="317"/>
      <c r="G5" s="315" t="s">
        <v>72</v>
      </c>
      <c r="H5" s="316"/>
      <c r="I5" s="316"/>
      <c r="J5" s="316"/>
      <c r="K5" s="316"/>
      <c r="L5" s="316"/>
      <c r="M5" s="316"/>
      <c r="N5" s="316"/>
      <c r="O5" s="317"/>
      <c r="Q5" s="315" t="s">
        <v>61</v>
      </c>
      <c r="R5" s="316"/>
      <c r="S5" s="316"/>
      <c r="T5" s="316"/>
      <c r="U5" s="316"/>
      <c r="V5" s="317"/>
      <c r="X5" s="25" t="s">
        <v>125</v>
      </c>
      <c r="Y5" s="315" t="s">
        <v>169</v>
      </c>
      <c r="Z5" s="316"/>
      <c r="AA5" s="316"/>
      <c r="AB5" s="316"/>
      <c r="AC5" s="317"/>
      <c r="AE5" s="315" t="s">
        <v>169</v>
      </c>
      <c r="AF5" s="316"/>
      <c r="AG5" s="316"/>
      <c r="AH5" s="316"/>
      <c r="AI5" s="317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 t="e">
        <f ca="1">Y9</f>
        <v>#NAME?</v>
      </c>
      <c r="D9" s="60" t="e">
        <f ca="1">SUM(Z9:AC9)</f>
        <v>#NAME?</v>
      </c>
      <c r="E9" s="66" t="e">
        <f ca="1">C9-D9</f>
        <v>#NAME?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 t="e">
        <f ca="1">_xll.HPVAL($X9,$X$1,Y$1,$X$2,$X$3,$X$5)/1000</f>
        <v>#NAME?</v>
      </c>
      <c r="AA9" s="44" t="e">
        <f ca="1">_xll.HPVAL($X9,$X$1,AA$1,$X$2,$X$3,$X$5)/1000</f>
        <v>#NAME?</v>
      </c>
      <c r="AB9" s="44" t="e">
        <f ca="1">_xll.HPVAL($X9,$X$1,AB$1,$X$2,$X$3,$X$5)/1000</f>
        <v>#NAME?</v>
      </c>
      <c r="AC9" s="44" t="e">
        <f ca="1">_xll.HPVAL($X9,$X$1,AC$1,$X$2,$X$3,$X$5)/1000</f>
        <v>#NAME?</v>
      </c>
      <c r="AE9" s="44" t="e">
        <f ca="1">_xll.HPVAL($X9,$AE$2,AE$1,$AF$2,$X$3,$X$5)/1000</f>
        <v>#NAME?</v>
      </c>
      <c r="AG9" s="44" t="e">
        <f ca="1">_xll.HPVAL($X9,$AE$2,AG$1,$AF$2,$X$3,$X$5)/1000</f>
        <v>#NAME?</v>
      </c>
      <c r="AH9" s="44" t="e">
        <f ca="1">_xll.HPVAL($X9,$AE$2,AH$1,$AF$2,$X$3,$X$5)/1000</f>
        <v>#NAME?</v>
      </c>
      <c r="AI9" s="44" t="e">
        <f ca="1">_xll.HPVAL($X9,$AE$2,AI$1,$AF$2,$X$3,$X$5)/1000</f>
        <v>#NAME?</v>
      </c>
    </row>
    <row r="10" spans="1:35" ht="12" customHeight="1" x14ac:dyDescent="0.25">
      <c r="A10" s="29" t="s">
        <v>106</v>
      </c>
      <c r="B10" s="38"/>
      <c r="C10" s="41" t="e">
        <f t="shared" ref="C10:C18" ca="1" si="3">Y10</f>
        <v>#NAME?</v>
      </c>
      <c r="D10" s="42" t="e">
        <f t="shared" ref="D10:D18" ca="1" si="4">SUM(Z10:AC10)</f>
        <v>#NAME?</v>
      </c>
      <c r="E10" s="66" t="e">
        <f t="shared" ref="E10:E18" ca="1" si="5">C10-D10</f>
        <v>#NAME?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 t="e">
        <f ca="1">_xll.HPVAL($X10,$X$1,Y$1,$X$2,$X$3,$X$5)/1000-_xll.HPVAL("gencos",$X$1,Y$1,$X$2,$X$3,$X$5)/1000</f>
        <v>#NAME?</v>
      </c>
      <c r="AA10" s="44" t="e">
        <f ca="1">_xll.HPVAL($X10,$X$1,AA$1,$X$2,$X$3,$X$5)/1000-AA29</f>
        <v>#NAME?</v>
      </c>
      <c r="AB10" s="44" t="e">
        <f ca="1">_xll.HPVAL($X10,$X$1,AB$1,$X$2,$X$3,$X$5)/1000-AB29</f>
        <v>#NAME?</v>
      </c>
      <c r="AC10" s="44" t="e">
        <f ca="1">_xll.HPVAL($X10,$X$1,AC$1,$X$2,$X$3,$X$5)/1000-AC29</f>
        <v>#NAME?</v>
      </c>
      <c r="AE10" s="44" t="e">
        <f ca="1">_xll.HPVAL($X10,$AE$2,AE$1,$AF$2,$X$3,$X$5)/1000-_xll.HPVAL("gencos",$AE$2,AE$1,$AF$2,$X$3,$X$5)/1000</f>
        <v>#NAME?</v>
      </c>
      <c r="AG10" s="44" t="e">
        <f ca="1">_xll.HPVAL($X10,$AE$2,AG$1,$AF$2,$X$3,$X$5)/1000-AG29</f>
        <v>#NAME?</v>
      </c>
      <c r="AH10" s="44" t="e">
        <f ca="1">_xll.HPVAL($X10,$AE$2,AH$1,$AF$2,$X$3,$X$5)/1000-AH29</f>
        <v>#NAME?</v>
      </c>
      <c r="AI10" s="44" t="e">
        <f ca="1">_xll.HPVAL($X10,$AE$2,AI$1,$AF$2,$X$3,$X$5)/1000-AI29</f>
        <v>#NAME?</v>
      </c>
    </row>
    <row r="11" spans="1:35" ht="12" customHeight="1" x14ac:dyDescent="0.25">
      <c r="A11" s="29" t="s">
        <v>132</v>
      </c>
      <c r="B11" s="38"/>
      <c r="C11" s="41" t="e">
        <f t="shared" ca="1" si="3"/>
        <v>#NAME?</v>
      </c>
      <c r="D11" s="42" t="e">
        <f t="shared" ca="1" si="4"/>
        <v>#NAME?</v>
      </c>
      <c r="E11" s="66" t="e">
        <f t="shared" ca="1" si="5"/>
        <v>#NAME?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 t="e">
        <f ca="1">_xll.HPVAL($X11,$X$1,"other",$X$2,$X$3,$X$5)/1000+_xll.HPVAL($X11,$X$1,"overview",$X$2,$X$3,$X$5)/1000</f>
        <v>#NAME?</v>
      </c>
      <c r="AA11" s="44" t="e">
        <f ca="1">_xll.HPVAL($X11,$X$1,AA$1,$X$2,$X$3,$X$5)/1000</f>
        <v>#NAME?</v>
      </c>
      <c r="AB11" s="44" t="e">
        <f ca="1">_xll.HPVAL($X11,$X$1,AB$1,$X$2,$X$3,$X$5)/1000*0.8577</f>
        <v>#NAME?</v>
      </c>
      <c r="AC11" s="44" t="e">
        <f ca="1">_xll.HPVAL($X11,$X$1,AC$1,$X$2,$X$3,$X$5)/1000*0.8577</f>
        <v>#NAME?</v>
      </c>
      <c r="AE11" s="44" t="e">
        <f ca="1">_xll.HPVAL($X11,$AE$2,"other",$AF$2,$X$3,$X$5)/1000+_xll.HPVAL($X11,$AE$2,"overview",$AF$2,$X$3,$X$5)/1000</f>
        <v>#NAME?</v>
      </c>
      <c r="AG11" s="44" t="e">
        <f ca="1">_xll.HPVAL($X11,$AE$2,AG$1,$AF$2,$X$3,$X$5)/1000</f>
        <v>#NAME?</v>
      </c>
      <c r="AH11" s="44" t="e">
        <f ca="1">_xll.HPVAL($X11,$AE$2,AH$1,$AF$2,$X$3,$X$5)/1000*0.8577</f>
        <v>#NAME?</v>
      </c>
      <c r="AI11" s="44" t="e">
        <f ca="1">_xll.HPVAL($X11,$AE$2,AI$1,$AF$2,$X$3,$X$5)/1000*0.8577</f>
        <v>#NAME?</v>
      </c>
    </row>
    <row r="12" spans="1:35" ht="12" customHeight="1" x14ac:dyDescent="0.25">
      <c r="A12" s="29" t="s">
        <v>133</v>
      </c>
      <c r="B12" s="38"/>
      <c r="C12" s="41" t="e">
        <f t="shared" ca="1" si="3"/>
        <v>#NAME?</v>
      </c>
      <c r="D12" s="42" t="e">
        <f t="shared" ca="1" si="4"/>
        <v>#NAME?</v>
      </c>
      <c r="E12" s="66" t="e">
        <f t="shared" ca="1" si="5"/>
        <v>#NAME?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 t="e">
        <f ca="1">_xll.HPVAL($X12,$X$1,Y$1,$X$2,$X$3,$X$5)/1000-Y11</f>
        <v>#NAME?</v>
      </c>
      <c r="AA12" s="44" t="e">
        <f ca="1">_xll.HPVAL($X12,$X$1,AA$1,$X$2,$X$3,$X$5)/1000</f>
        <v>#NAME?</v>
      </c>
      <c r="AB12" s="44" t="e">
        <f ca="1">_xll.HPVAL($X12,$X$1,AB$1,$X$2,$X$3,$X$5)/1000-AB11</f>
        <v>#NAME?</v>
      </c>
      <c r="AC12" s="44" t="e">
        <f ca="1">_xll.HPVAL($X12,$X$1,AC$1,$X$2,$X$3,$X$5)/1000-AC11</f>
        <v>#NAME?</v>
      </c>
      <c r="AE12" s="44" t="e">
        <f ca="1">_xll.HPVAL($X12,$AE$2,AE$1,$AF$2,$X$3,$X$5)/1000-AE11</f>
        <v>#NAME?</v>
      </c>
      <c r="AG12" s="44" t="e">
        <f ca="1">_xll.HPVAL($X12,$AE$2,AG$1,$AF$2,$X$3,$X$5)/1000</f>
        <v>#NAME?</v>
      </c>
      <c r="AH12" s="44" t="e">
        <f ca="1">_xll.HPVAL($X12,$AE$2,AH$1,$AF$2,$X$3,$X$5)/1000-AH11</f>
        <v>#NAME?</v>
      </c>
      <c r="AI12" s="44" t="e">
        <f ca="1">_xll.HPVAL($X12,$AE$2,AI$1,$AF$2,$X$3,$X$5)/1000-AI11</f>
        <v>#NAME?</v>
      </c>
    </row>
    <row r="13" spans="1:35" ht="12" customHeight="1" x14ac:dyDescent="0.25">
      <c r="A13" s="29" t="s">
        <v>114</v>
      </c>
      <c r="B13" s="38"/>
      <c r="C13" s="41" t="e">
        <f t="shared" ca="1" si="3"/>
        <v>#NAME?</v>
      </c>
      <c r="D13" s="42" t="e">
        <f t="shared" ca="1" si="4"/>
        <v>#NAME?</v>
      </c>
      <c r="E13" s="66" t="e">
        <f t="shared" ca="1" si="5"/>
        <v>#NAME?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 t="e">
        <f ca="1">_xll.HPVAL($X13,$X$1,Y$1,$X$2,$X$3,$X$5)/1000</f>
        <v>#NAME?</v>
      </c>
      <c r="AA13" s="44" t="e">
        <f ca="1">_xll.HPVAL($X13,$X$1,AA$1,$X$2,$X$3,$X$5)/1000</f>
        <v>#NAME?</v>
      </c>
      <c r="AB13" s="44" t="e">
        <f ca="1">_xll.HPVAL($X13,$X$1,AB$1,$X$2,$X$3,$X$5)/1000</f>
        <v>#NAME?</v>
      </c>
      <c r="AC13" s="44" t="e">
        <f ca="1">_xll.HPVAL($X13,$X$1,AC$1,$X$2,$X$3,$X$5)/1000</f>
        <v>#NAME?</v>
      </c>
      <c r="AE13" s="44" t="e">
        <f ca="1">_xll.HPVAL($X13,$AE$2,AE$1,$AF$2,$X$3,$X$5)/1000</f>
        <v>#NAME?</v>
      </c>
      <c r="AG13" s="44" t="e">
        <f ca="1">_xll.HPVAL($X13,$AE$2,AG$1,$AF$2,$X$3,$X$5)/1000</f>
        <v>#NAME?</v>
      </c>
      <c r="AH13" s="44" t="e">
        <f ca="1">_xll.HPVAL($X13,$AE$2,AH$1,$AF$2,$X$3,$X$5)/1000</f>
        <v>#NAME?</v>
      </c>
      <c r="AI13" s="44" t="e">
        <f ca="1">_xll.HPVAL($X13,$AE$2,AI$1,$AF$2,$X$3,$X$5)/1000</f>
        <v>#NAME?</v>
      </c>
    </row>
    <row r="14" spans="1:35" ht="12" customHeight="1" x14ac:dyDescent="0.25">
      <c r="A14" s="29" t="s">
        <v>5</v>
      </c>
      <c r="B14" s="38"/>
      <c r="C14" s="41" t="e">
        <f t="shared" ca="1" si="3"/>
        <v>#NAME?</v>
      </c>
      <c r="D14" s="42" t="e">
        <f t="shared" ca="1" si="4"/>
        <v>#NAME?</v>
      </c>
      <c r="E14" s="66" t="e">
        <f t="shared" ca="1" si="5"/>
        <v>#NAME?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 t="e">
        <f ca="1">_xll.HPVAL($X14,$X$1,Y$1,$X$2,$X$3,$X$5)/1000</f>
        <v>#NAME?</v>
      </c>
      <c r="AA14" s="44" t="e">
        <f ca="1">_xll.HPVAL($X14,$X$1,AA$1,$X$2,$X$3,$X$5)/1000</f>
        <v>#NAME?</v>
      </c>
      <c r="AB14" s="44" t="e">
        <f ca="1">_xll.HPVAL($X14,$X$1,AB$1,$X$2,$X$3,$X$5)/1000</f>
        <v>#NAME?</v>
      </c>
      <c r="AC14" s="44" t="e">
        <f ca="1">_xll.HPVAL($X14,$X$1,AC$1,$X$2,$X$3,$X$5)/1000</f>
        <v>#NAME?</v>
      </c>
      <c r="AE14" s="44" t="e">
        <f ca="1">_xll.HPVAL($X14,$AE$2,AE$1,$AF$2,$X$3,$X$5)/1000</f>
        <v>#NAME?</v>
      </c>
      <c r="AG14" s="44" t="e">
        <f ca="1">_xll.HPVAL($X14,$AE$2,AG$1,$AF$2,$X$3,$X$5)/1000</f>
        <v>#NAME?</v>
      </c>
      <c r="AH14" s="44" t="e">
        <f ca="1">_xll.HPVAL($X14,$AE$2,AH$1,$AF$2,$X$3,$X$5)/1000</f>
        <v>#NAME?</v>
      </c>
      <c r="AI14" s="44" t="e">
        <f ca="1">_xll.HPVAL($X14,$AE$2,AI$1,$AF$2,$X$3,$X$5)/1000</f>
        <v>#NAME?</v>
      </c>
    </row>
    <row r="15" spans="1:35" ht="12" customHeight="1" x14ac:dyDescent="0.25">
      <c r="A15" s="29" t="s">
        <v>155</v>
      </c>
      <c r="B15" s="38"/>
      <c r="C15" s="41" t="e">
        <f t="shared" ca="1" si="3"/>
        <v>#NAME?</v>
      </c>
      <c r="D15" s="42" t="e">
        <f t="shared" ca="1" si="4"/>
        <v>#NAME?</v>
      </c>
      <c r="E15" s="66" t="e">
        <f t="shared" ca="1" si="5"/>
        <v>#NAME?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 t="e">
        <f ca="1">_xll.HPVAL($X15,$X$1,Y$1,$X$2,$X$3,$X$5)/1000</f>
        <v>#NAME?</v>
      </c>
      <c r="AA15" s="44" t="e">
        <f ca="1">_xll.HPVAL($X15,$X$1,AA$1,$X$2,$X$3,$X$5)/1000</f>
        <v>#NAME?</v>
      </c>
      <c r="AB15" s="44" t="e">
        <f ca="1">_xll.HPVAL($X15,$X$1,AB$1,$X$2,$X$3,$X$5)/1000</f>
        <v>#NAME?</v>
      </c>
      <c r="AC15" s="44" t="e">
        <f ca="1">_xll.HPVAL($X15,$X$1,AC$1,$X$2,$X$3,$X$5)/1000</f>
        <v>#NAME?</v>
      </c>
      <c r="AE15" s="44" t="e">
        <f ca="1">_xll.HPVAL($X15,$AE$2,AE$1,$AF$2,$X$3,$X$5)/1000</f>
        <v>#NAME?</v>
      </c>
      <c r="AG15" s="44" t="e">
        <f ca="1">_xll.HPVAL($X15,$AE$2,AG$1,$AF$2,$X$3,$X$5)/1000</f>
        <v>#NAME?</v>
      </c>
      <c r="AH15" s="44" t="e">
        <f ca="1">_xll.HPVAL($X15,$AE$2,AH$1,$AF$2,$X$3,$X$5)/1000</f>
        <v>#NAME?</v>
      </c>
      <c r="AI15" s="44" t="e">
        <f ca="1">_xll.HPVAL($X15,$AE$2,AI$1,$AF$2,$X$3,$X$5)/1000</f>
        <v>#NAME?</v>
      </c>
    </row>
    <row r="16" spans="1:35" ht="12" customHeight="1" x14ac:dyDescent="0.25">
      <c r="A16" s="29" t="s">
        <v>107</v>
      </c>
      <c r="B16" s="38"/>
      <c r="C16" s="41" t="e">
        <f t="shared" ca="1" si="3"/>
        <v>#NAME?</v>
      </c>
      <c r="D16" s="42" t="e">
        <f t="shared" ca="1" si="4"/>
        <v>#NAME?</v>
      </c>
      <c r="E16" s="66" t="e">
        <f t="shared" ca="1" si="5"/>
        <v>#NAME?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 t="e">
        <f ca="1">_xll.HPVAL($X16,$X$1,Y$1,$X$2,$X$3,$X$5)/1000</f>
        <v>#NAME?</v>
      </c>
      <c r="AA16" s="44" t="e">
        <f ca="1">_xll.HPVAL($X16,$X$1,AA$1,$X$2,$X$3,$X$5)/1000</f>
        <v>#NAME?</v>
      </c>
      <c r="AB16" s="44" t="e">
        <f ca="1">_xll.HPVAL($X16,$X$1,AB$1,$X$2,$X$3,$X$5)/1000</f>
        <v>#NAME?</v>
      </c>
      <c r="AC16" s="44" t="e">
        <f ca="1">_xll.HPVAL($X16,$X$1,AC$1,$X$2,$X$3,$X$5)/1000</f>
        <v>#NAME?</v>
      </c>
      <c r="AE16" s="44" t="e">
        <f ca="1">_xll.HPVAL($X16,$AE$2,AE$1,$AF$2,$X$3,$X$5)/1000</f>
        <v>#NAME?</v>
      </c>
      <c r="AG16" s="44" t="e">
        <f ca="1">_xll.HPVAL($X16,$AE$2,AG$1,$AF$2,$X$3,$X$5)/1000</f>
        <v>#NAME?</v>
      </c>
      <c r="AH16" s="44" t="e">
        <f ca="1">_xll.HPVAL($X16,$AE$2,AH$1,$AF$2,$X$3,$X$5)/1000</f>
        <v>#NAME?</v>
      </c>
      <c r="AI16" s="44" t="e">
        <f ca="1">_xll.HPVAL($X16,$AE$2,AI$1,$AF$2,$X$3,$X$5)/1000</f>
        <v>#NAME?</v>
      </c>
    </row>
    <row r="17" spans="1:35" ht="12" customHeight="1" x14ac:dyDescent="0.25">
      <c r="A17" s="29" t="s">
        <v>156</v>
      </c>
      <c r="B17" s="38"/>
      <c r="C17" s="41" t="e">
        <f t="shared" ca="1" si="3"/>
        <v>#NAME?</v>
      </c>
      <c r="D17" s="42" t="e">
        <f t="shared" ca="1" si="4"/>
        <v>#NAME?</v>
      </c>
      <c r="E17" s="66" t="e">
        <f t="shared" ca="1" si="5"/>
        <v>#NAME?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 t="e">
        <f ca="1">_xll.HPVAL($X17,$X$1,Y$1,$X$2,$X$3,$X$5)/1000</f>
        <v>#NAME?</v>
      </c>
      <c r="AA17" s="44" t="e">
        <f ca="1">_xll.HPVAL($X17,$X$1,AA$1,$X$2,$X$3,$X$5)/1000</f>
        <v>#NAME?</v>
      </c>
      <c r="AB17" s="44" t="e">
        <f ca="1">_xll.HPVAL($X17,$X$1,AB$1,$X$2,$X$3,$X$5)/1000</f>
        <v>#NAME?</v>
      </c>
      <c r="AC17" s="44" t="e">
        <f ca="1">_xll.HPVAL($X17,$X$1,AC$1,$X$2,$X$3,$X$5)/1000</f>
        <v>#NAME?</v>
      </c>
      <c r="AE17" s="44" t="e">
        <f ca="1">_xll.HPVAL($X17,$AE$2,AE$1,$AF$2,$X$3,$X$5)/1000</f>
        <v>#NAME?</v>
      </c>
      <c r="AG17" s="44" t="e">
        <f ca="1">_xll.HPVAL($X17,$AE$2,AG$1,$AF$2,$X$3,$X$5)/1000</f>
        <v>#NAME?</v>
      </c>
      <c r="AH17" s="44" t="e">
        <f ca="1">_xll.HPVAL($X17,$AE$2,AH$1,$AF$2,$X$3,$X$5)/1000</f>
        <v>#NAME?</v>
      </c>
      <c r="AI17" s="44" t="e">
        <f ca="1">_xll.HPVAL($X17,$AE$2,AI$1,$AF$2,$X$3,$X$5)/1000</f>
        <v>#NAME?</v>
      </c>
    </row>
    <row r="18" spans="1:35" ht="12" customHeight="1" x14ac:dyDescent="0.25">
      <c r="A18" s="29" t="s">
        <v>2</v>
      </c>
      <c r="B18" s="38"/>
      <c r="C18" s="41" t="e">
        <f t="shared" ca="1" si="3"/>
        <v>#NAME?</v>
      </c>
      <c r="D18" s="42" t="e">
        <f t="shared" ca="1" si="4"/>
        <v>#NAME?</v>
      </c>
      <c r="E18" s="66" t="e">
        <f t="shared" ca="1" si="5"/>
        <v>#NAME?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 t="e">
        <f ca="1">_xll.HPVAL($X18,$X$1,Y$1,$X$2,$X$3,$X$5)/1000</f>
        <v>#NAME?</v>
      </c>
      <c r="AA18" s="44" t="e">
        <f ca="1">_xll.HPVAL($X18,$X$1,AA$1,$X$2,$X$3,$X$5)/1000</f>
        <v>#NAME?</v>
      </c>
      <c r="AB18" s="44" t="e">
        <f ca="1">_xll.HPVAL($X18,$X$1,AB$1,$X$2,$X$3,$X$5)/1000</f>
        <v>#NAME?</v>
      </c>
      <c r="AC18" s="44" t="e">
        <f ca="1">_xll.HPVAL($X18,$X$1,AC$1,$X$2,$X$3,$X$5)/1000</f>
        <v>#NAME?</v>
      </c>
      <c r="AE18" s="44" t="e">
        <f ca="1">_xll.HPVAL($X18,$AE$2,AE$1,$AF$2,$X$3,$X$5)/1000</f>
        <v>#NAME?</v>
      </c>
      <c r="AG18" s="44" t="e">
        <f ca="1">_xll.HPVAL($X18,$AE$2,AG$1,$AF$2,$X$3,$X$5)/1000</f>
        <v>#NAME?</v>
      </c>
      <c r="AH18" s="44" t="e">
        <f ca="1">_xll.HPVAL($X18,$AE$2,AH$1,$AF$2,$X$3,$X$5)/1000</f>
        <v>#NAME?</v>
      </c>
      <c r="AI18" s="44" t="e">
        <f ca="1">_xll.HPVAL($X18,$AE$2,AI$1,$AF$2,$X$3,$X$5)/1000</f>
        <v>#NAME?</v>
      </c>
    </row>
    <row r="19" spans="1:35" ht="12" customHeight="1" x14ac:dyDescent="0.25">
      <c r="A19" s="75" t="s">
        <v>130</v>
      </c>
      <c r="B19" s="38"/>
      <c r="C19" s="140" t="e">
        <f ca="1">SUM(C9:C18)</f>
        <v>#NAME?</v>
      </c>
      <c r="D19" s="141" t="e">
        <f ca="1">SUM(D9:D18)</f>
        <v>#NAME?</v>
      </c>
      <c r="E19" s="143" t="e">
        <f ca="1">SUM(E9:E18)</f>
        <v>#NAME?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 t="e">
        <f t="shared" ref="C21:C26" ca="1" si="7">Y21</f>
        <v>#NAME?</v>
      </c>
      <c r="D21" s="42" t="e">
        <f t="shared" ref="D21:D26" ca="1" si="8">SUM(Z21:AC21)</f>
        <v>#NAME?</v>
      </c>
      <c r="E21" s="66" t="e">
        <f t="shared" ref="E21:E26" ca="1" si="9">C21-D21</f>
        <v>#NAME?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 t="e">
        <f ca="1">_xll.HPVAL($X21,$X$1,Y$1,$X$2,$X$3,$X$5)/1000</f>
        <v>#NAME?</v>
      </c>
      <c r="Z21" s="44"/>
      <c r="AA21" s="44" t="e">
        <f ca="1">_xll.HPVAL($X21,$X$1,AA$1,$X$2,$X$3,$X$5)/1000</f>
        <v>#NAME?</v>
      </c>
      <c r="AB21" s="44" t="e">
        <f ca="1">_xll.HPVAL($X21,$X$1,AB$1,$X$2,$X$3,$X$5)/1000</f>
        <v>#NAME?</v>
      </c>
      <c r="AC21" s="44" t="e">
        <f ca="1">_xll.HPVAL($X21,$X$1,AC$1,$X$2,$X$3,$X$5)/1000</f>
        <v>#NAME?</v>
      </c>
      <c r="AE21" s="44" t="e">
        <f ca="1">_xll.HPVAL($X21,$AE$2,AE$1,$AF$2,$X$3,$X$5)/1000</f>
        <v>#NAME?</v>
      </c>
      <c r="AF21" s="44"/>
      <c r="AG21" s="44" t="e">
        <f ca="1">_xll.HPVAL($X21,$AE$2,AG$1,$AF$2,$X$3,$X$5)/1000</f>
        <v>#NAME?</v>
      </c>
      <c r="AH21" s="44" t="e">
        <f ca="1">_xll.HPVAL($X21,$AE$2,AH$1,$AF$2,$X$3,$X$5)/1000</f>
        <v>#NAME?</v>
      </c>
      <c r="AI21" s="44" t="e">
        <f ca="1">_xll.HPVAL($X21,$AE$2,AI$1,$AF$2,$X$3,$X$5)/1000</f>
        <v>#NAME?</v>
      </c>
    </row>
    <row r="22" spans="1:35" ht="12" customHeight="1" x14ac:dyDescent="0.25">
      <c r="A22" s="29" t="s">
        <v>89</v>
      </c>
      <c r="B22" s="38"/>
      <c r="C22" s="41" t="e">
        <f t="shared" ca="1" si="7"/>
        <v>#NAME?</v>
      </c>
      <c r="D22" s="42" t="e">
        <f t="shared" ca="1" si="8"/>
        <v>#NAME?</v>
      </c>
      <c r="E22" s="66" t="e">
        <f t="shared" ca="1" si="9"/>
        <v>#NAME?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 t="e">
        <f ca="1">_xll.HPVAL($X22,$X$1,Y$1,$X$2,$X$3,$X$5)/1000</f>
        <v>#NAME?</v>
      </c>
      <c r="Z22" s="44"/>
      <c r="AA22" s="44" t="e">
        <f ca="1">_xll.HPVAL($X22,$X$1,AA$1,$X$2,$X$3,$X$5)/1000</f>
        <v>#NAME?</v>
      </c>
      <c r="AB22" s="44" t="e">
        <f ca="1">_xll.HPVAL($X22,$X$1,AB$1,$X$2,$X$3,$X$5)/1000</f>
        <v>#NAME?</v>
      </c>
      <c r="AC22" s="44" t="e">
        <f ca="1">_xll.HPVAL($X22,$X$1,AC$1,$X$2,$X$3,$X$5)/1000</f>
        <v>#NAME?</v>
      </c>
      <c r="AE22" s="44" t="e">
        <f ca="1">_xll.HPVAL($X22,$AE$2,AE$1,$AF$2,$X$3,$X$5)/1000</f>
        <v>#NAME?</v>
      </c>
      <c r="AF22" s="44"/>
      <c r="AG22" s="44" t="e">
        <f ca="1">_xll.HPVAL($X22,$AE$2,AG$1,$AF$2,$X$3,$X$5)/1000</f>
        <v>#NAME?</v>
      </c>
      <c r="AH22" s="44" t="e">
        <f ca="1">_xll.HPVAL($X22,$AE$2,AH$1,$AF$2,$X$3,$X$5)/1000</f>
        <v>#NAME?</v>
      </c>
      <c r="AI22" s="44" t="e">
        <f ca="1">_xll.HPVAL($X22,$AE$2,AI$1,$AF$2,$X$3,$X$5)/1000</f>
        <v>#NAME?</v>
      </c>
    </row>
    <row r="23" spans="1:35" ht="12" customHeight="1" x14ac:dyDescent="0.25">
      <c r="A23" s="29" t="s">
        <v>90</v>
      </c>
      <c r="B23" s="38"/>
      <c r="C23" s="41" t="e">
        <f t="shared" ca="1" si="7"/>
        <v>#NAME?</v>
      </c>
      <c r="D23" s="42" t="e">
        <f t="shared" ca="1" si="8"/>
        <v>#NAME?</v>
      </c>
      <c r="E23" s="66" t="e">
        <f t="shared" ca="1" si="9"/>
        <v>#NAME?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 t="e">
        <f ca="1">_xll.HPVAL($X23,$X$1,Y$1,$X$2,$X$3,$X$5)/1000</f>
        <v>#NAME?</v>
      </c>
      <c r="Z23" s="44"/>
      <c r="AA23" s="44" t="e">
        <f ca="1">_xll.HPVAL($X23,$X$1,AA$1,$X$2,$X$3,$X$5)/1000</f>
        <v>#NAME?</v>
      </c>
      <c r="AB23" s="44" t="e">
        <f ca="1">_xll.HPVAL($X23,$X$1,AB$1,$X$2,$X$3,$X$5)/1000</f>
        <v>#NAME?</v>
      </c>
      <c r="AC23" s="44" t="e">
        <f ca="1">_xll.HPVAL($X23,$X$1,AC$1,$X$2,$X$3,$X$5)/1000</f>
        <v>#NAME?</v>
      </c>
      <c r="AE23" s="44" t="e">
        <f ca="1">_xll.HPVAL($X23,$AE$2,AE$1,$AF$2,$X$3,$X$5)/1000</f>
        <v>#NAME?</v>
      </c>
      <c r="AF23" s="44"/>
      <c r="AG23" s="44" t="e">
        <f ca="1">_xll.HPVAL($X23,$AE$2,AG$1,$AF$2,$X$3,$X$5)/1000</f>
        <v>#NAME?</v>
      </c>
      <c r="AH23" s="44" t="e">
        <f ca="1">_xll.HPVAL($X23,$AE$2,AH$1,$AF$2,$X$3,$X$5)/1000</f>
        <v>#NAME?</v>
      </c>
      <c r="AI23" s="44" t="e">
        <f ca="1">_xll.HPVAL($X23,$AE$2,AI$1,$AF$2,$X$3,$X$5)/1000</f>
        <v>#NAME?</v>
      </c>
    </row>
    <row r="24" spans="1:35" ht="12" customHeight="1" x14ac:dyDescent="0.25">
      <c r="A24" s="29" t="s">
        <v>91</v>
      </c>
      <c r="B24" s="38"/>
      <c r="C24" s="41" t="e">
        <f t="shared" ca="1" si="7"/>
        <v>#NAME?</v>
      </c>
      <c r="D24" s="42" t="e">
        <f t="shared" ca="1" si="8"/>
        <v>#NAME?</v>
      </c>
      <c r="E24" s="66" t="e">
        <f t="shared" ca="1" si="9"/>
        <v>#NAME?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 t="e">
        <f ca="1">_xll.HPVAL($X24,$X$1,Y$1,$X$2,$X$3,$X$5)/1000</f>
        <v>#NAME?</v>
      </c>
      <c r="Z24" s="44"/>
      <c r="AA24" s="44" t="e">
        <f ca="1">_xll.HPVAL($X24,$X$1,AA$1,$X$2,$X$3,$X$5)/1000</f>
        <v>#NAME?</v>
      </c>
      <c r="AB24" s="44" t="e">
        <f ca="1">_xll.HPVAL($X24,$X$1,AB$1,$X$2,$X$3,$X$5)/1000</f>
        <v>#NAME?</v>
      </c>
      <c r="AC24" s="44" t="e">
        <f ca="1">_xll.HPVAL($X24,$X$1,AC$1,$X$2,$X$3,$X$5)/1000</f>
        <v>#NAME?</v>
      </c>
      <c r="AE24" s="44" t="e">
        <f ca="1">_xll.HPVAL($X24,$AE$2,AE$1,$AF$2,$X$3,$X$5)/1000</f>
        <v>#NAME?</v>
      </c>
      <c r="AF24" s="44"/>
      <c r="AG24" s="44" t="e">
        <f ca="1">_xll.HPVAL($X24,$AE$2,AG$1,$AF$2,$X$3,$X$5)/1000</f>
        <v>#NAME?</v>
      </c>
      <c r="AH24" s="44" t="e">
        <f ca="1">_xll.HPVAL($X24,$AE$2,AH$1,$AF$2,$X$3,$X$5)/1000</f>
        <v>#NAME?</v>
      </c>
      <c r="AI24" s="44" t="e">
        <f ca="1">_xll.HPVAL($X24,$AE$2,AI$1,$AF$2,$X$3,$X$5)/1000</f>
        <v>#NAME?</v>
      </c>
    </row>
    <row r="25" spans="1:35" ht="12" customHeight="1" x14ac:dyDescent="0.25">
      <c r="A25" s="29" t="s">
        <v>104</v>
      </c>
      <c r="B25" s="38"/>
      <c r="C25" s="41" t="e">
        <f t="shared" ca="1" si="7"/>
        <v>#NAME?</v>
      </c>
      <c r="D25" s="42" t="e">
        <f t="shared" ca="1" si="8"/>
        <v>#NAME?</v>
      </c>
      <c r="E25" s="66" t="e">
        <f t="shared" ca="1" si="9"/>
        <v>#NAME?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 t="e">
        <f ca="1">_xll.HPVAL($X25,$X$1,Y$1,$X$2,$X$3,$X$5)/1000</f>
        <v>#NAME?</v>
      </c>
      <c r="Z25" s="44"/>
      <c r="AA25" s="44" t="e">
        <f ca="1">_xll.HPVAL($X25,$X$1,AA$1,$X$2,$X$3,$X$5)/1000</f>
        <v>#NAME?</v>
      </c>
      <c r="AB25" s="44" t="e">
        <f ca="1">_xll.HPVAL($X25,$X$1,AB$1,$X$2,$X$3,$X$5)/1000</f>
        <v>#NAME?</v>
      </c>
      <c r="AC25" s="44" t="e">
        <f ca="1">_xll.HPVAL($X25,$X$1,AC$1,$X$2,$X$3,$X$5)/1000</f>
        <v>#NAME?</v>
      </c>
      <c r="AE25" s="44" t="e">
        <f ca="1">_xll.HPVAL($X25,$AE$2,AE$1,$AF$2,$X$3,$X$5)/1000</f>
        <v>#NAME?</v>
      </c>
      <c r="AF25" s="44"/>
      <c r="AG25" s="44" t="e">
        <f ca="1">_xll.HPVAL($X25,$AE$2,AG$1,$AF$2,$X$3,$X$5)/1000</f>
        <v>#NAME?</v>
      </c>
      <c r="AH25" s="44" t="e">
        <f ca="1">_xll.HPVAL($X25,$AE$2,AH$1,$AF$2,$X$3,$X$5)/1000</f>
        <v>#NAME?</v>
      </c>
      <c r="AI25" s="44" t="e">
        <f ca="1">_xll.HPVAL($X25,$AE$2,AI$1,$AF$2,$X$3,$X$5)/1000</f>
        <v>#NAME?</v>
      </c>
    </row>
    <row r="26" spans="1:35" ht="12" customHeight="1" x14ac:dyDescent="0.25">
      <c r="A26" s="29" t="s">
        <v>0</v>
      </c>
      <c r="B26" s="38"/>
      <c r="C26" s="41" t="e">
        <f t="shared" ca="1" si="7"/>
        <v>#NAME?</v>
      </c>
      <c r="D26" s="42" t="e">
        <f t="shared" ca="1" si="8"/>
        <v>#NAME?</v>
      </c>
      <c r="E26" s="66" t="e">
        <f t="shared" ca="1" si="9"/>
        <v>#NAME?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 t="e">
        <f ca="1">_xll.HPVAL($X26,$X$1,Y$1,$X$2,$X$3,$X$5)/1000</f>
        <v>#NAME?</v>
      </c>
      <c r="Z26" s="44"/>
      <c r="AA26" s="44" t="e">
        <f ca="1">_xll.HPVAL($X26,$X$1,AA$1,$X$2,$X$3,$X$5)/1000</f>
        <v>#NAME?</v>
      </c>
      <c r="AB26" s="44" t="e">
        <f ca="1">_xll.HPVAL($X26,$X$1,AB$1,$X$2,$X$3,$X$5)/1000</f>
        <v>#NAME?</v>
      </c>
      <c r="AC26" s="44" t="e">
        <f ca="1">_xll.HPVAL($X26,$X$1,AC$1,$X$2,$X$3,$X$5)/1000</f>
        <v>#NAME?</v>
      </c>
      <c r="AE26" s="44" t="e">
        <f ca="1">_xll.HPVAL($X26,$AE$2,AE$1,$AF$2,$X$3,$X$5)/1000</f>
        <v>#NAME?</v>
      </c>
      <c r="AF26" s="44"/>
      <c r="AG26" s="44" t="e">
        <f ca="1">_xll.HPVAL($X26,$AE$2,AG$1,$AF$2,$X$3,$X$5)/1000</f>
        <v>#NAME?</v>
      </c>
      <c r="AH26" s="44" t="e">
        <f ca="1">_xll.HPVAL($X26,$AE$2,AH$1,$AF$2,$X$3,$X$5)/1000</f>
        <v>#NAME?</v>
      </c>
      <c r="AI26" s="44" t="e">
        <f ca="1">_xll.HPVAL($X26,$AE$2,AI$1,$AF$2,$X$3,$X$5)/1000</f>
        <v>#NAME?</v>
      </c>
    </row>
    <row r="27" spans="1:35" ht="12" customHeight="1" x14ac:dyDescent="0.25">
      <c r="A27" s="75" t="s">
        <v>1</v>
      </c>
      <c r="B27" s="38"/>
      <c r="C27" s="140" t="e">
        <f ca="1">SUM(C21:C26)</f>
        <v>#NAME?</v>
      </c>
      <c r="D27" s="141" t="e">
        <f ca="1">SUM(D21:D26)</f>
        <v>#NAME?</v>
      </c>
      <c r="E27" s="143" t="e">
        <f ca="1">SUM(E21:E26)</f>
        <v>#NAME?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 t="e">
        <f ca="1">Y29</f>
        <v>#NAME?</v>
      </c>
      <c r="D29" s="42" t="e">
        <f ca="1">SUM(Z29:AC29)</f>
        <v>#NAME?</v>
      </c>
      <c r="E29" s="66" t="e">
        <f ca="1">C29-D29</f>
        <v>#NAME?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 t="e">
        <f ca="1">_xll.HPVAL($X29,$X$1,Y$1,$X$2,$X$3,$X$5)/1000+Z29</f>
        <v>#NAME?</v>
      </c>
      <c r="Z29" s="44">
        <f>6605+8789</f>
        <v>15394</v>
      </c>
      <c r="AA29" s="44" t="e">
        <f ca="1">_xll.HPVAL($X29,$X$1,AA$1,$X$2,$X$3,$X$5)/1000</f>
        <v>#NAME?</v>
      </c>
      <c r="AB29" s="44" t="e">
        <f ca="1">_xll.HPVAL($X29,$X$1,AB$1,$X$2,$X$3,$X$5)/1000</f>
        <v>#NAME?</v>
      </c>
      <c r="AC29" s="44" t="e">
        <f ca="1">_xll.HPVAL($X29,$X$1,AC$1,$X$2,$X$3,$X$5)/1000</f>
        <v>#NAME?</v>
      </c>
      <c r="AE29" s="44" t="e">
        <f ca="1">_xll.HPVAL($X29,$AE$2,AE$1,$AF$2,$X$3,$X$5)/1000+AF29</f>
        <v>#NAME?</v>
      </c>
      <c r="AF29" s="44">
        <v>6640</v>
      </c>
      <c r="AG29" s="44" t="e">
        <f ca="1">_xll.HPVAL($X29,$AE$2,AG$1,$AF$2,$X$3,$X$5)/1000</f>
        <v>#NAME?</v>
      </c>
      <c r="AH29" s="44" t="e">
        <f ca="1">_xll.HPVAL($X29,$AE$2,AH$1,$AF$2,$X$3,$X$5)/1000</f>
        <v>#NAME?</v>
      </c>
      <c r="AI29" s="44" t="e">
        <f ca="1">_xll.HPVAL($X29,$AE$2,AI$1,$AF$2,$X$3,$X$5)/1000</f>
        <v>#NAME?</v>
      </c>
    </row>
    <row r="30" spans="1:35" ht="12" customHeight="1" x14ac:dyDescent="0.25">
      <c r="A30" s="29" t="s">
        <v>67</v>
      </c>
      <c r="B30" s="38"/>
      <c r="C30" s="41" t="e">
        <f ca="1">Y30</f>
        <v>#NAME?</v>
      </c>
      <c r="D30" s="42" t="e">
        <f ca="1">SUM(Z30:AC30)</f>
        <v>#NAME?</v>
      </c>
      <c r="E30" s="66" t="e">
        <f ca="1">C30-D30</f>
        <v>#NAME?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 t="e">
        <f ca="1">_xll.HPVAL($X30,$X$1,Y$1,$X$2,$X$3,$X$5)/1000</f>
        <v>#NAME?</v>
      </c>
      <c r="Z30" s="44"/>
      <c r="AA30" s="44" t="e">
        <f ca="1">_xll.HPVAL($X30,$X$1,AA$1,$X$2,$X$3,$X$5)/1000</f>
        <v>#NAME?</v>
      </c>
      <c r="AB30" s="44" t="e">
        <f ca="1">_xll.HPVAL($X30,$X$1,AB$1,$X$2,$X$3,$X$5)/1000</f>
        <v>#NAME?</v>
      </c>
      <c r="AC30" s="44" t="e">
        <f ca="1">_xll.HPVAL($X30,$X$1,AC$1,$X$2,$X$3,$X$5)/1000</f>
        <v>#NAME?</v>
      </c>
      <c r="AE30" s="44" t="e">
        <f ca="1">_xll.HPVAL($X30,$AE$2,AE$1,$AF$2,$X$3,$X$5)/1000</f>
        <v>#NAME?</v>
      </c>
      <c r="AF30" s="44"/>
      <c r="AG30" s="44" t="e">
        <f ca="1">_xll.HPVAL($X30,$AE$2,AG$1,$AF$2,$X$3,$X$5)/1000</f>
        <v>#NAME?</v>
      </c>
      <c r="AH30" s="44" t="e">
        <f ca="1">_xll.HPVAL($X30,$AE$2,AH$1,$AF$2,$X$3,$X$5)/1000</f>
        <v>#NAME?</v>
      </c>
      <c r="AI30" s="44" t="e">
        <f ca="1">_xll.HPVAL($X30,$AE$2,AI$1,$AF$2,$X$3,$X$5)/1000</f>
        <v>#NAME?</v>
      </c>
    </row>
    <row r="31" spans="1:35" ht="12" customHeight="1" x14ac:dyDescent="0.25">
      <c r="A31" s="29" t="s">
        <v>92</v>
      </c>
      <c r="B31" s="38"/>
      <c r="C31" s="41" t="e">
        <f ca="1">Y31</f>
        <v>#NAME?</v>
      </c>
      <c r="D31" s="42" t="e">
        <f ca="1">SUM(Z31:AC31)</f>
        <v>#NAME?</v>
      </c>
      <c r="E31" s="66" t="e">
        <f ca="1">C31-D31</f>
        <v>#NAME?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 t="e">
        <f ca="1">_xll.HPVAL($X31,$X$1,Y$1,$X$2,$X$3,$X$5)/1000+Z31</f>
        <v>#NAME?</v>
      </c>
      <c r="Z31" s="44">
        <f>35122+34587</f>
        <v>69709</v>
      </c>
      <c r="AA31" s="44" t="e">
        <f ca="1">_xll.HPVAL($X31,$X$1,AA$1,$X$2,$X$3,$X$5)/1000</f>
        <v>#NAME?</v>
      </c>
      <c r="AB31" s="44" t="e">
        <f ca="1">_xll.HPVAL($X31,$X$1,AB$1,$X$2,$X$3,$X$5)/1000</f>
        <v>#NAME?</v>
      </c>
      <c r="AC31" s="44" t="e">
        <f ca="1">_xll.HPVAL($X31,$X$1,AC$1,$X$2,$X$3,$X$5)/1000</f>
        <v>#NAME?</v>
      </c>
      <c r="AE31" s="44" t="e">
        <f ca="1">_xll.HPVAL($X31,$AE$2,AE$1,$AF$2,$X$3,$X$5)/1000+AF31</f>
        <v>#NAME?</v>
      </c>
      <c r="AF31" s="44">
        <v>42177</v>
      </c>
      <c r="AG31" s="44" t="e">
        <f ca="1">_xll.HPVAL($X31,$AE$2,AG$1,$AF$2,$X$3,$X$5)/1000</f>
        <v>#NAME?</v>
      </c>
      <c r="AH31" s="44" t="e">
        <f ca="1">_xll.HPVAL($X31,$AE$2,AH$1,$AF$2,$X$3,$X$5)/1000</f>
        <v>#NAME?</v>
      </c>
      <c r="AI31" s="44" t="e">
        <f ca="1">_xll.HPVAL($X31,$AE$2,AI$1,$AF$2,$X$3,$X$5)/1000</f>
        <v>#NAME?</v>
      </c>
    </row>
    <row r="32" spans="1:35" ht="12" customHeight="1" x14ac:dyDescent="0.25">
      <c r="A32" s="29" t="s">
        <v>93</v>
      </c>
      <c r="B32" s="38"/>
      <c r="C32" s="41" t="e">
        <f ca="1">Y32</f>
        <v>#NAME?</v>
      </c>
      <c r="D32" s="42" t="e">
        <f ca="1">SUM(Z32:AC32)</f>
        <v>#NAME?</v>
      </c>
      <c r="E32" s="66" t="e">
        <f ca="1">C32-D32</f>
        <v>#NAME?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 t="e">
        <f ca="1">_xll.HPVAL($X32,$X$1,Y$1,$X$2,$X$3,$X$5)/1000</f>
        <v>#NAME?</v>
      </c>
      <c r="Z32" s="44"/>
      <c r="AA32" s="44" t="e">
        <f ca="1">_xll.HPVAL($X32,$X$1,AA$1,$X$2,$X$3,$X$5)/1000</f>
        <v>#NAME?</v>
      </c>
      <c r="AB32" s="44" t="e">
        <f ca="1">_xll.HPVAL($X32,$X$1,AB$1,$X$2,$X$3,$X$5)/1000</f>
        <v>#NAME?</v>
      </c>
      <c r="AC32" s="44" t="e">
        <f ca="1">_xll.HPVAL($X32,$X$1,AC$1,$X$2,$X$3,$X$5)/1000</f>
        <v>#NAME?</v>
      </c>
      <c r="AE32" s="44" t="e">
        <f ca="1">_xll.HPVAL($X32,$AE$2,AE$1,$AF$2,$X$3,$X$5)/1000</f>
        <v>#NAME?</v>
      </c>
      <c r="AF32" s="44"/>
      <c r="AG32" s="44" t="e">
        <f ca="1">_xll.HPVAL($X32,$AE$2,AG$1,$AF$2,$X$3,$X$5)/1000</f>
        <v>#NAME?</v>
      </c>
      <c r="AH32" s="44" t="e">
        <f ca="1">_xll.HPVAL($X32,$AE$2,AH$1,$AF$2,$X$3,$X$5)/1000</f>
        <v>#NAME?</v>
      </c>
      <c r="AI32" s="44" t="e">
        <f ca="1">_xll.HPVAL($X32,$AE$2,AI$1,$AF$2,$X$3,$X$5)/1000</f>
        <v>#NAME?</v>
      </c>
    </row>
    <row r="33" spans="1:35" ht="12" customHeight="1" x14ac:dyDescent="0.25">
      <c r="A33" s="75" t="s">
        <v>86</v>
      </c>
      <c r="B33" s="38"/>
      <c r="C33" s="140" t="e">
        <f ca="1">SUM(C29:C32)</f>
        <v>#NAME?</v>
      </c>
      <c r="D33" s="141" t="e">
        <f ca="1">SUM(D29:D32)</f>
        <v>#NAME?</v>
      </c>
      <c r="E33" s="143" t="e">
        <f ca="1">SUM(E29:E32)</f>
        <v>#NAME?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 t="e">
        <f ca="1">Y35</f>
        <v>#NAME?</v>
      </c>
      <c r="D35" s="42" t="e">
        <f ca="1">SUM(Z35:AC35)</f>
        <v>#NAME?</v>
      </c>
      <c r="E35" s="66" t="e">
        <f ca="1">C35-D35</f>
        <v>#NAME?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 t="e">
        <f ca="1">_xll.HPVAL($X35,$X$1,Y$1,$X$2,$X$3,$X$5)/1000</f>
        <v>#NAME?</v>
      </c>
      <c r="Z35" s="44"/>
      <c r="AA35" s="44" t="e">
        <f ca="1">_xll.HPVAL($X35,$X$1,AA$1,$X$2,$X$3,$X$5)/1000</f>
        <v>#NAME?</v>
      </c>
      <c r="AB35" s="44" t="e">
        <f ca="1">_xll.HPVAL($X35,$X$1,AB$1,$X$2,$X$3,$X$5)/1000</f>
        <v>#NAME?</v>
      </c>
      <c r="AC35" s="44" t="e">
        <f ca="1">_xll.HPVAL($X35,$X$1,AC$1,$X$2,$X$3,$X$5)/1000</f>
        <v>#NAME?</v>
      </c>
      <c r="AE35" s="44" t="e">
        <f ca="1">_xll.HPVAL($X35,$AE$2,AE$1,$AF$2,$X$3,$X$5)/1000</f>
        <v>#NAME?</v>
      </c>
      <c r="AF35" s="44"/>
      <c r="AG35" s="44" t="e">
        <f ca="1">_xll.HPVAL($X35,$AE$2,AG$1,$AF$2,$X$3,$X$5)/1000</f>
        <v>#NAME?</v>
      </c>
      <c r="AH35" s="44" t="e">
        <f ca="1">_xll.HPVAL($X35,$AE$2,AH$1,$AF$2,$X$3,$X$5)/1000</f>
        <v>#NAME?</v>
      </c>
      <c r="AI35" s="44" t="e">
        <f ca="1">_xll.HPVAL($X35,$AE$2,AI$1,$AF$2,$X$3,$X$5)/1000</f>
        <v>#NAME?</v>
      </c>
    </row>
    <row r="36" spans="1:35" ht="12" customHeight="1" x14ac:dyDescent="0.25">
      <c r="A36" s="29" t="s">
        <v>151</v>
      </c>
      <c r="B36" s="38"/>
      <c r="C36" s="41" t="e">
        <f ca="1">Y36</f>
        <v>#NAME?</v>
      </c>
      <c r="D36" s="42" t="e">
        <f ca="1">SUM(Z36:AC36)</f>
        <v>#NAME?</v>
      </c>
      <c r="E36" s="66" t="e">
        <f ca="1">C36-D36</f>
        <v>#NAME?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 t="e">
        <f ca="1">_xll.HPVAL($X36,$X$1,Y$1,$X$2,$X$3,$X$5)/1000</f>
        <v>#NAME?</v>
      </c>
      <c r="Z36" s="44"/>
      <c r="AA36" s="44" t="e">
        <f ca="1">_xll.HPVAL($X36,$X$1,AA$1,$X$2,$X$3,$X$5)/1000</f>
        <v>#NAME?</v>
      </c>
      <c r="AB36" s="44" t="e">
        <f ca="1">_xll.HPVAL($X36,$X$1,AB$1,$X$2,$X$3,$X$5)/1000</f>
        <v>#NAME?</v>
      </c>
      <c r="AC36" s="44" t="e">
        <f ca="1">_xll.HPVAL($X36,$X$1,AC$1,$X$2,$X$3,$X$5)/1000</f>
        <v>#NAME?</v>
      </c>
      <c r="AE36" s="44" t="e">
        <f ca="1">_xll.HPVAL($X36,$AE$2,AE$1,$AF$2,$X$3,$X$5)/1000</f>
        <v>#NAME?</v>
      </c>
      <c r="AF36" s="44"/>
      <c r="AG36" s="44" t="e">
        <f ca="1">_xll.HPVAL($X36,$AE$2,AG$1,$AF$2,$X$3,$X$5)/1000</f>
        <v>#NAME?</v>
      </c>
      <c r="AH36" s="44" t="e">
        <f ca="1">_xll.HPVAL($X36,$AE$2,AH$1,$AF$2,$X$3,$X$5)/1000</f>
        <v>#NAME?</v>
      </c>
      <c r="AI36" s="44" t="e">
        <f ca="1">_xll.HPVAL($X36,$AE$2,AI$1,$AF$2,$X$3,$X$5)/1000</f>
        <v>#NAME?</v>
      </c>
    </row>
    <row r="37" spans="1:35" ht="12" customHeight="1" x14ac:dyDescent="0.25">
      <c r="A37" s="29" t="s">
        <v>180</v>
      </c>
      <c r="B37" s="38"/>
      <c r="C37" s="41" t="e">
        <f ca="1">Y37</f>
        <v>#NAME?</v>
      </c>
      <c r="D37" s="42" t="e">
        <f ca="1">SUM(Z37:AC37)</f>
        <v>#NAME?</v>
      </c>
      <c r="E37" s="66" t="e">
        <f ca="1">C37-D37</f>
        <v>#NAME?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 t="e">
        <f ca="1">_xll.HPVAL($X37,$X$1,Y$1,$X$2,$X$3,$X$5)/1000</f>
        <v>#NAME?</v>
      </c>
      <c r="Z37" s="44"/>
      <c r="AA37" s="44" t="e">
        <f ca="1">_xll.HPVAL($X37,$X$1,AA$1,$X$2,$X$3,$X$5)/1000</f>
        <v>#NAME?</v>
      </c>
      <c r="AB37" s="44" t="e">
        <f ca="1">_xll.HPVAL($X37,$X$1,AB$1,$X$2,$X$3,$X$5)/1000</f>
        <v>#NAME?</v>
      </c>
      <c r="AC37" s="44" t="e">
        <f ca="1">_xll.HPVAL($X37,$X$1,AC$1,$X$2,$X$3,$X$5)/1000</f>
        <v>#NAME?</v>
      </c>
      <c r="AE37" s="44" t="e">
        <f ca="1">_xll.HPVAL($X37,$AE$2,AE$1,$AF$2,$X$3,$X$5)/1000</f>
        <v>#NAME?</v>
      </c>
      <c r="AF37" s="44"/>
      <c r="AG37" s="44" t="e">
        <f ca="1">_xll.HPVAL($X37,$AE$2,AG$1,$AF$2,$X$3,$X$5)/1000</f>
        <v>#NAME?</v>
      </c>
      <c r="AH37" s="44" t="e">
        <f ca="1">_xll.HPVAL($X37,$AE$2,AH$1,$AF$2,$X$3,$X$5)/1000</f>
        <v>#NAME?</v>
      </c>
      <c r="AI37" s="44" t="e">
        <f ca="1">_xll.HPVAL($X37,$AE$2,AI$1,$AF$2,$X$3,$X$5)/1000</f>
        <v>#NAME?</v>
      </c>
    </row>
    <row r="38" spans="1:35" ht="12" customHeight="1" x14ac:dyDescent="0.25">
      <c r="A38" s="29" t="s">
        <v>154</v>
      </c>
      <c r="B38" s="38"/>
      <c r="C38" s="41" t="e">
        <f ca="1">Y38</f>
        <v>#NAME?</v>
      </c>
      <c r="D38" s="42" t="e">
        <f ca="1">SUM(Z38:AC38)</f>
        <v>#NAME?</v>
      </c>
      <c r="E38" s="66" t="e">
        <f ca="1">C38-D38</f>
        <v>#NAME?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 t="e">
        <f ca="1">_xll.HPVAL($X38,$X$1,Y$1,$X$2,$X$3,$X$5)/1000</f>
        <v>#NAME?</v>
      </c>
      <c r="Z38" s="44"/>
      <c r="AA38" s="44" t="e">
        <f ca="1">_xll.HPVAL($X38,$X$1,AA$1,$X$2,$X$3,$X$5)/1000</f>
        <v>#NAME?</v>
      </c>
      <c r="AB38" s="44" t="e">
        <f ca="1">_xll.HPVAL($X38,$X$1,AB$1,$X$2,$X$3,$X$5)/1000</f>
        <v>#NAME?</v>
      </c>
      <c r="AC38" s="44" t="e">
        <f ca="1">_xll.HPVAL($X38,$X$1,AC$1,$X$2,$X$3,$X$5)/1000</f>
        <v>#NAME?</v>
      </c>
      <c r="AE38" s="44" t="e">
        <f ca="1">_xll.HPVAL($X38,$AE$2,AE$1,$AF$2,$X$3,$X$5)/1000</f>
        <v>#NAME?</v>
      </c>
      <c r="AF38" s="44"/>
      <c r="AG38" s="44" t="e">
        <f ca="1">_xll.HPVAL($X38,$AE$2,AG$1,$AF$2,$X$3,$X$5)/1000</f>
        <v>#NAME?</v>
      </c>
      <c r="AH38" s="44" t="e">
        <f ca="1">_xll.HPVAL($X38,$AE$2,AH$1,$AF$2,$X$3,$X$5)/1000</f>
        <v>#NAME?</v>
      </c>
      <c r="AI38" s="44" t="e">
        <f ca="1">_xll.HPVAL($X38,$AE$2,AI$1,$AF$2,$X$3,$X$5)/1000</f>
        <v>#NAME?</v>
      </c>
    </row>
    <row r="39" spans="1:35" ht="12" customHeight="1" x14ac:dyDescent="0.25">
      <c r="A39" s="75" t="s">
        <v>87</v>
      </c>
      <c r="B39" s="38"/>
      <c r="C39" s="140" t="e">
        <f ca="1">SUM(C35:C38)</f>
        <v>#NAME?</v>
      </c>
      <c r="D39" s="141" t="e">
        <f ca="1">SUM(D35:D38)</f>
        <v>#NAME?</v>
      </c>
      <c r="E39" s="143" t="e">
        <f ca="1">SUM(E35:E38)</f>
        <v>#NAME?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 t="e">
        <f ca="1">Y41</f>
        <v>#NAME?</v>
      </c>
      <c r="D41" s="42" t="e">
        <f ca="1">SUM(Z41:AC41)</f>
        <v>#NAME?</v>
      </c>
      <c r="E41" s="66" t="e">
        <f ca="1">C41-D41</f>
        <v>#NAME?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 t="e">
        <f ca="1">_xll.HPVAL($X41,$X$1,Y$1,$X$2,$X$3,$X$5)/1000</f>
        <v>#NAME?</v>
      </c>
      <c r="Z41" s="44"/>
      <c r="AA41" s="44" t="e">
        <f ca="1">_xll.HPVAL($X41,$X$1,AA$1,$X$2,$X$3,$X$5)/1000</f>
        <v>#NAME?</v>
      </c>
      <c r="AB41" s="44" t="e">
        <f ca="1">_xll.HPVAL($X41,$X$1,AB$1,$X$2,$X$3,$X$5)/1000</f>
        <v>#NAME?</v>
      </c>
      <c r="AC41" s="44" t="e">
        <f ca="1">_xll.HPVAL($X41,$X$1,AC$1,$X$2,$X$3,$X$5)/1000</f>
        <v>#NAME?</v>
      </c>
      <c r="AE41" s="44" t="e">
        <f ca="1">_xll.HPVAL($X41,$AE$2,AE$1,$AF$2,$X$3,$X$5)/1000</f>
        <v>#NAME?</v>
      </c>
      <c r="AF41" s="44"/>
      <c r="AG41" s="44" t="e">
        <f ca="1">_xll.HPVAL($X41,$AE$2,AG$1,$AF$2,$X$3,$X$5)/1000</f>
        <v>#NAME?</v>
      </c>
      <c r="AH41" s="44" t="e">
        <f ca="1">_xll.HPVAL($X41,$AE$2,AH$1,$AF$2,$X$3,$X$5)/1000</f>
        <v>#NAME?</v>
      </c>
      <c r="AI41" s="44" t="e">
        <f ca="1">_xll.HPVAL($X41,$AE$2,AI$1,$AF$2,$X$3,$X$5)/1000</f>
        <v>#NAME?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 t="e">
        <f ca="1">SUM(Z43:AC43)</f>
        <v>#NAME?</v>
      </c>
      <c r="E43" s="66" t="e">
        <f ca="1">C43-D43</f>
        <v>#NAME?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 t="e">
        <f ca="1">_xll.HPVAL($X43,$X$1,AA$1,$X$2,$X$3,$X$5)/1000</f>
        <v>#NAME?</v>
      </c>
      <c r="AB43" s="44" t="e">
        <f ca="1">_xll.HPVAL($X43,$X$1,AB$1,$X$2,$X$3,$X$5)/1000</f>
        <v>#NAME?</v>
      </c>
      <c r="AC43" s="44" t="e">
        <f ca="1">_xll.HPVAL($X43,$X$1,AC$1,$X$2,$X$3,$X$5)/1000</f>
        <v>#NAME?</v>
      </c>
      <c r="AE43" s="44"/>
      <c r="AF43" s="44"/>
      <c r="AG43" s="44" t="e">
        <f ca="1">_xll.HPVAL($X43,$AE$2,AG$1,$AF$2,$X$3,$X$5)/1000</f>
        <v>#NAME?</v>
      </c>
      <c r="AH43" s="44" t="e">
        <f ca="1">_xll.HPVAL($X43,$AE$2,AH$1,$AF$2,$X$3,$X$5)/1000</f>
        <v>#NAME?</v>
      </c>
      <c r="AI43" s="44" t="e">
        <f ca="1">_xll.HPVAL($X43,$AE$2,AI$1,$AF$2,$X$3,$X$5)/1000</f>
        <v>#NAME?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40" t="e">
        <f ca="1">SUM(C39:C43)+C19+C27+C33</f>
        <v>#NAME?</v>
      </c>
      <c r="D45" s="141" t="e">
        <f ca="1">SUM(D39:D43)+D19+D27+D33</f>
        <v>#NAME?</v>
      </c>
      <c r="E45" s="143" t="e">
        <f ca="1">SUM(E39:E43)+E19+E27+E33</f>
        <v>#NAME?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 t="e">
        <f ca="1">SUM(Z47:AC47)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 t="e">
        <f ca="1">_xll.HPVAL($X47,$X$1,AB$1,$X$2,$X$3,$X$5)/1000</f>
        <v>#NAME?</v>
      </c>
      <c r="AC47" s="44" t="e">
        <f ca="1">_xll.HPVAL($X47,$X$1,AC$1,$X$2,$X$3,$X$5)/1000</f>
        <v>#NAME?</v>
      </c>
      <c r="AE47" s="44"/>
      <c r="AF47" s="44"/>
      <c r="AG47" s="44"/>
      <c r="AH47" s="44" t="e">
        <f ca="1">_xll.HPVAL($X47,$AE$2,AH$1,$AF$2,$X$3,$X$5)/1000</f>
        <v>#NAME?</v>
      </c>
      <c r="AI47" s="44" t="e">
        <f ca="1">_xll.HPVAL($X47,$AE$2,AI$1,$AF$2,$X$3,$X$5)/1000</f>
        <v>#NAME?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 t="e">
        <f ca="1">Y49</f>
        <v>#NAME?</v>
      </c>
      <c r="D49" s="42" t="e">
        <f ca="1">SUM(Z49:AC49)</f>
        <v>#NAME?</v>
      </c>
      <c r="E49" s="66" t="e">
        <f ca="1">C49-D49</f>
        <v>#NAME?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 t="e">
        <f ca="1">_xll.HPVAL($X49,$X$1,Y$1,$X$2,$X$3,$X$5)/1000</f>
        <v>#NAME?</v>
      </c>
      <c r="Z49" s="44"/>
      <c r="AA49" s="44"/>
      <c r="AB49" s="44" t="e">
        <f ca="1">_xll.HPVAL($X49,$X$1,AB$1,$X$2,$X$3,$X$5)/1000</f>
        <v>#NAME?</v>
      </c>
      <c r="AC49" s="44"/>
      <c r="AE49" s="44" t="e">
        <f ca="1">_xll.HPVAL($X49,$AE$2,AE$1,$AF$2,$X$3,$X$5)/1000</f>
        <v>#NAME?</v>
      </c>
      <c r="AF49" s="44"/>
      <c r="AG49" s="44"/>
      <c r="AH49" s="44" t="e">
        <f ca="1">_xll.HPVAL($X49,$AE$2,AH$1,$AF$2,$X$3,$X$5)/1000</f>
        <v>#NAME?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 t="e">
        <f ca="1">SUM(Z51:AC51)</f>
        <v>#NAME?</v>
      </c>
      <c r="E51" s="66" t="e">
        <f ca="1">C51-D51</f>
        <v>#NAME?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 t="e">
        <f ca="1">_xll.HPVAL($X51,$X$1,AA$1,$X$2,$X$3,$X$5)/1000</f>
        <v>#NAME?</v>
      </c>
      <c r="AB51" s="44"/>
      <c r="AC51" s="44"/>
      <c r="AE51" s="44"/>
      <c r="AF51" s="44"/>
      <c r="AG51" s="44" t="e">
        <f ca="1">_xll.HPVAL($X51,$AE$2,AG$1,$AF$2,$X$3,$X$5)/1000</f>
        <v>#NAME?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 t="e">
        <f ca="1">Y53</f>
        <v>#NAME?</v>
      </c>
      <c r="D53" s="42"/>
      <c r="E53" s="66" t="e">
        <f ca="1">C53-D53</f>
        <v>#NAME?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 t="e">
        <f ca="1">_xll.HPVAL($X53,$X$1,Y$1,$X$2,$X$3,$X$5)/1000</f>
        <v>#NAME?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40" t="e">
        <f ca="1">SUM(C45:C53)</f>
        <v>#NAME?</v>
      </c>
      <c r="D55" s="141" t="e">
        <f ca="1">SUM(D45:D53)</f>
        <v>#NAME?</v>
      </c>
      <c r="E55" s="143" t="e">
        <f ca="1">SUM(E45:E53)</f>
        <v>#NAME?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 t="e">
        <f ca="1">SUM(C55:C57)</f>
        <v>#NAME?</v>
      </c>
      <c r="D59" s="96" t="e">
        <f ca="1">SUM(D55:D57)</f>
        <v>#NAME?</v>
      </c>
      <c r="E59" s="97" t="e">
        <f ca="1">SUM(E55:E57)</f>
        <v>#NAME?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7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0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75" x14ac:dyDescent="0.25">
      <c r="A2" s="25" t="s">
        <v>80</v>
      </c>
      <c r="B2" s="312" t="s">
        <v>17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</row>
    <row r="3" spans="1:22" ht="16.5" x14ac:dyDescent="0.3">
      <c r="A3" s="26" t="s">
        <v>81</v>
      </c>
      <c r="B3" s="313" t="s">
        <v>159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</row>
    <row r="4" spans="1:22" ht="13.5" x14ac:dyDescent="0.25">
      <c r="A4" s="25" t="s">
        <v>125</v>
      </c>
      <c r="B4" s="314" t="s">
        <v>160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</row>
    <row r="5" spans="1:22" ht="3" customHeight="1" x14ac:dyDescent="0.25"/>
    <row r="6" spans="1:22" ht="12" customHeight="1" x14ac:dyDescent="0.25">
      <c r="B6" s="28"/>
      <c r="D6" s="315" t="s">
        <v>79</v>
      </c>
      <c r="E6" s="316"/>
      <c r="F6" s="317"/>
      <c r="H6" s="315" t="s">
        <v>83</v>
      </c>
      <c r="I6" s="316"/>
      <c r="J6" s="317"/>
      <c r="L6" s="315" t="s">
        <v>84</v>
      </c>
      <c r="M6" s="316"/>
      <c r="N6" s="317"/>
      <c r="P6" s="315" t="s">
        <v>85</v>
      </c>
      <c r="Q6" s="316"/>
      <c r="R6" s="317"/>
      <c r="T6" s="315" t="s">
        <v>14</v>
      </c>
      <c r="U6" s="316"/>
      <c r="V6" s="317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110</v>
      </c>
      <c r="B11" s="29" t="s">
        <v>106</v>
      </c>
      <c r="C11" s="38"/>
      <c r="D11" s="41" t="e">
        <f ca="1">ROUND(_xll.HPVAL($A11,D$1,$A$2,F$1,$A$3,$A$4)/1000,0)-D30</f>
        <v>#NAME?</v>
      </c>
      <c r="E11" s="42" t="e">
        <f ca="1">ROUND(_xll.HPVAL($A11,E$1,$A$2,F$1,$A$3,$A$4)/1000,0)-E30</f>
        <v>#NAME?</v>
      </c>
      <c r="F11" s="66" t="e">
        <f t="shared" ca="1" si="0"/>
        <v>#NAME?</v>
      </c>
      <c r="G11" s="42"/>
      <c r="H11" s="41" t="e">
        <f ca="1">ROUND(_xll.HPVAL($A11,H$1,$A$2,J$1,$A$3,$A$4)/1000,0)-H30</f>
        <v>#NAME?</v>
      </c>
      <c r="I11" s="42" t="e">
        <f ca="1">ROUND(_xll.HPVAL($A11,I$1,$A$2,J$1,$A$3,$A$4)/1000,0)-I30</f>
        <v>#NAME?</v>
      </c>
      <c r="J11" s="66" t="e">
        <f t="shared" ca="1" si="1"/>
        <v>#NAME?</v>
      </c>
      <c r="K11" s="42"/>
      <c r="L11" s="41" t="e">
        <f ca="1">ROUND(_xll.HPVAL($A11,L$1,$A$2,N$1,$A$3,$A$4)/1000,0)-L30</f>
        <v>#NAME?</v>
      </c>
      <c r="M11" s="42" t="e">
        <f ca="1">ROUND(_xll.HPVAL($A11,M$1,$A$2,N$1,$A$3,$A$4)/1000,0)-M30</f>
        <v>#NAME?</v>
      </c>
      <c r="N11" s="66" t="e">
        <f t="shared" ca="1" si="2"/>
        <v>#NAME?</v>
      </c>
      <c r="O11" s="42"/>
      <c r="P11" s="41" t="e">
        <f ca="1">ROUND(_xll.HPVAL($A11,P$1,$A$2,R$1,$A$3,$A$4)/1000,0)-P30</f>
        <v>#NAME?</v>
      </c>
      <c r="Q11" s="42" t="e">
        <f ca="1">ROUND(_xll.HPVAL($A11,Q$1,$A$2,R$1,$A$3,$A$4)/1000,0)-Q30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27</v>
      </c>
      <c r="B12" s="29" t="s">
        <v>132</v>
      </c>
      <c r="C12" s="38"/>
      <c r="D12" s="41" t="e">
        <f ca="1">ROUND((_xll.HPVAL($A12,D$1,"other",F$1,$A$3,$A$4)+_xll.HPVAL($A12,D$1,"overview",F$1,$A$3,$A$4)-(_xll.HPVAL($A12,D$1,"tot_ops_expenses",F$1,$A$3,$A$4)*0.8577)-(_xll.HPVAL($A12,D$1,"tot_allocation",F$1,$A$3,$A$4)*0.8577))/1000,0)</f>
        <v>#NAME?</v>
      </c>
      <c r="E12" s="42" t="e">
        <f ca="1">ROUND((_xll.HPVAL($A12,E$1,"other",F$1,$A$3,$A$4)+_xll.HPVAL($A12,E$1,"overview",F$1,$A$3,$A$4)-(_xll.HPVAL($A12,E$1,"tot_ops_expenses",F$1,$A$3,$A$4)*0.8577)-(_xll.HPVAL($A12,E$1,"tot_allocation",F$1,$A$3,$A$4)*0.8577))/1000,0)</f>
        <v>#NAME?</v>
      </c>
      <c r="F12" s="66" t="e">
        <f t="shared" ca="1" si="0"/>
        <v>#NAME?</v>
      </c>
      <c r="G12" s="42"/>
      <c r="H12" s="41" t="e">
        <f ca="1">ROUND((_xll.HPVAL($A12,H$1,"other",J$1,$A$3,$A$4)+_xll.HPVAL($A12,H$1,"overview",J$1,$A$3,$A$4)-(_xll.HPVAL($A12,H$1,"tot_ops_expenses",J$1,$A$3,$A$4)*0.8577)-(_xll.HPVAL($A12,H$1,"tot_allocation",J$1,$A$3,$A$4)*0.8577))/1000,0)</f>
        <v>#NAME?</v>
      </c>
      <c r="I12" s="42" t="e">
        <f ca="1">ROUND((_xll.HPVAL($A12,I$1,"other",J$1,$A$3,$A$4)+_xll.HPVAL($A12,I$1,"overview",J$1,$A$3,$A$4)-(_xll.HPVAL($A12,I$1,"tot_ops_expenses",J$1,$A$3,$A$4)*0.8577)-(_xll.HPVAL($A12,I$1,"tot_allocation",J$1,$A$3,$A$4)*0.8577))/1000,0)</f>
        <v>#NAME?</v>
      </c>
      <c r="J12" s="66" t="e">
        <f t="shared" ca="1" si="1"/>
        <v>#NAME?</v>
      </c>
      <c r="K12" s="42"/>
      <c r="L12" s="41" t="e">
        <f ca="1">ROUND((_xll.HPVAL($A12,L$1,"other",N$1,$A$3,$A$4)+_xll.HPVAL($A12,L$1,"overview",N$1,$A$3,$A$4)-(_xll.HPVAL($A12,L$1,"tot_ops_expenses",N$1,$A$3,$A$4)*0.8577)-(_xll.HPVAL($A12,L$1,"tot_allocation",N$1,$A$3,$A$4)*0.8577))/1000,0)</f>
        <v>#NAME?</v>
      </c>
      <c r="M12" s="42" t="e">
        <f ca="1">ROUND((_xll.HPVAL($A12,M$1,"other",N$1,$A$3,$A$4)+_xll.HPVAL($A12,M$1,"overview",N$1,$A$3,$A$4)-(_xll.HPVAL($A12,M$1,"tot_ops_expenses",N$1,$A$3,$A$4)*0.8577)-(_xll.HPVAL($A12,M$1,"tot_allocation",N$1,$A$3,$A$4)*0.8577))/1000,0)</f>
        <v>#NAME?</v>
      </c>
      <c r="N12" s="66" t="e">
        <f t="shared" ca="1" si="2"/>
        <v>#NAME?</v>
      </c>
      <c r="O12" s="42"/>
      <c r="P12" s="41" t="e">
        <f ca="1">ROUND((_xll.HPVAL($A12,P$1,"other",R$1,$A$3,$A$4)+_xll.HPVAL($A12,P$1,"overview",R$1,$A$3,$A$4)-(_xll.HPVAL($A12,P$1,"tot_ops_expenses",R$1,$A$3,$A$4)*0.8577)-(_xll.HPVAL($A12,P$1,"tot_allocation",R$1,$A$3,$A$4)*0.8577))/1000,0)</f>
        <v>#NAME?</v>
      </c>
      <c r="Q12" s="42" t="e">
        <f ca="1">ROUND((_xll.HPVAL($A12,Q$1,"other",R$1,$A$3,$A$4)+_xll.HPVAL($A12,Q$1,"overview",R$1,$A$3,$A$4)-(_xll.HPVAL($A12,Q$1,"tot_ops_expenses",R$1,$A$3,$A$4)*0.8577)-(_xll.HPVAL($A12,Q$1,"tot_allocation",R$1,$A$3,$A$4)*0.8577))/1000,0)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134</v>
      </c>
      <c r="B13" s="29" t="s">
        <v>133</v>
      </c>
      <c r="C13" s="38"/>
      <c r="D13" s="41" t="e">
        <f ca="1">ROUND(_xll.HPVAL($A13,D$1,$A$2,F$1,$A$3,$A$4)/1000,0)-D12</f>
        <v>#NAME?</v>
      </c>
      <c r="E13" s="42" t="e">
        <f ca="1">ROUND(_xll.HPVAL($A13,E$1,$A$2,F$1,$A$3,$A$4)/1000,0)-E12</f>
        <v>#NAME?</v>
      </c>
      <c r="F13" s="66" t="e">
        <f ca="1">ROUND(D13-E13,0)</f>
        <v>#NAME?</v>
      </c>
      <c r="G13" s="42"/>
      <c r="H13" s="41" t="e">
        <f ca="1">ROUND(_xll.HPVAL($A13,H$1,$A$2,J$1,$A$3,$A$4)/1000,0)-H12</f>
        <v>#NAME?</v>
      </c>
      <c r="I13" s="42" t="e">
        <f ca="1">ROUND(_xll.HPVAL($A13,I$1,$A$2,J$1,$A$3,$A$4)/1000,0)-I12</f>
        <v>#NAME?</v>
      </c>
      <c r="J13" s="66" t="e">
        <f ca="1">ROUND(H13-I13,0)</f>
        <v>#NAME?</v>
      </c>
      <c r="K13" s="42"/>
      <c r="L13" s="41" t="e">
        <f ca="1">ROUND(_xll.HPVAL($A13,L$1,$A$2,N$1,$A$3,$A$4)/1000,0)-L12</f>
        <v>#NAME?</v>
      </c>
      <c r="M13" s="42" t="e">
        <f ca="1">ROUND(_xll.HPVAL($A13,M$1,$A$2,N$1,$A$3,$A$4)/1000,0)-M12</f>
        <v>#NAME?</v>
      </c>
      <c r="N13" s="66" t="e">
        <f ca="1">ROUND(L13-M13,0)</f>
        <v>#NAME?</v>
      </c>
      <c r="O13" s="42"/>
      <c r="P13" s="41" t="e">
        <f ca="1">ROUND(_xll.HPVAL($A13,P$1,$A$2,R$1,$A$3,$A$4)/1000,0)-P12</f>
        <v>#NAME?</v>
      </c>
      <c r="Q13" s="42" t="e">
        <f ca="1">ROUND(_xll.HPVAL($A13,Q$1,$A$2,R$1,$A$3,$A$4)/1000,0)-Q12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43</v>
      </c>
      <c r="B14" s="29" t="s">
        <v>114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28</v>
      </c>
      <c r="B15" s="29" t="s">
        <v>5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30</v>
      </c>
      <c r="B16" s="29" t="s">
        <v>155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4</v>
      </c>
      <c r="B17" s="29" t="s">
        <v>107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73</v>
      </c>
      <c r="B18" s="29" t="s">
        <v>156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31</v>
      </c>
      <c r="B19" s="29" t="s">
        <v>2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6</v>
      </c>
      <c r="C20" s="38"/>
      <c r="D20" s="140" t="e">
        <f ca="1">SUM(D10:D19)</f>
        <v>#NAME?</v>
      </c>
      <c r="E20" s="141" t="e">
        <f ca="1">SUM(E10:E19)</f>
        <v>#NAME?</v>
      </c>
      <c r="F20" s="143" t="e">
        <f ca="1">SUM(F10:F19)</f>
        <v>#NAME?</v>
      </c>
      <c r="G20" s="42"/>
      <c r="H20" s="140" t="e">
        <f ca="1">SUM(H10:H19)</f>
        <v>#NAME?</v>
      </c>
      <c r="I20" s="141" t="e">
        <f ca="1">SUM(I10:I19)</f>
        <v>#NAME?</v>
      </c>
      <c r="J20" s="143" t="e">
        <f ca="1">SUM(J10:J19)</f>
        <v>#NAME?</v>
      </c>
      <c r="K20" s="42"/>
      <c r="L20" s="140" t="e">
        <f ca="1">SUM(L10:L19)</f>
        <v>#NAME?</v>
      </c>
      <c r="M20" s="141" t="e">
        <f ca="1">SUM(M10:M19)</f>
        <v>#NAME?</v>
      </c>
      <c r="N20" s="143" t="e">
        <f ca="1">SUM(N10:N19)</f>
        <v>#NAME?</v>
      </c>
      <c r="O20" s="42"/>
      <c r="P20" s="140" t="e">
        <f ca="1">SUM(P10:P19)</f>
        <v>#NAME?</v>
      </c>
      <c r="Q20" s="141" t="e">
        <f ca="1">SUM(Q10:Q19)</f>
        <v>#NAME?</v>
      </c>
      <c r="R20" s="143" t="e">
        <f ca="1">SUM(R10:R19)</f>
        <v>#NAME?</v>
      </c>
      <c r="S20" s="42"/>
      <c r="T20" s="140" t="e">
        <f ca="1">SUM(T10:T19)</f>
        <v>#NAME?</v>
      </c>
      <c r="U20" s="141" t="e">
        <f ca="1">SUM(U10:U19)</f>
        <v>#NAME?</v>
      </c>
      <c r="V20" s="143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7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7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7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7" ca="1" si="10">ROUND(P22-Q22,0)</f>
        <v>#NAME?</v>
      </c>
      <c r="S22" s="42"/>
      <c r="T22" s="41" t="e">
        <f t="shared" ref="T22:T27" ca="1" si="11">D22+H22+L22+P22</f>
        <v>#NAME?</v>
      </c>
      <c r="U22" s="42" t="e">
        <f t="shared" ref="U22:U27" ca="1" si="12">E22+I22+M22+Q22</f>
        <v>#NAME?</v>
      </c>
      <c r="V22" s="66" t="e">
        <f t="shared" ref="V22:V27" ca="1" si="13">ROUND(T22-U22,0)</f>
        <v>#NAME?</v>
      </c>
    </row>
    <row r="23" spans="1:22" ht="12" customHeight="1" x14ac:dyDescent="0.25">
      <c r="A23" s="25" t="s">
        <v>38</v>
      </c>
      <c r="B23" s="29" t="s">
        <v>89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35</v>
      </c>
      <c r="B24" s="29" t="s">
        <v>90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152</v>
      </c>
      <c r="B25" s="29" t="s">
        <v>91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36</v>
      </c>
      <c r="B27" s="29" t="s">
        <v>0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7"/>
      <c r="B28" s="75" t="s">
        <v>1</v>
      </c>
      <c r="C28" s="38"/>
      <c r="D28" s="140" t="e">
        <f ca="1">SUM(D22:D27)</f>
        <v>#NAME?</v>
      </c>
      <c r="E28" s="141" t="e">
        <f ca="1">SUM(E22:E27)</f>
        <v>#NAME?</v>
      </c>
      <c r="F28" s="143" t="e">
        <f ca="1">SUM(F22:F27)</f>
        <v>#NAME?</v>
      </c>
      <c r="G28" s="42"/>
      <c r="H28" s="140" t="e">
        <f ca="1">SUM(H22:H27)</f>
        <v>#NAME?</v>
      </c>
      <c r="I28" s="141" t="e">
        <f ca="1">SUM(I22:I27)</f>
        <v>#NAME?</v>
      </c>
      <c r="J28" s="143" t="e">
        <f ca="1">SUM(J22:J27)</f>
        <v>#NAME?</v>
      </c>
      <c r="K28" s="42"/>
      <c r="L28" s="140" t="e">
        <f ca="1">SUM(L22:L27)</f>
        <v>#NAME?</v>
      </c>
      <c r="M28" s="141" t="e">
        <f ca="1">SUM(M22:M27)</f>
        <v>#NAME?</v>
      </c>
      <c r="N28" s="143" t="e">
        <f ca="1">SUM(N22:N27)</f>
        <v>#NAME?</v>
      </c>
      <c r="O28" s="42"/>
      <c r="P28" s="140" t="e">
        <f ca="1">SUM(P22:P27)</f>
        <v>#NAME?</v>
      </c>
      <c r="Q28" s="141" t="e">
        <f ca="1">SUM(Q22:Q27)</f>
        <v>#NAME?</v>
      </c>
      <c r="R28" s="143" t="e">
        <f ca="1">SUM(R22:R27)</f>
        <v>#NAME?</v>
      </c>
      <c r="S28" s="42"/>
      <c r="T28" s="140" t="e">
        <f ca="1">SUM(T22:T27)</f>
        <v>#NAME?</v>
      </c>
      <c r="U28" s="141" t="e">
        <f ca="1">SUM(U22:U27)</f>
        <v>#NAME?</v>
      </c>
      <c r="V28" s="143" t="e">
        <f ca="1">SUM(V22:V27)</f>
        <v>#NAME?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 t="e">
        <f ca="1">ROUND(_xll.HPVAL($A30,D$1,$A$2,F$1,$A$3,$A$4)/1000,0)</f>
        <v>#NAME?</v>
      </c>
      <c r="E30" s="42" t="e">
        <f ca="1">ROUND(_xll.HPVAL($A30,E$1,$A$2,F$1,$A$3,$A$4)/1000,0)</f>
        <v>#NAME?</v>
      </c>
      <c r="F30" s="66" t="e">
        <f ca="1">ROUND(D30-E30,0)</f>
        <v>#NAME?</v>
      </c>
      <c r="G30" s="42"/>
      <c r="H30" s="41" t="e">
        <f ca="1">ROUND(_xll.HPVAL($A30,H$1,$A$2,J$1,$A$3,$A$4)/1000,0)</f>
        <v>#NAME?</v>
      </c>
      <c r="I30" s="42" t="e">
        <f ca="1">ROUND(_xll.HPVAL($A30,I$1,$A$2,J$1,$A$3,$A$4)/1000,0)</f>
        <v>#NAME?</v>
      </c>
      <c r="J30" s="66" t="e">
        <f ca="1">ROUND(H30-I30,0)</f>
        <v>#NAME?</v>
      </c>
      <c r="K30" s="42"/>
      <c r="L30" s="41" t="e">
        <f ca="1">ROUND(_xll.HPVAL($A30,L$1,$A$2,N$1,$A$3,$A$4)/1000,0)</f>
        <v>#NAME?</v>
      </c>
      <c r="M30" s="42" t="e">
        <f ca="1">ROUND(_xll.HPVAL($A30,M$1,$A$2,N$1,$A$3,$A$4)/1000,0)</f>
        <v>#NAME?</v>
      </c>
      <c r="N30" s="66" t="e">
        <f ca="1">ROUND(L30-M30,0)</f>
        <v>#NAME?</v>
      </c>
      <c r="O30" s="42"/>
      <c r="P30" s="41" t="e">
        <f ca="1">ROUND(_xll.HPVAL($A30,P$1,$A$2,R$1,$A$3,$A$4)/1000,0)</f>
        <v>#NAME?</v>
      </c>
      <c r="Q30" s="42" t="e">
        <f ca="1">ROUND(_xll.HPVAL($A30,Q$1,$A$2,R$1,$A$3,$A$4)/1000,0)</f>
        <v>#NAME?</v>
      </c>
      <c r="R30" s="66" t="e">
        <f ca="1">ROUND(P30-Q30,0)</f>
        <v>#NAME?</v>
      </c>
      <c r="S30" s="42"/>
      <c r="T30" s="41" t="e">
        <f ca="1">D30+H30+L30+P30</f>
        <v>#NAME?</v>
      </c>
      <c r="U30" s="42" t="e">
        <f ca="1">E30+I30+M30+Q30</f>
        <v>#NAME?</v>
      </c>
      <c r="V30" s="66" t="e">
        <f ca="1">ROUND(T30-U30,0)</f>
        <v>#NAME?</v>
      </c>
    </row>
    <row r="31" spans="1:22" ht="12" customHeight="1" x14ac:dyDescent="0.25">
      <c r="A31" s="25" t="s">
        <v>37</v>
      </c>
      <c r="B31" s="29" t="s">
        <v>67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t="shared" ref="T31:U33" ca="1" si="14">D31+H31+L31+P31</f>
        <v>#NAME?</v>
      </c>
      <c r="U31" s="42" t="e">
        <f t="shared" ca="1" si="14"/>
        <v>#NAME?</v>
      </c>
      <c r="V31" s="66" t="e">
        <f ca="1">ROUND(T31-U31,0)</f>
        <v>#NAME?</v>
      </c>
    </row>
    <row r="32" spans="1:22" ht="12" customHeight="1" x14ac:dyDescent="0.25">
      <c r="A32" s="25" t="s">
        <v>41</v>
      </c>
      <c r="B32" s="29" t="s">
        <v>92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ca="1" si="14"/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42</v>
      </c>
      <c r="B33" s="29" t="s">
        <v>93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B34" s="75" t="s">
        <v>86</v>
      </c>
      <c r="C34" s="38"/>
      <c r="D34" s="140" t="e">
        <f ca="1">SUM(D30:D33)</f>
        <v>#NAME?</v>
      </c>
      <c r="E34" s="141" t="e">
        <f ca="1">SUM(E30:E33)</f>
        <v>#NAME?</v>
      </c>
      <c r="F34" s="143" t="e">
        <f ca="1">SUM(F30:F33)</f>
        <v>#NAME?</v>
      </c>
      <c r="G34" s="42"/>
      <c r="H34" s="140" t="e">
        <f ca="1">SUM(H30:H33)</f>
        <v>#NAME?</v>
      </c>
      <c r="I34" s="141" t="e">
        <f ca="1">SUM(I30:I33)</f>
        <v>#NAME?</v>
      </c>
      <c r="J34" s="143" t="e">
        <f ca="1">SUM(J30:J33)</f>
        <v>#NAME?</v>
      </c>
      <c r="K34" s="42"/>
      <c r="L34" s="140" t="e">
        <f ca="1">SUM(L30:L33)</f>
        <v>#NAME?</v>
      </c>
      <c r="M34" s="141" t="e">
        <f ca="1">SUM(M30:M33)</f>
        <v>#NAME?</v>
      </c>
      <c r="N34" s="143" t="e">
        <f ca="1">SUM(N30:N33)</f>
        <v>#NAME?</v>
      </c>
      <c r="O34" s="42"/>
      <c r="P34" s="140" t="e">
        <f ca="1">SUM(P30:P33)</f>
        <v>#NAME?</v>
      </c>
      <c r="Q34" s="141" t="e">
        <f ca="1">SUM(Q30:Q33)</f>
        <v>#NAME?</v>
      </c>
      <c r="R34" s="143" t="e">
        <f ca="1">SUM(R30:R33)</f>
        <v>#NAME?</v>
      </c>
      <c r="S34" s="42"/>
      <c r="T34" s="140" t="e">
        <f ca="1">SUM(T30:T33)</f>
        <v>#NAME?</v>
      </c>
      <c r="U34" s="141" t="e">
        <f ca="1">SUM(U30:U33)</f>
        <v>#NAME?</v>
      </c>
      <c r="V34" s="143" t="e">
        <f ca="1">SUM(V30:V33)</f>
        <v>#NAME?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 t="e">
        <f ca="1">ROUND(_xll.HPVAL($A36,D$1,$A$2,F$1,$A$3,$A$4)/1000,0)</f>
        <v>#NAME?</v>
      </c>
      <c r="E36" s="42" t="e">
        <f ca="1">ROUND(_xll.HPVAL($A36,E$1,$A$2,F$1,$A$3,$A$4)/1000,0)</f>
        <v>#NAME?</v>
      </c>
      <c r="F36" s="66" t="e">
        <f ca="1">ROUND(D36-E36,0)</f>
        <v>#NAME?</v>
      </c>
      <c r="G36" s="42"/>
      <c r="H36" s="41" t="e">
        <f ca="1">ROUND(_xll.HPVAL($A36,H$1,$A$2,J$1,$A$3,$A$4)/1000,0)</f>
        <v>#NAME?</v>
      </c>
      <c r="I36" s="42" t="e">
        <f ca="1">ROUND(_xll.HPVAL($A36,I$1,$A$2,J$1,$A$3,$A$4)/1000,0)</f>
        <v>#NAME?</v>
      </c>
      <c r="J36" s="66" t="e">
        <f ca="1">ROUND(H36-I36,0)</f>
        <v>#NAME?</v>
      </c>
      <c r="K36" s="42"/>
      <c r="L36" s="41" t="e">
        <f ca="1">ROUND(_xll.HPVAL($A36,L$1,$A$2,N$1,$A$3,$A$4)/1000,0)</f>
        <v>#NAME?</v>
      </c>
      <c r="M36" s="42" t="e">
        <f ca="1">ROUND(_xll.HPVAL($A36,M$1,$A$2,N$1,$A$3,$A$4)/1000,0)</f>
        <v>#NAME?</v>
      </c>
      <c r="N36" s="66" t="e">
        <f ca="1">ROUND(L36-M36,0)</f>
        <v>#NAME?</v>
      </c>
      <c r="O36" s="42"/>
      <c r="P36" s="41" t="e">
        <f ca="1">ROUND(_xll.HPVAL($A36,P$1,$A$2,R$1,$A$3,$A$4)/1000,0)</f>
        <v>#NAME?</v>
      </c>
      <c r="Q36" s="42" t="e">
        <f ca="1">ROUND(_xll.HPVAL($A36,Q$1,$A$2,R$1,$A$3,$A$4)/1000,0)</f>
        <v>#NAME?</v>
      </c>
      <c r="R36" s="66" t="e">
        <f ca="1">ROUND(P36-Q36,0)</f>
        <v>#NAME?</v>
      </c>
      <c r="S36" s="42"/>
      <c r="T36" s="41" t="e">
        <f t="shared" ref="T36:U39" ca="1" si="15">D36+H36+L36+P36</f>
        <v>#NAME?</v>
      </c>
      <c r="U36" s="42" t="e">
        <f t="shared" ca="1" si="15"/>
        <v>#NAME?</v>
      </c>
      <c r="V36" s="66" t="e">
        <f ca="1">ROUND(T36-U36,0)</f>
        <v>#NAME?</v>
      </c>
    </row>
    <row r="37" spans="1:22" ht="12" customHeight="1" x14ac:dyDescent="0.25">
      <c r="A37" s="25" t="s">
        <v>39</v>
      </c>
      <c r="B37" s="29" t="s">
        <v>151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ca="1" si="15"/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153</v>
      </c>
      <c r="B38" s="29" t="s">
        <v>180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157</v>
      </c>
      <c r="B39" s="29" t="s">
        <v>154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B40" s="75" t="s">
        <v>87</v>
      </c>
      <c r="C40" s="38"/>
      <c r="D40" s="140" t="e">
        <f ca="1">SUM(D36:D39)</f>
        <v>#NAME?</v>
      </c>
      <c r="E40" s="141" t="e">
        <f ca="1">SUM(E36:E39)</f>
        <v>#NAME?</v>
      </c>
      <c r="F40" s="143" t="e">
        <f ca="1">SUM(F36:F39)</f>
        <v>#NAME?</v>
      </c>
      <c r="G40" s="42"/>
      <c r="H40" s="140" t="e">
        <f ca="1">SUM(H36:H39)</f>
        <v>#NAME?</v>
      </c>
      <c r="I40" s="141" t="e">
        <f ca="1">SUM(I36:I39)</f>
        <v>#NAME?</v>
      </c>
      <c r="J40" s="143" t="e">
        <f ca="1">SUM(J36:J39)</f>
        <v>#NAME?</v>
      </c>
      <c r="K40" s="42"/>
      <c r="L40" s="140" t="e">
        <f ca="1">SUM(L36:L39)</f>
        <v>#NAME?</v>
      </c>
      <c r="M40" s="141" t="e">
        <f ca="1">SUM(M36:M39)</f>
        <v>#NAME?</v>
      </c>
      <c r="N40" s="143" t="e">
        <f ca="1">SUM(N36:N39)</f>
        <v>#NAME?</v>
      </c>
      <c r="O40" s="42"/>
      <c r="P40" s="140" t="e">
        <f ca="1">SUM(P36:P39)</f>
        <v>#NAME?</v>
      </c>
      <c r="Q40" s="141" t="e">
        <f ca="1">SUM(Q36:Q39)</f>
        <v>#NAME?</v>
      </c>
      <c r="R40" s="143" t="e">
        <f ca="1">SUM(R36:R39)</f>
        <v>#NAME?</v>
      </c>
      <c r="S40" s="42"/>
      <c r="T40" s="140" t="e">
        <f ca="1">SUM(T36:T39)</f>
        <v>#NAME?</v>
      </c>
      <c r="U40" s="141" t="e">
        <f ca="1">SUM(U36:U39)</f>
        <v>#NAME?</v>
      </c>
      <c r="V40" s="143" t="e">
        <f ca="1">SUM(V36:V39)</f>
        <v>#NAME?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 t="e">
        <f ca="1">ROUND(_xll.HPVAL($A42,D$1,$A$2,F$1,$A$3,$A$4)/1000,0)</f>
        <v>#NAME?</v>
      </c>
      <c r="E42" s="42" t="e">
        <f ca="1">ROUND(_xll.HPVAL($A42,E$1,$A$2,F$1,$A$3,$A$4)/1000,0)</f>
        <v>#NAME?</v>
      </c>
      <c r="F42" s="66" t="e">
        <f ca="1">ROUND(D42-E42,0)</f>
        <v>#NAME?</v>
      </c>
      <c r="G42" s="42"/>
      <c r="H42" s="41" t="e">
        <f ca="1">ROUND(_xll.HPVAL($A42,H$1,$A$2,J$1,$A$3,$A$4)/1000,0)</f>
        <v>#NAME?</v>
      </c>
      <c r="I42" s="42" t="e">
        <f ca="1">ROUND(_xll.HPVAL($A42,I$1,$A$2,J$1,$A$3,$A$4)/1000,0)</f>
        <v>#NAME?</v>
      </c>
      <c r="J42" s="66" t="e">
        <f ca="1">ROUND(H42-I42,0)</f>
        <v>#NAME?</v>
      </c>
      <c r="K42" s="42"/>
      <c r="L42" s="41" t="e">
        <f ca="1">ROUND(_xll.HPVAL($A42,L$1,$A$2,N$1,$A$3,$A$4)/1000,0)</f>
        <v>#NAME?</v>
      </c>
      <c r="M42" s="42" t="e">
        <f ca="1">ROUND(_xll.HPVAL($A42,M$1,$A$2,N$1,$A$3,$A$4)/1000,0)</f>
        <v>#NAME?</v>
      </c>
      <c r="N42" s="66" t="e">
        <f ca="1">ROUND(L42-M42,0)</f>
        <v>#NAME?</v>
      </c>
      <c r="O42" s="42"/>
      <c r="P42" s="41" t="e">
        <f ca="1">ROUND(_xll.HPVAL($A42,P$1,$A$2,R$1,$A$3,$A$4)/1000,0)</f>
        <v>#NAME?</v>
      </c>
      <c r="Q42" s="42" t="e">
        <f ca="1">ROUND(_xll.HPVAL($A42,Q$1,$A$2,R$1,$A$3,$A$4)/1000,0)</f>
        <v>#NAME?</v>
      </c>
      <c r="R42" s="66" t="e">
        <f ca="1">ROUND(P42-Q42,0)</f>
        <v>#NAME?</v>
      </c>
      <c r="S42" s="42"/>
      <c r="T42" s="41" t="e">
        <f ca="1">D42+H42+L42+P42</f>
        <v>#NAME?</v>
      </c>
      <c r="U42" s="42" t="e">
        <f ca="1">E42+I42+M42+Q42</f>
        <v>#NAME?</v>
      </c>
      <c r="V42" s="66" t="e">
        <f ca="1">ROUND(T42-U42,0)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ROUND(_xll.HPVAL($A44,E$1,$A$2,F$1,$A$3,$A$4)/1000,0)-E54</f>
        <v>#NAME?</v>
      </c>
      <c r="F44" s="66" t="e">
        <f ca="1">ROUND(D44-E44,0)</f>
        <v>#NAME?</v>
      </c>
      <c r="G44" s="42"/>
      <c r="H44" s="41" t="e">
        <f ca="1">ROUND(_xll.HPVAL($A44,H$1,$A$2,J$1,$A$3,$A$4)/1000,0)-H54</f>
        <v>#NAME?</v>
      </c>
      <c r="I44" s="42" t="e">
        <f ca="1">ROUND(_xll.HPVAL($A44,I$1,$A$2,J$1,$A$3,$A$4)/1000,0)-I54</f>
        <v>#NAME?</v>
      </c>
      <c r="J44" s="66" t="e">
        <f ca="1">ROUND(H44-I44,0)</f>
        <v>#NAME?</v>
      </c>
      <c r="K44" s="42"/>
      <c r="L44" s="41" t="e">
        <f ca="1">ROUND(_xll.HPVAL($A44,L$1,$A$2,N$1,$A$3,$A$4)/1000,0)-L54</f>
        <v>#NAME?</v>
      </c>
      <c r="M44" s="42" t="e">
        <f ca="1">ROUND(_xll.HPVAL($A44,M$1,$A$2,N$1,$A$3,$A$4)/1000,0)-M54</f>
        <v>#NAME?</v>
      </c>
      <c r="N44" s="66" t="e">
        <f ca="1">ROUND(L44-M44,0)</f>
        <v>#NAME?</v>
      </c>
      <c r="O44" s="42"/>
      <c r="P44" s="41" t="e">
        <f ca="1">ROUND(_xll.HPVAL($A44,P$1,$A$2,R$1,$A$3,$A$4)/1000,0)-P54</f>
        <v>#NAME?</v>
      </c>
      <c r="Q44" s="42" t="e">
        <f ca="1">ROUND(_xll.HPVAL($A44,Q$1,$A$2,R$1,$A$3,$A$4)/1000,0)-Q54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40" t="e">
        <f ca="1">SUM(D40:D44)+D20+D28+D34</f>
        <v>#NAME?</v>
      </c>
      <c r="E46" s="141" t="e">
        <f ca="1">SUM(E40:E44)+E20+E28+E34</f>
        <v>#NAME?</v>
      </c>
      <c r="F46" s="143" t="e">
        <f ca="1">SUM(F40:F44)+F20+F28+F34</f>
        <v>#NAME?</v>
      </c>
      <c r="G46" s="67"/>
      <c r="H46" s="140" t="e">
        <f ca="1">SUM(H40:H44)+H20+H28+H34</f>
        <v>#NAME?</v>
      </c>
      <c r="I46" s="141" t="e">
        <f ca="1">SUM(I40:I44)+I20+I28+I34</f>
        <v>#NAME?</v>
      </c>
      <c r="J46" s="143" t="e">
        <f ca="1">SUM(J40:J44)+J20+J28+J34</f>
        <v>#NAME?</v>
      </c>
      <c r="K46" s="67"/>
      <c r="L46" s="140" t="e">
        <f ca="1">SUM(L40:L44)+L20+L28+L34</f>
        <v>#NAME?</v>
      </c>
      <c r="M46" s="141" t="e">
        <f ca="1">SUM(M40:M44)+M20+M28+M34</f>
        <v>#NAME?</v>
      </c>
      <c r="N46" s="143" t="e">
        <f ca="1">SUM(N40:N44)+N20+N28+N34</f>
        <v>#NAME?</v>
      </c>
      <c r="O46" s="67"/>
      <c r="P46" s="140" t="e">
        <f ca="1">SUM(P40:P44)+P20+P28+P34</f>
        <v>#NAME?</v>
      </c>
      <c r="Q46" s="141" t="e">
        <f ca="1">SUM(Q40:Q44)+Q20+Q28+Q34</f>
        <v>#NAME?</v>
      </c>
      <c r="R46" s="143" t="e">
        <f ca="1">SUM(R40:R44)+R20+R28+R34</f>
        <v>#NAME?</v>
      </c>
      <c r="S46" s="67"/>
      <c r="T46" s="140" t="e">
        <f ca="1">SUM(T40:T44)+T20+T28+T34</f>
        <v>#NAME?</v>
      </c>
      <c r="U46" s="141" t="e">
        <f ca="1">SUM(U40:U44)+U20+U28+U34</f>
        <v>#NAME?</v>
      </c>
      <c r="V46" s="143" t="e">
        <f ca="1">SUM(V40:V44)+V20+V28+V34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 t="e">
        <f ca="1">ROUND(_xll.HPVAL($A48,D$1,$A$2,F$1,$A$3,$A$4)/1000,0)</f>
        <v>#NAME?</v>
      </c>
      <c r="E48" s="42" t="e">
        <f ca="1">ROUND(_xll.HPVAL($A48,E$1,$A$2,F$1,$A$3,$A$4)/1000,0)</f>
        <v>#NAME?</v>
      </c>
      <c r="F48" s="66" t="e">
        <f ca="1">ROUND(D48-E48,0)</f>
        <v>#NAME?</v>
      </c>
      <c r="G48" s="42"/>
      <c r="H48" s="41" t="e">
        <f ca="1">ROUND(_xll.HPVAL($A48,H$1,$A$2,J$1,$A$3,$A$4)/1000,0)</f>
        <v>#NAME?</v>
      </c>
      <c r="I48" s="42" t="e">
        <f ca="1">ROUND(_xll.HPVAL($A48,I$1,$A$2,J$1,$A$3,$A$4)/1000,0)</f>
        <v>#NAME?</v>
      </c>
      <c r="J48" s="66" t="e">
        <f ca="1">ROUND(H48-I48,0)</f>
        <v>#NAME?</v>
      </c>
      <c r="K48" s="42"/>
      <c r="L48" s="41" t="e">
        <f ca="1">ROUND(_xll.HPVAL($A48,L$1,$A$2,N$1,$A$3,$A$4)/1000,0)</f>
        <v>#NAME?</v>
      </c>
      <c r="M48" s="42" t="e">
        <f ca="1">ROUND(_xll.HPVAL($A48,M$1,$A$2,N$1,$A$3,$A$4)/1000,0)</f>
        <v>#NAME?</v>
      </c>
      <c r="N48" s="66" t="e">
        <f ca="1">ROUND(L48-M48,0)</f>
        <v>#NAME?</v>
      </c>
      <c r="O48" s="42"/>
      <c r="P48" s="41" t="e">
        <f ca="1">ROUND(_xll.HPVAL($A48,P$1,$A$2,R$1,$A$3,$A$4)/1000,0)</f>
        <v>#NAME?</v>
      </c>
      <c r="Q48" s="42" t="e">
        <f ca="1">ROUND(_xll.HPVAL($A48,Q$1,$A$2,R$1,$A$3,$A$4)/1000,0)</f>
        <v>#NAME?</v>
      </c>
      <c r="R48" s="66" t="e">
        <f ca="1">ROUND(P48-Q48,0)</f>
        <v>#NAME?</v>
      </c>
      <c r="S48" s="42"/>
      <c r="T48" s="41" t="e">
        <f ca="1">D48+H48+L48+P48</f>
        <v>#NAME?</v>
      </c>
      <c r="U48" s="42" t="e">
        <f ca="1">E48+I48+M48+Q48</f>
        <v>#NAME?</v>
      </c>
      <c r="V48" s="66" t="e">
        <f ca="1">ROUND(T48-U48,0)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 t="e">
        <f ca="1">ROUND(_xll.HPVAL($A50,D$1,$A$2,F$1,$A$3,$A$4)/1000,0)-D52</f>
        <v>#NAME?</v>
      </c>
      <c r="E50" s="42" t="e">
        <f ca="1">ROUND(_xll.HPVAL($A50,E$1,$A$2,F$1,$A$3,$A$4)/1000,0)-E52</f>
        <v>#NAME?</v>
      </c>
      <c r="F50" s="66" t="e">
        <f ca="1">ROUND(D50-E50,0)</f>
        <v>#NAME?</v>
      </c>
      <c r="G50" s="65"/>
      <c r="H50" s="41" t="e">
        <f ca="1">ROUND(_xll.HPVAL($A50,H$1,$A$2,J$1,$A$3,$A$4)/1000,0)-H52</f>
        <v>#NAME?</v>
      </c>
      <c r="I50" s="42" t="e">
        <f ca="1">ROUND(_xll.HPVAL($A50,I$1,$A$2,J$1,$A$3,$A$4)/1000,0)-I52</f>
        <v>#NAME?</v>
      </c>
      <c r="J50" s="66" t="e">
        <f ca="1">ROUND(H50-I50,0)</f>
        <v>#NAME?</v>
      </c>
      <c r="K50" s="65"/>
      <c r="L50" s="41" t="e">
        <f ca="1">ROUND(_xll.HPVAL($A50,L$1,$A$2,N$1,$A$3,$A$4)/1000,0)-L52</f>
        <v>#NAME?</v>
      </c>
      <c r="M50" s="42" t="e">
        <f ca="1">ROUND(_xll.HPVAL($A50,M$1,$A$2,N$1,$A$3,$A$4)/1000,0)-M52</f>
        <v>#NAME?</v>
      </c>
      <c r="N50" s="66" t="e">
        <f ca="1">ROUND(L50-M50,0)</f>
        <v>#NAME?</v>
      </c>
      <c r="O50" s="65"/>
      <c r="P50" s="41" t="e">
        <f ca="1">ROUND(_xll.HPVAL($A50,P$1,$A$2,R$1,$A$3,$A$4)/1000,0)-P52</f>
        <v>#NAME?</v>
      </c>
      <c r="Q50" s="42" t="e">
        <f ca="1">ROUND(_xll.HPVAL($A50,Q$1,$A$2,R$1,$A$3,$A$4)/1000,0)-Q52</f>
        <v>#NAME?</v>
      </c>
      <c r="R50" s="66" t="e">
        <f ca="1">ROUND(P50-Q50,0)</f>
        <v>#NAME?</v>
      </c>
      <c r="S50" s="65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 t="e">
        <f ca="1">-ROUND(_xll.HPVAL($A52,D$1,"cap_chrg",F$1,$A$3,$A$4)/1000,0)</f>
        <v>#NAME?</v>
      </c>
      <c r="E52" s="42" t="e">
        <f ca="1">-ROUND(_xll.HPVAL($A52,E$1,"cap_chrg",F$1,$A$3,$A$4)/1000,0)</f>
        <v>#NAME?</v>
      </c>
      <c r="F52" s="66" t="e">
        <f ca="1">ROUND(D52-E52,0)</f>
        <v>#NAME?</v>
      </c>
      <c r="G52" s="42"/>
      <c r="H52" s="41" t="e">
        <f ca="1">-ROUND(_xll.HPVAL($A52,H$1,"cap_chrg",J$1,$A$3,$A$4)/1000,0)</f>
        <v>#NAME?</v>
      </c>
      <c r="I52" s="42" t="e">
        <f ca="1">-ROUND(_xll.HPVAL($A52,I$1,"cap_chrg",J$1,$A$3,$A$4)/1000,0)</f>
        <v>#NAME?</v>
      </c>
      <c r="J52" s="66" t="e">
        <f ca="1">ROUND(H52-I52,0)</f>
        <v>#NAME?</v>
      </c>
      <c r="K52" s="42"/>
      <c r="L52" s="41" t="e">
        <f ca="1">-ROUND(_xll.HPVAL($A52,L$1,"cap_chrg",N$1,$A$3,$A$4)/1000,0)</f>
        <v>#NAME?</v>
      </c>
      <c r="M52" s="42" t="e">
        <f ca="1">-ROUND(_xll.HPVAL($A52,M$1,"cap_chrg",N$1,$A$3,$A$4)/1000,0)</f>
        <v>#NAME?</v>
      </c>
      <c r="N52" s="66" t="e">
        <f ca="1">ROUND(L52-M52,0)</f>
        <v>#NAME?</v>
      </c>
      <c r="O52" s="42"/>
      <c r="P52" s="41" t="e">
        <f ca="1">-ROUND(_xll.HPVAL($A52,P$1,"cap_chrg",R$1,$A$3,$A$4)/1000,0)</f>
        <v>#NAME?</v>
      </c>
      <c r="Q52" s="42" t="e">
        <f ca="1">-ROUND(_xll.HPVAL($A52,Q$1,"cap_chrg",R$1,$A$3,$A$4)/1000,0)</f>
        <v>#NAME?</v>
      </c>
      <c r="R52" s="66" t="e">
        <f ca="1">ROUND(P52-Q52,0)</f>
        <v>#NAME?</v>
      </c>
      <c r="S52" s="42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 t="e">
        <f ca="1">ROUND(_xll.HPVAL($A54,E$1,"gross_margin",F$1,$A$3,$A$4)/1000,0)</f>
        <v>#NAME?</v>
      </c>
      <c r="F54" s="66" t="e">
        <f ca="1">ROUND(D54-E54,0)</f>
        <v>#NAME?</v>
      </c>
      <c r="G54" s="42"/>
      <c r="H54" s="41" t="e">
        <f ca="1">ROUND(_xll.HPVAL($A54,H$1,"gross_margin",J$1,$A$3,$A$4)/1000,0)</f>
        <v>#NAME?</v>
      </c>
      <c r="I54" s="42" t="e">
        <f ca="1">ROUND(_xll.HPVAL($A54,I$1,"gross_margin",J$1,$A$3,$A$4)/1000,0)</f>
        <v>#NAME?</v>
      </c>
      <c r="J54" s="66" t="e">
        <f ca="1">ROUND(H54-I54,0)</f>
        <v>#NAME?</v>
      </c>
      <c r="K54" s="42"/>
      <c r="L54" s="41" t="e">
        <f ca="1">ROUND(_xll.HPVAL($A54,L$1,"gross_margin",N$1,$A$3,$A$4)/1000,0)</f>
        <v>#NAME?</v>
      </c>
      <c r="M54" s="42" t="e">
        <f ca="1">ROUND(_xll.HPVAL($A54,M$1,"gross_margin",N$1,$A$3,$A$4)/1000,0)</f>
        <v>#NAME?</v>
      </c>
      <c r="N54" s="66" t="e">
        <f ca="1">ROUND(L54-M54,0)</f>
        <v>#NAME?</v>
      </c>
      <c r="O54" s="42"/>
      <c r="P54" s="41" t="e">
        <f ca="1">ROUND(_xll.HPVAL($A54,P$1,"gross_margin",R$1,$A$3,$A$4)/1000,0)</f>
        <v>#NAME?</v>
      </c>
      <c r="Q54" s="42" t="e">
        <f ca="1">ROUND(_xll.HPVAL($A54,Q$1,"gross_margin",R$1,$A$3,$A$4)/1000,0)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40" t="e">
        <f ca="1">SUM(D46:D54)</f>
        <v>#NAME?</v>
      </c>
      <c r="E56" s="141" t="e">
        <f ca="1">SUM(E46:E54)</f>
        <v>#NAME?</v>
      </c>
      <c r="F56" s="143" t="e">
        <f ca="1">SUM(F46:F54)</f>
        <v>#NAME?</v>
      </c>
      <c r="G56" s="42"/>
      <c r="H56" s="140" t="e">
        <f ca="1">SUM(H46:H54)</f>
        <v>#NAME?</v>
      </c>
      <c r="I56" s="141" t="e">
        <f ca="1">SUM(I46:I54)</f>
        <v>#NAME?</v>
      </c>
      <c r="J56" s="143" t="e">
        <f ca="1">SUM(J46:J54)</f>
        <v>#NAME?</v>
      </c>
      <c r="K56" s="42"/>
      <c r="L56" s="140" t="e">
        <f ca="1">SUM(L46:L54)</f>
        <v>#NAME?</v>
      </c>
      <c r="M56" s="141" t="e">
        <f ca="1">SUM(M46:M54)</f>
        <v>#NAME?</v>
      </c>
      <c r="N56" s="143" t="e">
        <f ca="1">SUM(N46:N54)</f>
        <v>#NAME?</v>
      </c>
      <c r="O56" s="42"/>
      <c r="P56" s="140" t="e">
        <f ca="1">SUM(P46:P54)</f>
        <v>#NAME?</v>
      </c>
      <c r="Q56" s="141" t="e">
        <f ca="1">SUM(Q46:Q54)</f>
        <v>#NAME?</v>
      </c>
      <c r="R56" s="143" t="e">
        <f ca="1">SUM(R46:R54)</f>
        <v>#NAME?</v>
      </c>
      <c r="S56" s="42"/>
      <c r="T56" s="140" t="e">
        <f ca="1">SUM(T46:T54)</f>
        <v>#NAME?</v>
      </c>
      <c r="U56" s="141" t="e">
        <f ca="1">SUM(U46:U54)</f>
        <v>#NAME?</v>
      </c>
      <c r="V56" s="143" t="e">
        <f ca="1">SUM(V46:V54)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 t="e">
        <f ca="1">SUM(D56:D58)</f>
        <v>#NAME?</v>
      </c>
      <c r="E60" s="96" t="e">
        <f ca="1">SUM(E56:E58)</f>
        <v>#NAME?</v>
      </c>
      <c r="F60" s="97" t="e">
        <f ca="1">SUM(F56:F58)</f>
        <v>#NAME?</v>
      </c>
      <c r="G60" s="42"/>
      <c r="H60" s="95" t="e">
        <f ca="1">SUM(H56:H58)</f>
        <v>#NAME?</v>
      </c>
      <c r="I60" s="96" t="e">
        <f ca="1">SUM(I56:I58)</f>
        <v>#NAME?</v>
      </c>
      <c r="J60" s="97" t="e">
        <f ca="1">SUM(J56:J58)</f>
        <v>#NAME?</v>
      </c>
      <c r="K60" s="42"/>
      <c r="L60" s="95" t="e">
        <f ca="1">SUM(L56:L58)</f>
        <v>#NAME?</v>
      </c>
      <c r="M60" s="96" t="e">
        <f ca="1">SUM(M56:M58)</f>
        <v>#NAME?</v>
      </c>
      <c r="N60" s="97" t="e">
        <f ca="1">SUM(N56:N58)</f>
        <v>#NAME?</v>
      </c>
      <c r="O60" s="42"/>
      <c r="P60" s="95" t="e">
        <f ca="1">SUM(P56:P58)</f>
        <v>#NAME?</v>
      </c>
      <c r="Q60" s="96" t="e">
        <f ca="1">SUM(Q56:Q58)</f>
        <v>#NAME?</v>
      </c>
      <c r="R60" s="97" t="e">
        <f ca="1">SUM(R56:R58)</f>
        <v>#NAME?</v>
      </c>
      <c r="S60" s="42"/>
      <c r="T60" s="95" t="e">
        <f ca="1">SUM(T56:T58)</f>
        <v>#NAME?</v>
      </c>
      <c r="U60" s="96" t="e">
        <f ca="1">SUM(U56:U58)</f>
        <v>#NAME?</v>
      </c>
      <c r="V60" s="97" t="e">
        <f ca="1">SUM(V56:V58)</f>
        <v>#NAME?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3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59"/>
  <sheetViews>
    <sheetView tabSelected="1" workbookViewId="0">
      <selection activeCell="F33" sqref="F33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2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</row>
    <row r="2" spans="1:17" ht="16.5" x14ac:dyDescent="0.3">
      <c r="A2" s="313" t="s">
        <v>161</v>
      </c>
      <c r="B2" s="313"/>
      <c r="C2" s="313"/>
      <c r="D2" s="313"/>
      <c r="E2" s="313"/>
      <c r="F2" s="313"/>
      <c r="G2" s="313"/>
      <c r="H2" s="313"/>
      <c r="I2" s="313"/>
      <c r="J2" s="313"/>
      <c r="K2" s="313"/>
      <c r="Q2" s="27" t="s">
        <v>262</v>
      </c>
    </row>
    <row r="3" spans="1:17" ht="13.5" x14ac:dyDescent="0.25">
      <c r="A3" s="314" t="s">
        <v>162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0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GrossMargin!D10-[1]GrossMargin!D10</f>
        <v>18976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03">
        <f t="shared" ref="H9:H17" si="0">SUM(C9:G9)</f>
        <v>18976</v>
      </c>
      <c r="I9" s="59">
        <f>GrossMargin!J10-[1]GrossMargin!J10</f>
        <v>0</v>
      </c>
      <c r="J9" s="60">
        <v>0</v>
      </c>
      <c r="K9" s="84">
        <f t="shared" ref="K9:K17" si="1">SUM(H9:J9)</f>
        <v>18976</v>
      </c>
    </row>
    <row r="10" spans="1:17" ht="12" customHeight="1" x14ac:dyDescent="0.25">
      <c r="A10" s="29" t="s">
        <v>106</v>
      </c>
      <c r="C10" s="41">
        <f>GrossMargin!D11-[1]GrossMargin!D11</f>
        <v>2063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2063</v>
      </c>
      <c r="I10" s="41"/>
      <c r="J10" s="42">
        <v>0</v>
      </c>
      <c r="K10" s="66">
        <f t="shared" si="1"/>
        <v>2063</v>
      </c>
    </row>
    <row r="11" spans="1:17" ht="12" customHeight="1" x14ac:dyDescent="0.25">
      <c r="A11" s="29" t="s">
        <v>132</v>
      </c>
      <c r="C11" s="41">
        <f>GrossMargin!D12-[1]GrossMargin!D12</f>
        <v>2347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2347</v>
      </c>
      <c r="I11" s="41"/>
      <c r="J11" s="42">
        <v>0</v>
      </c>
      <c r="K11" s="66">
        <f t="shared" si="1"/>
        <v>2347</v>
      </c>
    </row>
    <row r="12" spans="1:17" ht="12" customHeight="1" x14ac:dyDescent="0.25">
      <c r="A12" s="29" t="s">
        <v>133</v>
      </c>
      <c r="C12" s="41">
        <f>GrossMargin!D13-[1]GrossMargin!D13</f>
        <v>-94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-94</v>
      </c>
      <c r="I12" s="41"/>
      <c r="J12" s="42">
        <v>0</v>
      </c>
      <c r="K12" s="66">
        <f>SUM(H12:J12)</f>
        <v>-94</v>
      </c>
    </row>
    <row r="13" spans="1:17" ht="12" customHeight="1" x14ac:dyDescent="0.25">
      <c r="A13" s="29" t="s">
        <v>114</v>
      </c>
      <c r="C13" s="41">
        <f>GrossMargin!D14-[1]GrossMargin!D14</f>
        <v>2234</v>
      </c>
      <c r="D13" s="42">
        <f>GrossMargin!E14-[1]GrossMargin!E14</f>
        <v>-743</v>
      </c>
      <c r="E13" s="81">
        <f>GrossMargin!F14-[1]GrossMargin!F14</f>
        <v>1039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2530</v>
      </c>
      <c r="I13" s="41"/>
      <c r="J13" s="42">
        <v>0</v>
      </c>
      <c r="K13" s="66">
        <f t="shared" si="1"/>
        <v>2530</v>
      </c>
    </row>
    <row r="14" spans="1:17" ht="12" customHeight="1" x14ac:dyDescent="0.25">
      <c r="A14" s="29" t="s">
        <v>5</v>
      </c>
      <c r="C14" s="41">
        <f>GrossMargin!D15-[1]GrossMargin!D15</f>
        <v>-67</v>
      </c>
      <c r="D14" s="42">
        <f>GrossMargin!E15-[1]GrossMargin!E15</f>
        <v>9</v>
      </c>
      <c r="E14" s="42">
        <f>GrossMargin!F15-[1]GrossMargin!F15</f>
        <v>66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8</v>
      </c>
      <c r="I14" s="41"/>
      <c r="J14" s="42">
        <v>0</v>
      </c>
      <c r="K14" s="66">
        <f t="shared" si="1"/>
        <v>8</v>
      </c>
    </row>
    <row r="15" spans="1:17" ht="12" customHeight="1" x14ac:dyDescent="0.25">
      <c r="A15" s="29" t="s">
        <v>155</v>
      </c>
      <c r="C15" s="41">
        <f>GrossMargin!D16-[1]GrossMargin!D16</f>
        <v>-496</v>
      </c>
      <c r="D15" s="42">
        <f>GrossMargin!E16-[1]GrossMargin!E16</f>
        <v>0</v>
      </c>
      <c r="E15" s="42">
        <f>GrossMargin!F16-[1]GrossMargin!F16</f>
        <v>488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-8</v>
      </c>
      <c r="I15" s="41"/>
      <c r="J15" s="42">
        <v>0</v>
      </c>
      <c r="K15" s="66">
        <f t="shared" si="1"/>
        <v>-8</v>
      </c>
    </row>
    <row r="16" spans="1:17" ht="12" customHeight="1" x14ac:dyDescent="0.25">
      <c r="A16" s="29" t="s">
        <v>107</v>
      </c>
      <c r="C16" s="41">
        <f>GrossMargin!D17-[1]GrossMargin!D17</f>
        <v>-316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-316</v>
      </c>
      <c r="I16" s="41"/>
      <c r="J16" s="42">
        <v>0</v>
      </c>
      <c r="K16" s="66">
        <f t="shared" si="1"/>
        <v>-316</v>
      </c>
    </row>
    <row r="17" spans="1:11" ht="12" customHeight="1" x14ac:dyDescent="0.25">
      <c r="A17" s="29" t="s">
        <v>156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/>
      <c r="J17" s="42">
        <v>0</v>
      </c>
      <c r="K17" s="66">
        <f t="shared" si="1"/>
        <v>0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K19" si="2">SUM(C9:C17)</f>
        <v>24647</v>
      </c>
      <c r="D19" s="100">
        <f t="shared" si="2"/>
        <v>-734</v>
      </c>
      <c r="E19" s="100">
        <f t="shared" si="2"/>
        <v>1593</v>
      </c>
      <c r="F19" s="100">
        <f t="shared" si="2"/>
        <v>0</v>
      </c>
      <c r="G19" s="100">
        <f t="shared" si="2"/>
        <v>0</v>
      </c>
      <c r="H19" s="99">
        <f t="shared" si="2"/>
        <v>25506</v>
      </c>
      <c r="I19" s="99"/>
      <c r="J19" s="100">
        <f t="shared" si="2"/>
        <v>0</v>
      </c>
      <c r="K19" s="101">
        <f t="shared" si="2"/>
        <v>25506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GrossMargin!D22-[1]GrossMargin!D22</f>
        <v>0</v>
      </c>
      <c r="D21" s="42">
        <f>GrossMargin!E22-[1]GrossMargin!E22</f>
        <v>0</v>
      </c>
      <c r="E21" s="42">
        <f>GrossMargin!F22-[1]GrossMargin!F22</f>
        <v>0</v>
      </c>
      <c r="F21" s="42">
        <f>GrossMargin!G22-[1]GrossMargin!G22</f>
        <v>0</v>
      </c>
      <c r="G21" s="42">
        <f>GrossMargin!H22-[1]GrossMargin!H22</f>
        <v>0</v>
      </c>
      <c r="H21" s="64">
        <f>SUM(C21:G21)</f>
        <v>0</v>
      </c>
      <c r="I21" s="41"/>
      <c r="J21" s="42">
        <v>0</v>
      </c>
      <c r="K21" s="66">
        <f>SUM(H21:J21)</f>
        <v>0</v>
      </c>
    </row>
    <row r="22" spans="1:11" ht="12" customHeight="1" x14ac:dyDescent="0.25">
      <c r="A22" s="29" t="s">
        <v>89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>SUM(C22:G22)</f>
        <v>0</v>
      </c>
      <c r="I22" s="41"/>
      <c r="J22" s="42">
        <v>0</v>
      </c>
      <c r="K22" s="66">
        <f>SUM(H22:J22)</f>
        <v>0</v>
      </c>
    </row>
    <row r="23" spans="1:11" ht="12" customHeight="1" x14ac:dyDescent="0.25">
      <c r="A23" s="29" t="s">
        <v>253</v>
      </c>
      <c r="C23" s="41">
        <f>GrossMargin!D24-[1]GrossMargin!D24</f>
        <v>-226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>SUM(C23:G23)</f>
        <v>-226</v>
      </c>
      <c r="I23" s="41"/>
      <c r="J23" s="42">
        <v>0</v>
      </c>
      <c r="K23" s="66">
        <f>SUM(H23:J23)</f>
        <v>-226</v>
      </c>
    </row>
    <row r="24" spans="1:11" ht="12" customHeight="1" x14ac:dyDescent="0.25">
      <c r="A24" s="29" t="s">
        <v>104</v>
      </c>
      <c r="C24" s="41">
        <f>GrossMargin!D25-[1]GrossMargin!D25</f>
        <v>0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>SUM(C24:G24)</f>
        <v>0</v>
      </c>
      <c r="I24" s="41"/>
      <c r="J24" s="42">
        <v>0</v>
      </c>
      <c r="K24" s="66">
        <f>SUM(H24:J24)</f>
        <v>0</v>
      </c>
    </row>
    <row r="25" spans="1:11" ht="12" customHeight="1" x14ac:dyDescent="0.25">
      <c r="A25" s="29" t="s">
        <v>0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GrossMargin!F26-[1]GrossMargin!F28</f>
        <v>0</v>
      </c>
      <c r="F25" s="42">
        <f>GrossMargin!G26-[1]GrossMargin!G28</f>
        <v>0</v>
      </c>
      <c r="G25" s="42">
        <f>GrossMargin!H26-[1]GrossMargin!H28</f>
        <v>0</v>
      </c>
      <c r="H25" s="64">
        <f>SUM(C25:G25)</f>
        <v>0</v>
      </c>
      <c r="I25" s="41"/>
      <c r="J25" s="42">
        <v>0</v>
      </c>
      <c r="K25" s="66">
        <f>SUM(H25:J25)</f>
        <v>0</v>
      </c>
    </row>
    <row r="26" spans="1:11" ht="3" customHeight="1" x14ac:dyDescent="0.25">
      <c r="A26" s="29"/>
      <c r="C26" s="41"/>
      <c r="D26" s="42"/>
      <c r="E26" s="42"/>
      <c r="F26" s="42"/>
      <c r="G26" s="42"/>
      <c r="H26" s="64"/>
      <c r="I26" s="41"/>
      <c r="J26" s="42"/>
      <c r="K26" s="43"/>
    </row>
    <row r="27" spans="1:11" ht="12" customHeight="1" x14ac:dyDescent="0.25">
      <c r="A27" s="106" t="s">
        <v>1</v>
      </c>
      <c r="B27" s="91"/>
      <c r="C27" s="99">
        <f t="shared" ref="C27:K27" si="3">SUM(C21:C25)</f>
        <v>-226</v>
      </c>
      <c r="D27" s="100">
        <f t="shared" si="3"/>
        <v>0</v>
      </c>
      <c r="E27" s="100">
        <f t="shared" si="3"/>
        <v>0</v>
      </c>
      <c r="F27" s="100">
        <f t="shared" si="3"/>
        <v>0</v>
      </c>
      <c r="G27" s="100">
        <f t="shared" si="3"/>
        <v>0</v>
      </c>
      <c r="H27" s="99">
        <f t="shared" si="3"/>
        <v>-226</v>
      </c>
      <c r="I27" s="99"/>
      <c r="J27" s="100">
        <f t="shared" si="3"/>
        <v>0</v>
      </c>
      <c r="K27" s="101">
        <f t="shared" si="3"/>
        <v>-226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29" t="s">
        <v>67</v>
      </c>
      <c r="C29" s="41">
        <f>GrossMargin!D30-[1]GrossMargin!D30</f>
        <v>0</v>
      </c>
      <c r="D29" s="42">
        <f>GrossMargin!E30-[1]GrossMargin!E30</f>
        <v>0</v>
      </c>
      <c r="E29" s="81">
        <f>GrossMargin!F30-[1]GrossMargin!F30</f>
        <v>3553</v>
      </c>
      <c r="F29" s="42">
        <f>GrossMargin!G30-[1]GrossMargin!G30</f>
        <v>0</v>
      </c>
      <c r="G29" s="42">
        <f>GrossMargin!H30-[1]GrossMargin!H30</f>
        <v>0</v>
      </c>
      <c r="H29" s="64">
        <f>SUM(C29:G29)</f>
        <v>3553</v>
      </c>
      <c r="I29" s="41"/>
      <c r="J29" s="42">
        <v>0</v>
      </c>
      <c r="K29" s="66">
        <f>SUM(H29:J29)</f>
        <v>3553</v>
      </c>
    </row>
    <row r="30" spans="1:11" ht="12" customHeight="1" x14ac:dyDescent="0.25">
      <c r="A30" s="29" t="s">
        <v>92</v>
      </c>
      <c r="C30" s="41">
        <f>GrossMargin!D31-[1]GrossMargin!D31</f>
        <v>-128</v>
      </c>
      <c r="D30" s="42">
        <f>GrossMargin!E31-[1]GrossMargin!E31</f>
        <v>0</v>
      </c>
      <c r="E30" s="42">
        <f>GrossMargin!F31-[1]GrossMargin!F31</f>
        <v>0</v>
      </c>
      <c r="F30" s="42">
        <f>GrossMargin!G31-[1]GrossMargin!G31</f>
        <v>1176</v>
      </c>
      <c r="G30" s="42">
        <f>GrossMargin!H31-[1]GrossMargin!H31</f>
        <v>0</v>
      </c>
      <c r="H30" s="64">
        <f>SUM(C30:G30)</f>
        <v>1048</v>
      </c>
      <c r="I30" s="41"/>
      <c r="J30" s="42">
        <v>0</v>
      </c>
      <c r="K30" s="66">
        <f>SUM(H30:J30)</f>
        <v>1048</v>
      </c>
    </row>
    <row r="31" spans="1:11" ht="12" customHeight="1" x14ac:dyDescent="0.25">
      <c r="A31" s="29" t="s">
        <v>93</v>
      </c>
      <c r="C31" s="41">
        <f>GrossMargin!D32-[1]GrossMargin!D32</f>
        <v>2623</v>
      </c>
      <c r="D31" s="42">
        <f>GrossMargin!E32-[1]GrossMargin!E32</f>
        <v>0</v>
      </c>
      <c r="E31" s="42">
        <f>GrossMargin!F32-[1]GrossMargin!F35</f>
        <v>0</v>
      </c>
      <c r="F31" s="42">
        <f>GrossMargin!G32-[1]GrossMargin!G35</f>
        <v>0</v>
      </c>
      <c r="G31" s="42">
        <f>GrossMargin!H32-[1]GrossMargin!H35</f>
        <v>0</v>
      </c>
      <c r="H31" s="64">
        <f>SUM(C31:G31)</f>
        <v>2623</v>
      </c>
      <c r="I31" s="41"/>
      <c r="J31" s="42">
        <v>0</v>
      </c>
      <c r="K31" s="66">
        <f>SUM(H31:J31)</f>
        <v>2623</v>
      </c>
    </row>
    <row r="32" spans="1:11" ht="3" customHeight="1" x14ac:dyDescent="0.25">
      <c r="A32" s="45"/>
      <c r="C32" s="46"/>
      <c r="D32" s="47"/>
      <c r="E32" s="47"/>
      <c r="F32" s="47"/>
      <c r="G32" s="47"/>
      <c r="H32" s="46"/>
      <c r="I32" s="46"/>
      <c r="J32" s="47"/>
      <c r="K32" s="132"/>
    </row>
    <row r="33" spans="1:11" s="90" customFormat="1" ht="12" customHeight="1" x14ac:dyDescent="0.25">
      <c r="A33" s="106" t="s">
        <v>86</v>
      </c>
      <c r="B33" s="91"/>
      <c r="C33" s="99">
        <f t="shared" ref="C33:K33" si="4">SUM(C29:C31)</f>
        <v>2495</v>
      </c>
      <c r="D33" s="100">
        <f t="shared" si="4"/>
        <v>0</v>
      </c>
      <c r="E33" s="100">
        <f t="shared" si="4"/>
        <v>3553</v>
      </c>
      <c r="F33" s="100">
        <f t="shared" si="4"/>
        <v>1176</v>
      </c>
      <c r="G33" s="100">
        <f t="shared" si="4"/>
        <v>0</v>
      </c>
      <c r="H33" s="99">
        <f t="shared" si="4"/>
        <v>7224</v>
      </c>
      <c r="I33" s="99"/>
      <c r="J33" s="100">
        <f t="shared" si="4"/>
        <v>0</v>
      </c>
      <c r="K33" s="101">
        <f t="shared" si="4"/>
        <v>7224</v>
      </c>
    </row>
    <row r="34" spans="1:11" ht="3" customHeight="1" x14ac:dyDescent="0.25">
      <c r="A34" s="29"/>
      <c r="C34" s="104"/>
      <c r="D34" s="81"/>
      <c r="E34" s="81"/>
      <c r="F34" s="81"/>
      <c r="G34" s="81"/>
      <c r="H34" s="105"/>
      <c r="I34" s="104"/>
      <c r="J34" s="81"/>
      <c r="K34" s="133"/>
    </row>
    <row r="35" spans="1:11" ht="12" customHeight="1" x14ac:dyDescent="0.25">
      <c r="A35" s="29" t="s">
        <v>9</v>
      </c>
      <c r="C35" s="41">
        <f>GrossMargin!D36-[1]GrossMargin!D36</f>
        <v>0</v>
      </c>
      <c r="D35" s="42">
        <f>GrossMargin!E36-[1]GrossMargin!E36</f>
        <v>-18067</v>
      </c>
      <c r="E35" s="81">
        <f>GrossMargin!F36-[1]GrossMargin!F36</f>
        <v>97</v>
      </c>
      <c r="F35" s="42">
        <f>GrossMargin!G36-[1]GrossMargin!G36</f>
        <v>0</v>
      </c>
      <c r="G35" s="42">
        <f>GrossMargin!H36-[1]GrossMargin!H36</f>
        <v>0</v>
      </c>
      <c r="H35" s="64">
        <f>SUM(C35:G35)</f>
        <v>-17970</v>
      </c>
      <c r="I35" s="41"/>
      <c r="J35" s="42">
        <v>0</v>
      </c>
      <c r="K35" s="66">
        <f>SUM(H35:J35)</f>
        <v>-17970</v>
      </c>
    </row>
    <row r="36" spans="1:11" ht="12" customHeight="1" x14ac:dyDescent="0.25">
      <c r="A36" s="29" t="s">
        <v>151</v>
      </c>
      <c r="C36" s="41">
        <f>GrossMargin!D37-[1]GrossMargin!D37</f>
        <v>0</v>
      </c>
      <c r="D36" s="42">
        <f>GrossMargin!E37-[1]GrossMargin!E37</f>
        <v>126</v>
      </c>
      <c r="E36" s="81">
        <f>GrossMargin!F37-[1]GrossMargin!F37</f>
        <v>252</v>
      </c>
      <c r="F36" s="42">
        <f>GrossMargin!G37-[1]GrossMargin!G37</f>
        <v>0</v>
      </c>
      <c r="G36" s="42">
        <f>GrossMargin!H37-[1]GrossMargin!H37</f>
        <v>0</v>
      </c>
      <c r="H36" s="64">
        <f>SUM(C36:G36)</f>
        <v>378</v>
      </c>
      <c r="I36" s="41"/>
      <c r="J36" s="42">
        <v>0</v>
      </c>
      <c r="K36" s="66">
        <f>SUM(H36:J36)</f>
        <v>378</v>
      </c>
    </row>
    <row r="37" spans="1:11" ht="12" hidden="1" customHeight="1" x14ac:dyDescent="0.25">
      <c r="A37" s="29" t="s">
        <v>180</v>
      </c>
      <c r="C37" s="41">
        <f>GrossMargin!D38-[1]GrossMargin!D38</f>
        <v>0</v>
      </c>
      <c r="D37" s="42">
        <f>GrossMargin!E38-[1]GrossMargin!E38</f>
        <v>-13462</v>
      </c>
      <c r="E37" s="81">
        <f>GrossMargin!F38-[1]GrossMargin!F38</f>
        <v>1971</v>
      </c>
      <c r="F37" s="42">
        <f>GrossMargin!G38-[1]GrossMargin!G38</f>
        <v>0</v>
      </c>
      <c r="G37" s="42">
        <f>GrossMargin!H38-[1]GrossMargin!H38</f>
        <v>0</v>
      </c>
      <c r="H37" s="64">
        <f>SUM(C37:G37)</f>
        <v>-11491</v>
      </c>
      <c r="I37" s="41"/>
      <c r="J37" s="42">
        <v>0</v>
      </c>
      <c r="K37" s="66">
        <f>SUM(H37:J37)</f>
        <v>-11491</v>
      </c>
    </row>
    <row r="38" spans="1:11" ht="12" hidden="1" customHeight="1" x14ac:dyDescent="0.25">
      <c r="A38" s="29" t="s">
        <v>154</v>
      </c>
      <c r="C38" s="41">
        <f>GrossMargin!D39-[1]GrossMargin!D39</f>
        <v>0</v>
      </c>
      <c r="D38" s="42">
        <f>GrossMargin!E39-[1]GrossMargin!E39</f>
        <v>1746</v>
      </c>
      <c r="E38" s="81">
        <f>GrossMargin!F39-[1]GrossMargin!F39</f>
        <v>2588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4334</v>
      </c>
      <c r="I38" s="41"/>
      <c r="J38" s="42">
        <v>0</v>
      </c>
      <c r="K38" s="66">
        <f>SUM(H38:J38)</f>
        <v>4334</v>
      </c>
    </row>
    <row r="39" spans="1:11" x14ac:dyDescent="0.25">
      <c r="A39" s="29" t="s">
        <v>154</v>
      </c>
      <c r="B39" s="29"/>
      <c r="C39" s="135">
        <f t="shared" ref="C39:K39" si="5">SUM(C37:C38)</f>
        <v>0</v>
      </c>
      <c r="D39" s="135">
        <f t="shared" si="5"/>
        <v>-11716</v>
      </c>
      <c r="E39" s="135">
        <f t="shared" si="5"/>
        <v>4559</v>
      </c>
      <c r="F39" s="135">
        <f t="shared" si="5"/>
        <v>0</v>
      </c>
      <c r="G39" s="135">
        <f t="shared" si="5"/>
        <v>0</v>
      </c>
      <c r="H39" s="250">
        <f t="shared" si="5"/>
        <v>-7157</v>
      </c>
      <c r="I39" s="135"/>
      <c r="J39" s="135">
        <f t="shared" si="5"/>
        <v>0</v>
      </c>
      <c r="K39" s="251">
        <f t="shared" si="5"/>
        <v>-7157</v>
      </c>
    </row>
    <row r="40" spans="1:11" ht="3" customHeight="1" x14ac:dyDescent="0.25">
      <c r="A40" s="45"/>
      <c r="C40" s="46"/>
      <c r="D40" s="47"/>
      <c r="E40" s="47"/>
      <c r="F40" s="47"/>
      <c r="G40" s="47"/>
      <c r="H40" s="46"/>
      <c r="I40" s="46"/>
      <c r="J40" s="47"/>
      <c r="K40" s="132"/>
    </row>
    <row r="41" spans="1:11" s="90" customFormat="1" ht="12" customHeight="1" x14ac:dyDescent="0.25">
      <c r="A41" s="106" t="s">
        <v>87</v>
      </c>
      <c r="B41" s="91"/>
      <c r="C41" s="99">
        <f t="shared" ref="C41:K41" si="6">SUM(C35:C38)</f>
        <v>0</v>
      </c>
      <c r="D41" s="100">
        <f t="shared" si="6"/>
        <v>-29657</v>
      </c>
      <c r="E41" s="100">
        <f t="shared" si="6"/>
        <v>4908</v>
      </c>
      <c r="F41" s="100">
        <f t="shared" si="6"/>
        <v>0</v>
      </c>
      <c r="G41" s="100">
        <f t="shared" si="6"/>
        <v>0</v>
      </c>
      <c r="H41" s="99">
        <f t="shared" si="6"/>
        <v>-24749</v>
      </c>
      <c r="I41" s="99"/>
      <c r="J41" s="100">
        <f t="shared" si="6"/>
        <v>0</v>
      </c>
      <c r="K41" s="101">
        <f t="shared" si="6"/>
        <v>-24749</v>
      </c>
    </row>
    <row r="42" spans="1:11" ht="3" customHeight="1" x14ac:dyDescent="0.25">
      <c r="A42" s="29"/>
      <c r="C42" s="104"/>
      <c r="D42" s="81"/>
      <c r="E42" s="81"/>
      <c r="F42" s="81"/>
      <c r="G42" s="81"/>
      <c r="H42" s="105"/>
      <c r="I42" s="104"/>
      <c r="J42" s="81"/>
      <c r="K42" s="133"/>
    </row>
    <row r="43" spans="1:11" ht="12" customHeight="1" x14ac:dyDescent="0.25">
      <c r="A43" s="29" t="s">
        <v>8</v>
      </c>
      <c r="C43" s="41">
        <f>GrossMargin!D44-[1]GrossMargin!D44</f>
        <v>0</v>
      </c>
      <c r="D43" s="42">
        <f>GrossMargin!E44-[1]GrossMargin!E44</f>
        <v>0</v>
      </c>
      <c r="E43" s="42">
        <f>GrossMargin!F44-[1]GrossMargin!F44</f>
        <v>0</v>
      </c>
      <c r="F43" s="42">
        <f>GrossMargin!G44-[1]GrossMargin!G44</f>
        <v>0</v>
      </c>
      <c r="G43" s="42">
        <f>GrossMargin!H44-[1]GrossMargin!H44</f>
        <v>0</v>
      </c>
      <c r="H43" s="64">
        <f>SUM(C43:G43)</f>
        <v>0</v>
      </c>
      <c r="I43" s="41"/>
      <c r="J43" s="42">
        <v>0</v>
      </c>
      <c r="K43" s="66">
        <f>SUM(H43:J43)</f>
        <v>0</v>
      </c>
    </row>
    <row r="44" spans="1:11" ht="3" customHeight="1" x14ac:dyDescent="0.25">
      <c r="A44" s="29"/>
      <c r="C44" s="41"/>
      <c r="D44" s="42"/>
      <c r="E44" s="42"/>
      <c r="F44" s="42"/>
      <c r="G44" s="42"/>
      <c r="H44" s="64"/>
      <c r="I44" s="41"/>
      <c r="J44" s="42"/>
      <c r="K44" s="43"/>
    </row>
    <row r="45" spans="1:11" ht="12" customHeight="1" x14ac:dyDescent="0.25">
      <c r="A45" s="29" t="s">
        <v>7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/>
      <c r="J45" s="42">
        <v>0</v>
      </c>
      <c r="K45" s="66">
        <f>SUM(H45:J45)</f>
        <v>0</v>
      </c>
    </row>
    <row r="46" spans="1:11" ht="3" customHeight="1" x14ac:dyDescent="0.25">
      <c r="A46" s="76"/>
      <c r="C46" s="77"/>
      <c r="D46" s="67"/>
      <c r="E46" s="67"/>
      <c r="F46" s="67"/>
      <c r="G46" s="67"/>
      <c r="H46" s="46"/>
      <c r="I46" s="77"/>
      <c r="J46" s="67"/>
      <c r="K46" s="134"/>
    </row>
    <row r="47" spans="1:11" ht="12" customHeight="1" x14ac:dyDescent="0.25">
      <c r="A47" s="29" t="s">
        <v>18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-19367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-19367</v>
      </c>
      <c r="I47" s="41"/>
      <c r="J47" s="42">
        <v>0</v>
      </c>
      <c r="K47" s="66">
        <f>SUM(H47:J47)</f>
        <v>-19367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34"/>
    </row>
    <row r="49" spans="1:14" ht="12" customHeight="1" x14ac:dyDescent="0.25">
      <c r="A49" s="29" t="s">
        <v>19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/>
      <c r="J49" s="42">
        <v>0</v>
      </c>
      <c r="K49" s="66">
        <f>SUM(H49:J49)</f>
        <v>0</v>
      </c>
    </row>
    <row r="50" spans="1:14" ht="3" customHeight="1" x14ac:dyDescent="0.25">
      <c r="A50" s="29"/>
      <c r="C50" s="41"/>
      <c r="D50" s="42"/>
      <c r="E50" s="42"/>
      <c r="F50" s="42"/>
      <c r="G50" s="42"/>
      <c r="H50" s="64"/>
      <c r="I50" s="41"/>
      <c r="J50" s="42"/>
      <c r="K50" s="43"/>
    </row>
    <row r="51" spans="1:14" ht="12" customHeight="1" x14ac:dyDescent="0.25">
      <c r="A51" s="75" t="s">
        <v>14</v>
      </c>
      <c r="C51" s="95">
        <f t="shared" ref="C51:K51" si="7">SUM(C41:C49)+C19+C27+C33</f>
        <v>26916</v>
      </c>
      <c r="D51" s="96">
        <f t="shared" si="7"/>
        <v>-30391</v>
      </c>
      <c r="E51" s="96">
        <f t="shared" si="7"/>
        <v>-9313</v>
      </c>
      <c r="F51" s="96">
        <f t="shared" si="7"/>
        <v>1176</v>
      </c>
      <c r="G51" s="96">
        <f t="shared" si="7"/>
        <v>0</v>
      </c>
      <c r="H51" s="95">
        <f t="shared" si="7"/>
        <v>-11612</v>
      </c>
      <c r="I51" s="95"/>
      <c r="J51" s="96">
        <f t="shared" si="7"/>
        <v>0</v>
      </c>
      <c r="K51" s="97">
        <f t="shared" si="7"/>
        <v>-11612</v>
      </c>
    </row>
    <row r="52" spans="1:14" ht="3" customHeight="1" x14ac:dyDescent="0.25">
      <c r="A52" s="48"/>
      <c r="C52" s="49"/>
      <c r="D52" s="50"/>
      <c r="E52" s="50"/>
      <c r="F52" s="50"/>
      <c r="G52" s="50"/>
      <c r="H52" s="49"/>
      <c r="I52" s="49"/>
      <c r="J52" s="50"/>
      <c r="K52" s="51"/>
    </row>
    <row r="53" spans="1:14" x14ac:dyDescent="0.25">
      <c r="A53" s="27" t="s">
        <v>141</v>
      </c>
      <c r="C53" s="44"/>
      <c r="D53" s="44"/>
      <c r="E53" s="44"/>
      <c r="F53" s="44"/>
      <c r="G53" s="44"/>
      <c r="H53" s="44"/>
      <c r="I53" s="44"/>
      <c r="J53" s="44"/>
      <c r="K53" s="44"/>
    </row>
    <row r="54" spans="1:14" hidden="1" x14ac:dyDescent="0.25">
      <c r="C54" s="44"/>
      <c r="D54" s="74"/>
      <c r="E54" s="139" t="s">
        <v>76</v>
      </c>
      <c r="F54" s="40"/>
      <c r="G54" s="165"/>
      <c r="H54" s="165"/>
      <c r="I54" s="137"/>
      <c r="J54" s="42"/>
      <c r="K54" s="44"/>
      <c r="L54" s="38"/>
      <c r="M54" s="187"/>
      <c r="N54" s="38"/>
    </row>
    <row r="55" spans="1:14" hidden="1" x14ac:dyDescent="0.25">
      <c r="C55" s="44"/>
      <c r="D55" s="74"/>
      <c r="E55" s="139" t="s">
        <v>111</v>
      </c>
      <c r="F55" s="40"/>
      <c r="G55" s="165"/>
      <c r="H55" s="188"/>
      <c r="I55" s="137"/>
      <c r="J55" s="42"/>
      <c r="K55" s="44"/>
      <c r="L55" s="38"/>
      <c r="M55" s="187"/>
      <c r="N55" s="38"/>
    </row>
    <row r="56" spans="1:14" hidden="1" x14ac:dyDescent="0.25">
      <c r="C56" s="44"/>
      <c r="D56" s="74"/>
      <c r="E56" s="139" t="s">
        <v>75</v>
      </c>
      <c r="F56" s="192"/>
      <c r="G56" s="165"/>
      <c r="H56" s="188"/>
      <c r="I56" s="137"/>
      <c r="J56" s="42"/>
      <c r="K56" s="44"/>
      <c r="L56" s="38"/>
      <c r="M56" s="187"/>
      <c r="N56" s="38"/>
    </row>
    <row r="57" spans="1:14" hidden="1" x14ac:dyDescent="0.25">
      <c r="D57" s="39"/>
      <c r="E57" s="139" t="s">
        <v>77</v>
      </c>
      <c r="F57" s="40"/>
      <c r="G57" s="188"/>
      <c r="H57" s="188"/>
      <c r="I57" s="137"/>
      <c r="J57" s="38"/>
      <c r="L57" s="38"/>
      <c r="M57" s="187"/>
      <c r="N57" s="38"/>
    </row>
    <row r="58" spans="1:14" ht="4.5" hidden="1" customHeight="1" x14ac:dyDescent="0.25">
      <c r="D58" s="52"/>
      <c r="E58" s="54"/>
      <c r="F58" s="53"/>
      <c r="G58" s="53"/>
      <c r="H58" s="53"/>
      <c r="I58" s="51"/>
      <c r="J58" s="38"/>
      <c r="L58" s="38"/>
      <c r="M58" s="187"/>
      <c r="N58" s="38"/>
    </row>
    <row r="59" spans="1:14" ht="13.5" hidden="1" thickBot="1" x14ac:dyDescent="0.3">
      <c r="I59" s="138">
        <f>SUM(I54:I58)</f>
        <v>0</v>
      </c>
      <c r="J59" s="136" t="str">
        <f>IF(I59=I51,"","error")</f>
        <v/>
      </c>
      <c r="L59" s="38"/>
      <c r="M59" s="38"/>
      <c r="N59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S79"/>
  <sheetViews>
    <sheetView topLeftCell="B3" workbookViewId="0">
      <selection activeCell="B31" sqref="B31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102</v>
      </c>
    </row>
    <row r="2" spans="1:19" ht="15.75" x14ac:dyDescent="0.25">
      <c r="A2" s="25" t="s">
        <v>50</v>
      </c>
      <c r="B2" s="312" t="s">
        <v>17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Q2" s="27" t="s">
        <v>262</v>
      </c>
    </row>
    <row r="3" spans="1:19" ht="16.5" x14ac:dyDescent="0.3">
      <c r="A3" s="26">
        <v>36678</v>
      </c>
      <c r="B3" s="313" t="s">
        <v>161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</row>
    <row r="4" spans="1:19" ht="13.5" x14ac:dyDescent="0.25">
      <c r="A4" s="25" t="s">
        <v>47</v>
      </c>
      <c r="B4" s="314" t="str">
        <f>'Old Mgmt Summary'!A3</f>
        <v>Results based on Activity through April 14, 2000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</row>
    <row r="5" spans="1:19" ht="3" customHeight="1" x14ac:dyDescent="0.25">
      <c r="B5" s="38"/>
    </row>
    <row r="6" spans="1:19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315" t="s">
        <v>138</v>
      </c>
      <c r="R6" s="316"/>
      <c r="S6" s="317"/>
    </row>
    <row r="7" spans="1:19" x14ac:dyDescent="0.25">
      <c r="B7" s="29"/>
      <c r="D7" s="36"/>
      <c r="E7" s="38"/>
      <c r="F7" s="56"/>
      <c r="G7" s="56"/>
      <c r="H7" s="38"/>
      <c r="I7" s="56" t="s">
        <v>71</v>
      </c>
      <c r="J7" s="56" t="s">
        <v>11</v>
      </c>
      <c r="K7" s="56" t="s">
        <v>13</v>
      </c>
      <c r="L7" s="56" t="s">
        <v>14</v>
      </c>
      <c r="M7" s="56" t="s">
        <v>21</v>
      </c>
      <c r="N7" s="57"/>
      <c r="O7" s="58"/>
      <c r="P7" s="58"/>
      <c r="Q7" s="315" t="s">
        <v>137</v>
      </c>
      <c r="R7" s="316"/>
      <c r="S7" s="317"/>
    </row>
    <row r="8" spans="1:19" x14ac:dyDescent="0.25">
      <c r="B8" s="37" t="s">
        <v>16</v>
      </c>
      <c r="D8" s="33" t="s">
        <v>78</v>
      </c>
      <c r="E8" s="34" t="s">
        <v>139</v>
      </c>
      <c r="F8" s="34" t="s">
        <v>135</v>
      </c>
      <c r="G8" s="34" t="s">
        <v>53</v>
      </c>
      <c r="H8" s="34" t="s">
        <v>49</v>
      </c>
      <c r="I8" s="34" t="s">
        <v>21</v>
      </c>
      <c r="J8" s="34" t="s">
        <v>12</v>
      </c>
      <c r="K8" s="34" t="s">
        <v>21</v>
      </c>
      <c r="L8" s="34" t="s">
        <v>21</v>
      </c>
      <c r="M8" s="34" t="s">
        <v>15</v>
      </c>
      <c r="N8" s="35" t="s">
        <v>20</v>
      </c>
      <c r="O8" s="58"/>
      <c r="P8" s="58"/>
      <c r="Q8" s="184" t="s">
        <v>15</v>
      </c>
      <c r="R8" s="145" t="s">
        <v>13</v>
      </c>
      <c r="S8" s="146" t="s">
        <v>20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256</v>
      </c>
      <c r="B10" s="29" t="s">
        <v>3</v>
      </c>
      <c r="D10" s="59">
        <v>20776</v>
      </c>
      <c r="E10" s="60"/>
      <c r="F10" s="60"/>
      <c r="G10" s="60"/>
      <c r="H10" s="60"/>
      <c r="I10" s="103">
        <f>SUM(D10:H10)</f>
        <v>20776</v>
      </c>
      <c r="J10" s="59"/>
      <c r="K10" s="60"/>
      <c r="L10" s="60">
        <f t="shared" ref="L10:L18" si="0">SUM(I10:K10)</f>
        <v>20776</v>
      </c>
      <c r="M10" s="60" t="e">
        <f ca="1">ROUND(_xll.HPVAL($A10,$A$1,$A$2,$A$3,$A$4,$A$6)/1000,0)</f>
        <v>#NAME?</v>
      </c>
      <c r="N10" s="82" t="e">
        <f ca="1">L10-M10</f>
        <v>#NAME?</v>
      </c>
      <c r="Q10" s="73" t="e">
        <f ca="1">M10-Expenses!E9-'CapChrg-AllocExp'!E10</f>
        <v>#NAME?</v>
      </c>
      <c r="R10" s="73" t="e">
        <f ca="1">I10+J10-Expenses!D9-'CapChrg-AllocExp'!D10</f>
        <v>#NAME?</v>
      </c>
      <c r="S10" s="73" t="e">
        <f ca="1">Q10-R10</f>
        <v>#NAME?</v>
      </c>
    </row>
    <row r="11" spans="1:19" ht="12" customHeight="1" x14ac:dyDescent="0.25">
      <c r="A11" s="25" t="s">
        <v>105</v>
      </c>
      <c r="B11" s="29" t="s">
        <v>106</v>
      </c>
      <c r="D11" s="41">
        <v>-6131</v>
      </c>
      <c r="E11" s="42"/>
      <c r="F11" s="42"/>
      <c r="G11" s="42"/>
      <c r="H11" s="42"/>
      <c r="I11" s="64">
        <f t="shared" ref="I11:I18" si="1">SUM(D11:H11)</f>
        <v>-6131</v>
      </c>
      <c r="J11" s="41"/>
      <c r="K11" s="42"/>
      <c r="L11" s="42">
        <f t="shared" si="0"/>
        <v>-6131</v>
      </c>
      <c r="M11" s="42" t="e">
        <f ca="1">ROUND(_xll.HPVAL($A11,$A$1,$A$2,$A$3,$A$4,$A$6)/1000,0)+Expenses!E54</f>
        <v>#NAME?</v>
      </c>
      <c r="N11" s="83" t="e">
        <f t="shared" ref="N11:N18" ca="1" si="2">L11-M11</f>
        <v>#NAME?</v>
      </c>
      <c r="Q11" s="44" t="e">
        <f ca="1">M11-Expenses!E10-'CapChrg-AllocExp'!E11</f>
        <v>#NAME?</v>
      </c>
      <c r="R11" s="44" t="e">
        <f ca="1">I11+J11-Expenses!D10-'CapChrg-AllocExp'!D11</f>
        <v>#NAME?</v>
      </c>
      <c r="S11" s="44" t="e">
        <f t="shared" ref="S11:S18" ca="1" si="3">Q11-R11</f>
        <v>#NAME?</v>
      </c>
    </row>
    <row r="12" spans="1:19" ht="12" customHeight="1" x14ac:dyDescent="0.25">
      <c r="A12" s="25" t="s">
        <v>27</v>
      </c>
      <c r="B12" s="29" t="s">
        <v>132</v>
      </c>
      <c r="D12" s="41">
        <v>4610</v>
      </c>
      <c r="E12" s="42"/>
      <c r="F12" s="42"/>
      <c r="G12" s="42"/>
      <c r="H12" s="42"/>
      <c r="I12" s="64">
        <f>SUM(D12:H12)</f>
        <v>4610</v>
      </c>
      <c r="J12" s="41"/>
      <c r="K12" s="42"/>
      <c r="L12" s="42">
        <f t="shared" si="0"/>
        <v>4610</v>
      </c>
      <c r="M12" s="42" t="e">
        <f ca="1">ROUND((_xll.HPVAL($A12,$A$1,"other",$A$3,$A$4,$A$6)+_xll.HPVAL($A12,$A$1,"overview",$A$3,$A$4,$A$6))/1000,0)</f>
        <v>#NAME?</v>
      </c>
      <c r="N12" s="83" t="e">
        <f t="shared" ca="1" si="2"/>
        <v>#NAME?</v>
      </c>
      <c r="Q12" s="44" t="e">
        <f ca="1">M12-Expenses!E11-'CapChrg-AllocExp'!E12</f>
        <v>#NAME?</v>
      </c>
      <c r="R12" s="44" t="e">
        <f ca="1">I12+J12-Expenses!D11-'CapChrg-AllocExp'!D12</f>
        <v>#NAME?</v>
      </c>
      <c r="S12" s="44" t="e">
        <f t="shared" ca="1" si="3"/>
        <v>#NAME?</v>
      </c>
    </row>
    <row r="13" spans="1:19" ht="12" customHeight="1" x14ac:dyDescent="0.25">
      <c r="A13" s="25" t="s">
        <v>134</v>
      </c>
      <c r="B13" s="29" t="s">
        <v>133</v>
      </c>
      <c r="D13" s="41">
        <f>-5118-1114+641</f>
        <v>-5591</v>
      </c>
      <c r="E13" s="42"/>
      <c r="F13" s="42"/>
      <c r="G13" s="42"/>
      <c r="H13" s="42"/>
      <c r="I13" s="64">
        <f>SUM(D13:H13)</f>
        <v>-5591</v>
      </c>
      <c r="J13" s="41"/>
      <c r="K13" s="42"/>
      <c r="L13" s="42">
        <f>SUM(I13:K13)</f>
        <v>-5591</v>
      </c>
      <c r="M13" s="42" t="e">
        <f ca="1">ROUND(_xll.HPVAL($A13,$A$1,$A$2,$A$3,$A$4,$A$6)/1000,0)-M12</f>
        <v>#NAME?</v>
      </c>
      <c r="N13" s="83" t="e">
        <f ca="1">L13-M13</f>
        <v>#NAME?</v>
      </c>
      <c r="Q13" s="44" t="e">
        <f ca="1">M13-Expenses!E12-'CapChrg-AllocExp'!E13</f>
        <v>#NAME?</v>
      </c>
      <c r="R13" s="44" t="e">
        <f ca="1">I13+J13-Expenses!D12-'CapChrg-AllocExp'!D13</f>
        <v>#NAME?</v>
      </c>
      <c r="S13" s="44" t="e">
        <f ca="1">Q13-R13</f>
        <v>#NAME?</v>
      </c>
    </row>
    <row r="14" spans="1:19" ht="12" customHeight="1" x14ac:dyDescent="0.25">
      <c r="A14" s="25" t="s">
        <v>74</v>
      </c>
      <c r="B14" s="29" t="s">
        <v>114</v>
      </c>
      <c r="D14" s="41">
        <v>4548</v>
      </c>
      <c r="E14" s="81">
        <v>1079</v>
      </c>
      <c r="F14" s="81">
        <v>1039</v>
      </c>
      <c r="G14" s="42"/>
      <c r="H14" s="42"/>
      <c r="I14" s="64">
        <f>SUM(D14:H14)</f>
        <v>6666</v>
      </c>
      <c r="J14" s="41"/>
      <c r="K14" s="42"/>
      <c r="L14" s="42">
        <f t="shared" si="0"/>
        <v>6666</v>
      </c>
      <c r="M14" s="42" t="e">
        <f ca="1">ROUND(_xll.HPVAL($A14,$A$1,$A$2,$A$3,$A$4,$A$6)/1000,0)</f>
        <v>#NAME?</v>
      </c>
      <c r="N14" s="83" t="e">
        <f t="shared" ca="1" si="2"/>
        <v>#NAME?</v>
      </c>
      <c r="Q14" s="44" t="e">
        <f ca="1">M14-Expenses!E13-'CapChrg-AllocExp'!E14</f>
        <v>#NAME?</v>
      </c>
      <c r="R14" s="44" t="e">
        <f ca="1">I14+J14-Expenses!D13-'CapChrg-AllocExp'!D14</f>
        <v>#NAME?</v>
      </c>
      <c r="S14" s="44" t="e">
        <f t="shared" ca="1" si="3"/>
        <v>#NAME?</v>
      </c>
    </row>
    <row r="15" spans="1:19" ht="12" customHeight="1" x14ac:dyDescent="0.25">
      <c r="A15" s="25" t="s">
        <v>28</v>
      </c>
      <c r="B15" s="29" t="s">
        <v>5</v>
      </c>
      <c r="D15" s="41">
        <v>-70</v>
      </c>
      <c r="E15" s="42">
        <v>12</v>
      </c>
      <c r="F15" s="42">
        <v>66</v>
      </c>
      <c r="G15" s="42"/>
      <c r="H15" s="42"/>
      <c r="I15" s="64">
        <f t="shared" si="1"/>
        <v>8</v>
      </c>
      <c r="J15" s="41"/>
      <c r="K15" s="42"/>
      <c r="L15" s="42">
        <f t="shared" si="0"/>
        <v>8</v>
      </c>
      <c r="M15" s="42" t="e">
        <f ca="1">ROUND(_xll.HPVAL($A15,$A$1,$A$2,$A$3,$A$4,$A$6)/1000,0)</f>
        <v>#NAME?</v>
      </c>
      <c r="N15" s="83" t="e">
        <f t="shared" ca="1" si="2"/>
        <v>#NAME?</v>
      </c>
      <c r="Q15" s="44" t="e">
        <f ca="1">M15-Expenses!E14-'CapChrg-AllocExp'!E15</f>
        <v>#NAME?</v>
      </c>
      <c r="R15" s="44" t="e">
        <f ca="1">I15+J15-Expenses!D14-'CapChrg-AllocExp'!D15</f>
        <v>#NAME?</v>
      </c>
      <c r="S15" s="44" t="e">
        <f t="shared" ca="1" si="3"/>
        <v>#NAME?</v>
      </c>
    </row>
    <row r="16" spans="1:19" ht="12" customHeight="1" x14ac:dyDescent="0.25">
      <c r="A16" s="25" t="s">
        <v>30</v>
      </c>
      <c r="B16" s="29" t="s">
        <v>155</v>
      </c>
      <c r="D16" s="41">
        <v>-275</v>
      </c>
      <c r="E16" s="42"/>
      <c r="F16" s="42">
        <v>488</v>
      </c>
      <c r="G16" s="42"/>
      <c r="H16" s="42"/>
      <c r="I16" s="64">
        <f t="shared" si="1"/>
        <v>213</v>
      </c>
      <c r="J16" s="41"/>
      <c r="K16" s="42"/>
      <c r="L16" s="42">
        <f t="shared" si="0"/>
        <v>213</v>
      </c>
      <c r="M16" s="42" t="e">
        <f ca="1">ROUND(_xll.HPVAL($A16,$A$1,$A$2,$A$3,$A$4,$A$6)/1000,0)</f>
        <v>#NAME?</v>
      </c>
      <c r="N16" s="83" t="e">
        <f t="shared" ca="1" si="2"/>
        <v>#NAME?</v>
      </c>
      <c r="Q16" s="44" t="e">
        <f ca="1">M16-Expenses!E15-'CapChrg-AllocExp'!E16</f>
        <v>#NAME?</v>
      </c>
      <c r="R16" s="44" t="e">
        <f ca="1">I16+J16-Expenses!D15-'CapChrg-AllocExp'!D16</f>
        <v>#NAME?</v>
      </c>
      <c r="S16" s="44" t="e">
        <f t="shared" ca="1" si="3"/>
        <v>#NAME?</v>
      </c>
    </row>
    <row r="17" spans="1:19" ht="12" customHeight="1" x14ac:dyDescent="0.25">
      <c r="A17" s="25" t="s">
        <v>4</v>
      </c>
      <c r="B17" s="29" t="s">
        <v>107</v>
      </c>
      <c r="D17" s="41">
        <v>-1488</v>
      </c>
      <c r="E17" s="42"/>
      <c r="F17" s="42"/>
      <c r="G17" s="42"/>
      <c r="H17" s="42"/>
      <c r="I17" s="64">
        <f t="shared" si="1"/>
        <v>-1488</v>
      </c>
      <c r="J17" s="41"/>
      <c r="K17" s="42"/>
      <c r="L17" s="42">
        <f t="shared" si="0"/>
        <v>-1488</v>
      </c>
      <c r="M17" s="42" t="e">
        <f ca="1">ROUND(_xll.HPVAL($A17,$A$1,$A$2,$A$3,$A$4,$A$6)/1000,0)</f>
        <v>#NAME?</v>
      </c>
      <c r="N17" s="83" t="e">
        <f t="shared" ca="1" si="2"/>
        <v>#NAME?</v>
      </c>
      <c r="Q17" s="44" t="e">
        <f ca="1">M17-Expenses!E16-'CapChrg-AllocExp'!E17</f>
        <v>#NAME?</v>
      </c>
      <c r="R17" s="44" t="e">
        <f ca="1">I17+J17-Expenses!D16-'CapChrg-AllocExp'!D17</f>
        <v>#NAME?</v>
      </c>
      <c r="S17" s="44" t="e">
        <f t="shared" ca="1" si="3"/>
        <v>#NAME?</v>
      </c>
    </row>
    <row r="18" spans="1:19" ht="12" customHeight="1" x14ac:dyDescent="0.25">
      <c r="A18" s="25" t="s">
        <v>73</v>
      </c>
      <c r="B18" s="29" t="s">
        <v>156</v>
      </c>
      <c r="D18" s="41"/>
      <c r="E18" s="42"/>
      <c r="F18" s="42"/>
      <c r="G18" s="42"/>
      <c r="H18" s="42"/>
      <c r="I18" s="64">
        <f t="shared" si="1"/>
        <v>0</v>
      </c>
      <c r="J18" s="41"/>
      <c r="K18" s="42"/>
      <c r="L18" s="42">
        <f t="shared" si="0"/>
        <v>0</v>
      </c>
      <c r="M18" s="42" t="e">
        <f ca="1">ROUND(_xll.HPVAL($A18,$A$1,$A$2,$A$3,$A$4,$A$6)/1000,0)</f>
        <v>#NAME?</v>
      </c>
      <c r="N18" s="83" t="e">
        <f t="shared" ca="1" si="2"/>
        <v>#NAME?</v>
      </c>
      <c r="Q18" s="44" t="e">
        <f ca="1">M18-Expenses!E17-'CapChrg-AllocExp'!E18</f>
        <v>#NAME?</v>
      </c>
      <c r="R18" s="44" t="e">
        <f ca="1">I18+J18-Expenses!D17-'CapChrg-AllocExp'!D18</f>
        <v>#NAME?</v>
      </c>
      <c r="S18" s="44" t="e">
        <f t="shared" ca="1" si="3"/>
        <v>#NAME?</v>
      </c>
    </row>
    <row r="19" spans="1:19" ht="3" customHeight="1" x14ac:dyDescent="0.25">
      <c r="B19" s="29"/>
      <c r="D19" s="41"/>
      <c r="E19" s="42"/>
      <c r="F19" s="42"/>
      <c r="G19" s="42"/>
      <c r="H19" s="42"/>
      <c r="I19" s="64"/>
      <c r="J19" s="41"/>
      <c r="K19" s="42"/>
      <c r="L19" s="42"/>
      <c r="M19" s="42"/>
      <c r="N19" s="83"/>
    </row>
    <row r="20" spans="1:19" ht="12" customHeight="1" x14ac:dyDescent="0.25">
      <c r="B20" s="106" t="s">
        <v>6</v>
      </c>
      <c r="C20" s="91"/>
      <c r="D20" s="99">
        <f t="shared" ref="D20:N20" si="4">SUM(D10:D18)</f>
        <v>16379</v>
      </c>
      <c r="E20" s="100">
        <f t="shared" si="4"/>
        <v>1091</v>
      </c>
      <c r="F20" s="100">
        <f t="shared" si="4"/>
        <v>1593</v>
      </c>
      <c r="G20" s="100">
        <f t="shared" si="4"/>
        <v>0</v>
      </c>
      <c r="H20" s="100">
        <f t="shared" si="4"/>
        <v>0</v>
      </c>
      <c r="I20" s="99">
        <f t="shared" si="4"/>
        <v>19063</v>
      </c>
      <c r="J20" s="99">
        <f t="shared" si="4"/>
        <v>0</v>
      </c>
      <c r="K20" s="100">
        <f t="shared" si="4"/>
        <v>0</v>
      </c>
      <c r="L20" s="100">
        <f t="shared" si="4"/>
        <v>19063</v>
      </c>
      <c r="M20" s="100" t="e">
        <f t="shared" ca="1" si="4"/>
        <v>#NAME?</v>
      </c>
      <c r="N20" s="102" t="e">
        <f t="shared" ca="1" si="4"/>
        <v>#NAME?</v>
      </c>
      <c r="Q20" s="100" t="e">
        <f ca="1">SUM(Q10:Q18)</f>
        <v>#NAME?</v>
      </c>
      <c r="R20" s="100" t="e">
        <f ca="1">SUM(R10:R18)</f>
        <v>#NAME?</v>
      </c>
      <c r="S20" s="100" t="e">
        <f ca="1">SUM(S10:S18)</f>
        <v>#NAME?</v>
      </c>
    </row>
    <row r="21" spans="1:19" ht="3" customHeight="1" x14ac:dyDescent="0.25">
      <c r="B21" s="29"/>
      <c r="D21" s="41"/>
      <c r="E21" s="42"/>
      <c r="F21" s="42"/>
      <c r="G21" s="42"/>
      <c r="H21" s="42"/>
      <c r="I21" s="64"/>
      <c r="J21" s="41"/>
      <c r="K21" s="42"/>
      <c r="L21" s="42"/>
      <c r="M21" s="42"/>
      <c r="N21" s="83"/>
    </row>
    <row r="22" spans="1:19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64">
        <f>SUM(D22:H22)</f>
        <v>0</v>
      </c>
      <c r="J22" s="41"/>
      <c r="K22" s="42"/>
      <c r="L22" s="42">
        <f>SUM(I22:K22)</f>
        <v>0</v>
      </c>
      <c r="M22" s="42" t="e">
        <f ca="1">ROUND(_xll.HPVAL($A22,$A$1,$A$2,$A$3,$A$4,$A$6)/1000,0)</f>
        <v>#NAME?</v>
      </c>
      <c r="N22" s="83" t="e">
        <f ca="1">L22-M22</f>
        <v>#NAME?</v>
      </c>
      <c r="Q22" s="135" t="e">
        <f ca="1">M22-Expenses!E20-'CapChrg-AllocExp'!E21</f>
        <v>#NAME?</v>
      </c>
      <c r="R22" s="135" t="e">
        <f ca="1">I22+J22-Expenses!D20-'CapChrg-AllocExp'!D21</f>
        <v>#NAME?</v>
      </c>
      <c r="S22" s="44" t="e">
        <f ca="1">Q22-R22</f>
        <v>#NAME?</v>
      </c>
    </row>
    <row r="23" spans="1:19" ht="12" customHeight="1" x14ac:dyDescent="0.25">
      <c r="A23" s="25" t="s">
        <v>38</v>
      </c>
      <c r="B23" s="29" t="s">
        <v>89</v>
      </c>
      <c r="D23" s="41"/>
      <c r="E23" s="42"/>
      <c r="F23" s="42"/>
      <c r="G23" s="42"/>
      <c r="H23" s="42"/>
      <c r="I23" s="64">
        <f>SUM(D23:H23)</f>
        <v>0</v>
      </c>
      <c r="J23" s="41"/>
      <c r="K23" s="42"/>
      <c r="L23" s="42">
        <f>SUM(I23:K23)</f>
        <v>0</v>
      </c>
      <c r="M23" s="42" t="e">
        <f ca="1">ROUND(_xll.HPVAL($A23,$A$1,$A$2,$A$3,$A$4,$A$6)/1000,0)</f>
        <v>#NAME?</v>
      </c>
      <c r="N23" s="83" t="e">
        <f ca="1">L23-M23</f>
        <v>#NAME?</v>
      </c>
      <c r="Q23" s="44" t="e">
        <f ca="1">M23-Expenses!E21-'CapChrg-AllocExp'!E22</f>
        <v>#NAME?</v>
      </c>
      <c r="R23" s="44" t="e">
        <f ca="1">I23+J23-Expenses!D21-'CapChrg-AllocExp'!D22</f>
        <v>#NAME?</v>
      </c>
      <c r="S23" s="44" t="e">
        <f ca="1">Q23-R23</f>
        <v>#NAME?</v>
      </c>
    </row>
    <row r="24" spans="1:19" ht="12" customHeight="1" x14ac:dyDescent="0.25">
      <c r="A24" s="25" t="s">
        <v>255</v>
      </c>
      <c r="B24" s="29" t="s">
        <v>253</v>
      </c>
      <c r="D24" s="41">
        <f>352+65</f>
        <v>417</v>
      </c>
      <c r="E24" s="42"/>
      <c r="F24" s="42"/>
      <c r="G24" s="42"/>
      <c r="H24" s="42"/>
      <c r="I24" s="64">
        <f>SUM(D24:H24)</f>
        <v>417</v>
      </c>
      <c r="J24" s="41"/>
      <c r="K24" s="42"/>
      <c r="L24" s="42">
        <f>SUM(I24:K24)</f>
        <v>417</v>
      </c>
      <c r="M24" s="42" t="e">
        <f ca="1">ROUND(_xll.HPVAL($A24,$A$1,$A$2,$A$3,$A$4,$A$6)/1000,0)</f>
        <v>#NAME?</v>
      </c>
      <c r="N24" s="83" t="e">
        <f ca="1">L24-M24</f>
        <v>#NAME?</v>
      </c>
      <c r="Q24" s="44" t="e">
        <f ca="1">M24-Expenses!E22-'CapChrg-AllocExp'!E23</f>
        <v>#NAME?</v>
      </c>
      <c r="R24" s="44" t="e">
        <f ca="1">I24+J24-Expenses!D22-'CapChrg-AllocExp'!D23</f>
        <v>#NAME?</v>
      </c>
      <c r="S24" s="44" t="e">
        <f ca="1">Q24-R24</f>
        <v>#NAME?</v>
      </c>
    </row>
    <row r="25" spans="1:19" ht="12" customHeight="1" x14ac:dyDescent="0.25">
      <c r="A25" s="25" t="s">
        <v>103</v>
      </c>
      <c r="B25" s="29" t="s">
        <v>104</v>
      </c>
      <c r="D25" s="41"/>
      <c r="E25" s="81"/>
      <c r="F25" s="81"/>
      <c r="G25" s="42"/>
      <c r="H25" s="42"/>
      <c r="I25" s="64">
        <f>SUM(D25:H25)</f>
        <v>0</v>
      </c>
      <c r="J25" s="41"/>
      <c r="K25" s="42"/>
      <c r="L25" s="42">
        <f>SUM(I25:K25)</f>
        <v>0</v>
      </c>
      <c r="M25" s="42" t="e">
        <f ca="1">ROUND(_xll.HPVAL($A25,$A$1,$A$2,$A$3,$A$4,$A$6)/1000,0)</f>
        <v>#NAME?</v>
      </c>
      <c r="N25" s="83" t="e">
        <f ca="1">L25-M25</f>
        <v>#NAME?</v>
      </c>
      <c r="Q25" s="44" t="e">
        <f ca="1">M25-Expenses!E23-'CapChrg-AllocExp'!E24</f>
        <v>#NAME?</v>
      </c>
      <c r="R25" s="44" t="e">
        <f ca="1">I25+J25-Expenses!D23-'CapChrg-AllocExp'!D24</f>
        <v>#NAME?</v>
      </c>
      <c r="S25" s="44" t="e">
        <f ca="1">Q25-R25</f>
        <v>#NAME?</v>
      </c>
    </row>
    <row r="26" spans="1:19" ht="12" customHeight="1" x14ac:dyDescent="0.25">
      <c r="A26" s="25" t="s">
        <v>36</v>
      </c>
      <c r="B26" s="29" t="s">
        <v>0</v>
      </c>
      <c r="D26" s="41"/>
      <c r="E26" s="42"/>
      <c r="F26" s="42"/>
      <c r="G26" s="42"/>
      <c r="H26" s="42"/>
      <c r="I26" s="64">
        <f>SUM(D26:H26)</f>
        <v>0</v>
      </c>
      <c r="J26" s="41"/>
      <c r="K26" s="42"/>
      <c r="L26" s="42">
        <f>SUM(I26:K26)</f>
        <v>0</v>
      </c>
      <c r="M26" s="42" t="e">
        <f ca="1">ROUND(_xll.HPVAL($A26,$A$1,$A$2,$A$3,$A$4,$A$6)/1000,0)</f>
        <v>#NAME?</v>
      </c>
      <c r="N26" s="83" t="e">
        <f ca="1">L26-M26</f>
        <v>#NAME?</v>
      </c>
      <c r="Q26" s="44" t="e">
        <f ca="1">M26-Expenses!E24-'CapChrg-AllocExp'!E25</f>
        <v>#NAME?</v>
      </c>
      <c r="R26" s="44" t="e">
        <f ca="1">I26+J26-Expenses!D24-'CapChrg-AllocExp'!D25</f>
        <v>#NAME?</v>
      </c>
      <c r="S26" s="44" t="e">
        <f ca="1">Q26-R26</f>
        <v>#NAME?</v>
      </c>
    </row>
    <row r="27" spans="1:19" ht="3" customHeight="1" x14ac:dyDescent="0.25">
      <c r="B27" s="29"/>
      <c r="D27" s="41"/>
      <c r="E27" s="42"/>
      <c r="F27" s="42"/>
      <c r="G27" s="42"/>
      <c r="H27" s="42"/>
      <c r="I27" s="64"/>
      <c r="J27" s="41"/>
      <c r="K27" s="42"/>
      <c r="L27" s="42"/>
      <c r="M27" s="42"/>
      <c r="N27" s="83"/>
    </row>
    <row r="28" spans="1:19" ht="12" customHeight="1" x14ac:dyDescent="0.25">
      <c r="B28" s="106" t="s">
        <v>1</v>
      </c>
      <c r="C28" s="91"/>
      <c r="D28" s="99">
        <f t="shared" ref="D28:N28" si="5">SUM(D22:D26)</f>
        <v>417</v>
      </c>
      <c r="E28" s="100">
        <f t="shared" si="5"/>
        <v>0</v>
      </c>
      <c r="F28" s="100">
        <f t="shared" si="5"/>
        <v>0</v>
      </c>
      <c r="G28" s="100">
        <f t="shared" si="5"/>
        <v>0</v>
      </c>
      <c r="H28" s="100">
        <f t="shared" si="5"/>
        <v>0</v>
      </c>
      <c r="I28" s="99">
        <f t="shared" si="5"/>
        <v>417</v>
      </c>
      <c r="J28" s="99">
        <f t="shared" si="5"/>
        <v>0</v>
      </c>
      <c r="K28" s="100">
        <f t="shared" si="5"/>
        <v>0</v>
      </c>
      <c r="L28" s="100">
        <f t="shared" si="5"/>
        <v>417</v>
      </c>
      <c r="M28" s="100" t="e">
        <f t="shared" ca="1" si="5"/>
        <v>#NAME?</v>
      </c>
      <c r="N28" s="102" t="e">
        <f t="shared" ca="1" si="5"/>
        <v>#NAME?</v>
      </c>
      <c r="Q28" s="100" t="e">
        <f ca="1">SUM(Q22:Q26)</f>
        <v>#NAME?</v>
      </c>
      <c r="R28" s="100" t="e">
        <f ca="1">SUM(R22:R26)</f>
        <v>#NAME?</v>
      </c>
      <c r="S28" s="100" t="e">
        <f ca="1">SUM(S22:S26)</f>
        <v>#NAME?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3"/>
    </row>
    <row r="30" spans="1:19" ht="12" customHeight="1" x14ac:dyDescent="0.25">
      <c r="A30" s="25" t="s">
        <v>37</v>
      </c>
      <c r="B30" s="29" t="s">
        <v>67</v>
      </c>
      <c r="D30" s="41"/>
      <c r="E30" s="42"/>
      <c r="F30" s="81">
        <v>3553</v>
      </c>
      <c r="G30" s="42"/>
      <c r="H30" s="42"/>
      <c r="I30" s="64">
        <f>SUM(D30:H30)</f>
        <v>3553</v>
      </c>
      <c r="J30" s="41"/>
      <c r="K30" s="42"/>
      <c r="L30" s="42">
        <f>SUM(I30:K30)</f>
        <v>3553</v>
      </c>
      <c r="M30" s="42" t="e">
        <f ca="1">ROUND(_xll.HPVAL($A30,$A$1,$A$2,$A$3,$A$4,$A$6)/1000,0)</f>
        <v>#NAME?</v>
      </c>
      <c r="N30" s="83" t="e">
        <f ca="1">L30-M30</f>
        <v>#NAME?</v>
      </c>
      <c r="Q30" s="44" t="e">
        <f ca="1">M30-Expenses!E27-'CapChrg-AllocExp'!E28</f>
        <v>#NAME?</v>
      </c>
      <c r="R30" s="44" t="e">
        <f ca="1">I30+J30-Expenses!D27-'CapChrg-AllocExp'!D28</f>
        <v>#NAME?</v>
      </c>
      <c r="S30" s="44" t="e">
        <f ca="1">Q30-R30</f>
        <v>#NAME?</v>
      </c>
    </row>
    <row r="31" spans="1:19" ht="12" customHeight="1" x14ac:dyDescent="0.25">
      <c r="A31" s="25" t="s">
        <v>41</v>
      </c>
      <c r="B31" s="29" t="s">
        <v>92</v>
      </c>
      <c r="D31" s="41">
        <f>-96-32</f>
        <v>-128</v>
      </c>
      <c r="E31" s="42"/>
      <c r="F31" s="42"/>
      <c r="G31" s="42">
        <v>17549</v>
      </c>
      <c r="H31" s="42"/>
      <c r="I31" s="64">
        <f>SUM(D31:H31)</f>
        <v>17421</v>
      </c>
      <c r="J31" s="41"/>
      <c r="K31" s="42"/>
      <c r="L31" s="42">
        <f>SUM(I31:K31)</f>
        <v>17421</v>
      </c>
      <c r="M31" s="42" t="e">
        <f ca="1">ROUND(_xll.HPVAL($A31,$A$1,$A$2,$A$3,$A$4,$A$6)/1000,0)+Expenses!E55</f>
        <v>#NAME?</v>
      </c>
      <c r="N31" s="83" t="e">
        <f ca="1">L31-M31</f>
        <v>#NAME?</v>
      </c>
      <c r="Q31" s="44" t="e">
        <f ca="1">M31-Expenses!E28-Expenses!E55-'CapChrg-AllocExp'!E29</f>
        <v>#NAME?</v>
      </c>
      <c r="R31" s="44">
        <f>I31+J31-Expenses!D28-Expenses!D55-'CapChrg-AllocExp'!D29</f>
        <v>-40454</v>
      </c>
      <c r="S31" s="44" t="e">
        <f ca="1">Q31-R31</f>
        <v>#NAME?</v>
      </c>
    </row>
    <row r="32" spans="1:19" ht="12" customHeight="1" x14ac:dyDescent="0.25">
      <c r="A32" s="25" t="s">
        <v>42</v>
      </c>
      <c r="B32" s="29" t="s">
        <v>93</v>
      </c>
      <c r="D32" s="41">
        <v>5531</v>
      </c>
      <c r="E32" s="42"/>
      <c r="F32" s="42"/>
      <c r="G32" s="42"/>
      <c r="H32" s="42"/>
      <c r="I32" s="64">
        <f>SUM(D32:H32)</f>
        <v>5531</v>
      </c>
      <c r="J32" s="41"/>
      <c r="K32" s="42"/>
      <c r="L32" s="42">
        <f>SUM(I32:K32)</f>
        <v>5531</v>
      </c>
      <c r="M32" s="42" t="e">
        <f ca="1">ROUND(_xll.HPVAL($A32,$A$1,$A$2,$A$3,$A$4,$A$6)/1000,0)</f>
        <v>#NAME?</v>
      </c>
      <c r="N32" s="83" t="e">
        <f ca="1">L32-M32</f>
        <v>#NAME?</v>
      </c>
      <c r="Q32" s="44" t="e">
        <f ca="1">M32-Expenses!E29-'CapChrg-AllocExp'!E30</f>
        <v>#NAME?</v>
      </c>
      <c r="R32" s="44" t="e">
        <f ca="1">I32+J32-Expenses!D29-'CapChrg-AllocExp'!D30</f>
        <v>#NAME?</v>
      </c>
      <c r="S32" s="44" t="e">
        <f ca="1">Q32-R32</f>
        <v>#NAME?</v>
      </c>
    </row>
    <row r="33" spans="1:19" ht="3" customHeight="1" x14ac:dyDescent="0.25">
      <c r="B33" s="29"/>
      <c r="C33" s="135"/>
      <c r="D33" s="41"/>
      <c r="E33" s="42"/>
      <c r="F33" s="42"/>
      <c r="G33" s="42"/>
      <c r="H33" s="42"/>
      <c r="I33" s="64"/>
      <c r="J33" s="41"/>
      <c r="K33" s="42"/>
      <c r="L33" s="42"/>
      <c r="M33" s="42"/>
      <c r="N33" s="83"/>
    </row>
    <row r="34" spans="1:19" ht="12" customHeight="1" x14ac:dyDescent="0.25">
      <c r="B34" s="106" t="s">
        <v>86</v>
      </c>
      <c r="C34" s="91"/>
      <c r="D34" s="99">
        <f t="shared" ref="D34:N34" si="6">SUM(D30:D32)</f>
        <v>5403</v>
      </c>
      <c r="E34" s="100">
        <f t="shared" si="6"/>
        <v>0</v>
      </c>
      <c r="F34" s="100">
        <f t="shared" si="6"/>
        <v>3553</v>
      </c>
      <c r="G34" s="100">
        <f t="shared" si="6"/>
        <v>17549</v>
      </c>
      <c r="H34" s="100">
        <f t="shared" si="6"/>
        <v>0</v>
      </c>
      <c r="I34" s="99">
        <f t="shared" si="6"/>
        <v>26505</v>
      </c>
      <c r="J34" s="99">
        <f t="shared" si="6"/>
        <v>0</v>
      </c>
      <c r="K34" s="100">
        <f t="shared" si="6"/>
        <v>0</v>
      </c>
      <c r="L34" s="100">
        <f t="shared" si="6"/>
        <v>26505</v>
      </c>
      <c r="M34" s="100" t="e">
        <f t="shared" ca="1" si="6"/>
        <v>#NAME?</v>
      </c>
      <c r="N34" s="102" t="e">
        <f t="shared" ca="1" si="6"/>
        <v>#NAME?</v>
      </c>
      <c r="Q34" s="100" t="e">
        <f ca="1">SUM(Q30:Q32)</f>
        <v>#NAME?</v>
      </c>
      <c r="R34" s="100" t="e">
        <f ca="1">SUM(R30:R32)</f>
        <v>#NAME?</v>
      </c>
      <c r="S34" s="100" t="e">
        <f ca="1">SUM(S30:S32)</f>
        <v>#NAME?</v>
      </c>
    </row>
    <row r="35" spans="1:19" ht="3" customHeight="1" x14ac:dyDescent="0.25">
      <c r="B35" s="29"/>
      <c r="D35" s="41"/>
      <c r="E35" s="42"/>
      <c r="F35" s="42"/>
      <c r="G35" s="42"/>
      <c r="H35" s="42"/>
      <c r="I35" s="64"/>
      <c r="J35" s="41"/>
      <c r="K35" s="42"/>
      <c r="L35" s="42"/>
      <c r="M35" s="42"/>
      <c r="N35" s="83"/>
    </row>
    <row r="36" spans="1:19" ht="12" customHeight="1" x14ac:dyDescent="0.25">
      <c r="A36" s="25" t="s">
        <v>40</v>
      </c>
      <c r="B36" s="29" t="s">
        <v>9</v>
      </c>
      <c r="D36" s="41"/>
      <c r="E36" s="81">
        <v>-24919</v>
      </c>
      <c r="F36" s="81">
        <v>97</v>
      </c>
      <c r="G36" s="42"/>
      <c r="H36" s="42"/>
      <c r="I36" s="64">
        <f>SUM(D36:H36)</f>
        <v>-24822</v>
      </c>
      <c r="J36" s="41"/>
      <c r="K36" s="42"/>
      <c r="L36" s="42">
        <f>SUM(I36:K36)</f>
        <v>-24822</v>
      </c>
      <c r="M36" s="42" t="e">
        <f ca="1">ROUND(_xll.HPVAL($A36,$A$1,$A$2,$A$3,$A$4,$A$6)/1000,0)</f>
        <v>#NAME?</v>
      </c>
      <c r="N36" s="83" t="e">
        <f ca="1">L36-M36</f>
        <v>#NAME?</v>
      </c>
      <c r="Q36" s="135" t="e">
        <f ca="1">M36-Expenses!E32-'CapChrg-AllocExp'!E33</f>
        <v>#NAME?</v>
      </c>
      <c r="R36" s="135">
        <f>I36+J36-Expenses!D32-'CapChrg-AllocExp'!D33</f>
        <v>-26364</v>
      </c>
      <c r="S36" s="44" t="e">
        <f ca="1">Q36-R36</f>
        <v>#NAME?</v>
      </c>
    </row>
    <row r="37" spans="1:19" ht="12" customHeight="1" x14ac:dyDescent="0.25">
      <c r="A37" s="25" t="s">
        <v>39</v>
      </c>
      <c r="B37" s="29" t="s">
        <v>151</v>
      </c>
      <c r="D37" s="41"/>
      <c r="E37" s="81">
        <v>-757</v>
      </c>
      <c r="F37" s="81">
        <v>252</v>
      </c>
      <c r="G37" s="42"/>
      <c r="H37" s="42"/>
      <c r="I37" s="64">
        <f>SUM(D37:H37)</f>
        <v>-505</v>
      </c>
      <c r="J37" s="41"/>
      <c r="K37" s="42"/>
      <c r="L37" s="42">
        <f>SUM(I37:K37)</f>
        <v>-505</v>
      </c>
      <c r="M37" s="42" t="e">
        <f ca="1">ROUND(_xll.HPVAL($A37,$A$1,$A$2,$A$3,$A$4,$A$6)/1000,0)</f>
        <v>#NAME?</v>
      </c>
      <c r="N37" s="83" t="e">
        <f ca="1">L37-M37</f>
        <v>#NAME?</v>
      </c>
      <c r="Q37" s="44" t="e">
        <f ca="1">M37-Expenses!E33-'CapChrg-AllocExp'!E34</f>
        <v>#NAME?</v>
      </c>
      <c r="R37" s="44" t="e">
        <f ca="1">I37+J37-Expenses!D33-'CapChrg-AllocExp'!D34</f>
        <v>#NAME?</v>
      </c>
      <c r="S37" s="44" t="e">
        <f ca="1">Q37-R37</f>
        <v>#NAME?</v>
      </c>
    </row>
    <row r="38" spans="1:19" ht="12.75" customHeight="1" x14ac:dyDescent="0.25">
      <c r="A38" s="25" t="s">
        <v>153</v>
      </c>
      <c r="B38" s="29" t="s">
        <v>180</v>
      </c>
      <c r="D38" s="41"/>
      <c r="E38" s="81">
        <f>-19642</f>
        <v>-19642</v>
      </c>
      <c r="F38" s="81">
        <f>754+1217</f>
        <v>1971</v>
      </c>
      <c r="G38" s="42"/>
      <c r="H38" s="42"/>
      <c r="I38" s="64">
        <f>SUM(D38:H38)</f>
        <v>-17671</v>
      </c>
      <c r="J38" s="41">
        <f>Greensheet!M88</f>
        <v>0</v>
      </c>
      <c r="K38" s="42"/>
      <c r="L38" s="42">
        <f>SUM(I38:K38)</f>
        <v>-17671</v>
      </c>
      <c r="M38" s="42" t="e">
        <f ca="1">ROUND(_xll.HPVAL($A38,$A$1,$A$2,$A$3,$A$4,$A$6)/1000,0)</f>
        <v>#NAME?</v>
      </c>
      <c r="N38" s="83" t="e">
        <f ca="1">L38-M38</f>
        <v>#NAME?</v>
      </c>
      <c r="Q38" s="44" t="e">
        <f ca="1">M38-Expenses!E34-'CapChrg-AllocExp'!E35</f>
        <v>#NAME?</v>
      </c>
      <c r="R38" s="44" t="e">
        <f ca="1">I38+J38-Expenses!D34-'CapChrg-AllocExp'!D35</f>
        <v>#NAME?</v>
      </c>
      <c r="S38" s="44" t="e">
        <f ca="1">Q38-R38</f>
        <v>#NAME?</v>
      </c>
    </row>
    <row r="39" spans="1:19" ht="12.75" customHeight="1" x14ac:dyDescent="0.25">
      <c r="A39" s="25" t="s">
        <v>157</v>
      </c>
      <c r="B39" s="29" t="s">
        <v>154</v>
      </c>
      <c r="D39" s="41"/>
      <c r="E39" s="81">
        <v>-6308</v>
      </c>
      <c r="F39" s="81">
        <v>2588</v>
      </c>
      <c r="G39" s="42"/>
      <c r="H39" s="42"/>
      <c r="I39" s="64">
        <f>SUM(D39:H39)</f>
        <v>-3720</v>
      </c>
      <c r="J39" s="41"/>
      <c r="K39" s="42"/>
      <c r="L39" s="42">
        <f>SUM(I39:K39)</f>
        <v>-3720</v>
      </c>
      <c r="M39" s="42" t="e">
        <f ca="1">ROUND(_xll.HPVAL($A39,$A$1,$A$2,$A$3,$A$4,$A$6)/1000,0)</f>
        <v>#NAME?</v>
      </c>
      <c r="N39" s="83" t="e">
        <f ca="1">L39-M39</f>
        <v>#NAME?</v>
      </c>
      <c r="Q39" s="135" t="e">
        <f ca="1">M39-Expenses!E35-'CapChrg-AllocExp'!E37</f>
        <v>#NAME?</v>
      </c>
      <c r="R39" s="135" t="e">
        <f ca="1">I39+J39-Expenses!D35-'CapChrg-AllocExp'!D37</f>
        <v>#NAME?</v>
      </c>
      <c r="S39" s="44" t="e">
        <f ca="1">Q39-R39</f>
        <v>#NAME?</v>
      </c>
    </row>
    <row r="40" spans="1:19" ht="12" customHeight="1" x14ac:dyDescent="0.25">
      <c r="B40" s="29" t="s">
        <v>154</v>
      </c>
      <c r="D40" s="41">
        <f>SUM(D38:D39)</f>
        <v>0</v>
      </c>
      <c r="E40" s="81">
        <f>SUM(E38:E39)</f>
        <v>-25950</v>
      </c>
      <c r="F40" s="81">
        <f>SUM(F38:F39)</f>
        <v>4559</v>
      </c>
      <c r="G40" s="81">
        <f>SUM(G38:G39)</f>
        <v>0</v>
      </c>
      <c r="H40" s="42">
        <f>SUM(H38:H39)</f>
        <v>0</v>
      </c>
      <c r="I40" s="64">
        <f>SUM(D40:H40)</f>
        <v>-21391</v>
      </c>
      <c r="J40" s="41"/>
      <c r="K40" s="42">
        <f>SUM(K38:K39)</f>
        <v>0</v>
      </c>
      <c r="L40" s="42">
        <f>SUM(I40:K40)</f>
        <v>-21391</v>
      </c>
      <c r="M40" s="42" t="e">
        <f ca="1">SUM(M38:M39)</f>
        <v>#NAME?</v>
      </c>
      <c r="N40" s="83" t="e">
        <f ca="1">SUM(N38:N39)</f>
        <v>#NAME?</v>
      </c>
      <c r="Q40" s="44"/>
      <c r="R40" s="44"/>
      <c r="S40" s="44"/>
    </row>
    <row r="41" spans="1:19" ht="3" customHeight="1" x14ac:dyDescent="0.25">
      <c r="B41" s="45"/>
      <c r="D41" s="46"/>
      <c r="E41" s="47"/>
      <c r="F41" s="47"/>
      <c r="G41" s="47"/>
      <c r="H41" s="47"/>
      <c r="I41" s="46"/>
      <c r="J41" s="46"/>
      <c r="K41" s="47"/>
      <c r="L41" s="47"/>
      <c r="M41" s="47"/>
      <c r="N41" s="126"/>
    </row>
    <row r="42" spans="1:19" s="90" customFormat="1" ht="12" customHeight="1" x14ac:dyDescent="0.25">
      <c r="B42" s="106" t="s">
        <v>87</v>
      </c>
      <c r="C42" s="91"/>
      <c r="D42" s="99">
        <f t="shared" ref="D42:N42" si="7">SUM(D36:D39)</f>
        <v>0</v>
      </c>
      <c r="E42" s="100">
        <f>E36+E37+E40</f>
        <v>-51626</v>
      </c>
      <c r="F42" s="100">
        <f>F36+F37+F40</f>
        <v>4908</v>
      </c>
      <c r="G42" s="100">
        <f t="shared" si="7"/>
        <v>0</v>
      </c>
      <c r="H42" s="100">
        <f t="shared" si="7"/>
        <v>0</v>
      </c>
      <c r="I42" s="99">
        <f t="shared" si="7"/>
        <v>-46718</v>
      </c>
      <c r="J42" s="99">
        <f t="shared" si="7"/>
        <v>0</v>
      </c>
      <c r="K42" s="100">
        <f t="shared" si="7"/>
        <v>0</v>
      </c>
      <c r="L42" s="100">
        <f>L36+L37+L40</f>
        <v>-46718</v>
      </c>
      <c r="M42" s="100" t="e">
        <f ca="1">M36+M37+M40</f>
        <v>#NAME?</v>
      </c>
      <c r="N42" s="102" t="e">
        <f t="shared" ca="1" si="7"/>
        <v>#NAME?</v>
      </c>
      <c r="Q42" s="100" t="e">
        <f ca="1">SUM(Q36:Q40)</f>
        <v>#NAME?</v>
      </c>
      <c r="R42" s="100" t="e">
        <f ca="1">SUM(R36:R40)</f>
        <v>#NAME?</v>
      </c>
      <c r="S42" s="100" t="e">
        <f ca="1">SUM(S36:S40)</f>
        <v>#NAME?</v>
      </c>
    </row>
    <row r="43" spans="1:19" ht="3" customHeight="1" x14ac:dyDescent="0.25">
      <c r="B43" s="29"/>
      <c r="D43" s="104"/>
      <c r="E43" s="81"/>
      <c r="F43" s="81"/>
      <c r="G43" s="81"/>
      <c r="H43" s="81"/>
      <c r="I43" s="105"/>
      <c r="J43" s="104"/>
      <c r="K43" s="81"/>
      <c r="L43" s="81"/>
      <c r="M43" s="81"/>
      <c r="N43" s="127"/>
    </row>
    <row r="44" spans="1:19" ht="12" customHeight="1" x14ac:dyDescent="0.25">
      <c r="A44" s="25" t="s">
        <v>82</v>
      </c>
      <c r="B44" s="29" t="s">
        <v>8</v>
      </c>
      <c r="D44" s="41"/>
      <c r="E44" s="42"/>
      <c r="F44" s="42"/>
      <c r="G44" s="42"/>
      <c r="H44" s="42"/>
      <c r="I44" s="64">
        <f>SUM(D44:H44)</f>
        <v>0</v>
      </c>
      <c r="J44" s="41"/>
      <c r="K44" s="42"/>
      <c r="L44" s="42">
        <f>SUM(I44:K44)</f>
        <v>0</v>
      </c>
      <c r="M44" s="42" t="e">
        <f ca="1">ROUND(_xll.HPVAL($A44,$A$1,$A$2,$A$3,$A$4,$A$6)/1000,0)</f>
        <v>#NAME?</v>
      </c>
      <c r="N44" s="83" t="e">
        <f ca="1">L44-M44</f>
        <v>#NAME?</v>
      </c>
      <c r="Q44" s="135" t="e">
        <f ca="1">M44-Expenses!E39-'CapChrg-AllocExp'!E40</f>
        <v>#NAME?</v>
      </c>
      <c r="R44" s="135" t="e">
        <f ca="1">I44+J44-Expenses!D39-'CapChrg-AllocExp'!D40</f>
        <v>#NAME?</v>
      </c>
      <c r="S44" s="44" t="e">
        <f ca="1">Q44-R44</f>
        <v>#NAME?</v>
      </c>
    </row>
    <row r="45" spans="1:19" ht="3" customHeight="1" x14ac:dyDescent="0.25">
      <c r="B45" s="29"/>
      <c r="D45" s="41"/>
      <c r="E45" s="42"/>
      <c r="F45" s="42"/>
      <c r="G45" s="42"/>
      <c r="H45" s="42"/>
      <c r="I45" s="64"/>
      <c r="J45" s="41"/>
      <c r="K45" s="42"/>
      <c r="L45" s="42"/>
      <c r="M45" s="42"/>
      <c r="N45" s="83"/>
    </row>
    <row r="46" spans="1:19" ht="12" customHeight="1" x14ac:dyDescent="0.25">
      <c r="A46" s="25" t="s">
        <v>44</v>
      </c>
      <c r="B46" s="29" t="s">
        <v>7</v>
      </c>
      <c r="D46" s="41"/>
      <c r="E46" s="42"/>
      <c r="F46" s="42"/>
      <c r="G46" s="42"/>
      <c r="H46" s="42"/>
      <c r="I46" s="64">
        <f>SUM(D46:H46)</f>
        <v>0</v>
      </c>
      <c r="J46" s="41"/>
      <c r="K46" s="42"/>
      <c r="L46" s="42">
        <f>SUM(I46:K46)</f>
        <v>0</v>
      </c>
      <c r="M46" s="42"/>
      <c r="N46" s="83">
        <f>L46-M46</f>
        <v>0</v>
      </c>
      <c r="Q46" s="44"/>
      <c r="R46" s="44"/>
      <c r="S46" s="44"/>
    </row>
    <row r="47" spans="1:19" ht="3" customHeight="1" x14ac:dyDescent="0.25">
      <c r="B47" s="76"/>
      <c r="D47" s="77"/>
      <c r="E47" s="67"/>
      <c r="F47" s="67"/>
      <c r="G47" s="67"/>
      <c r="H47" s="67"/>
      <c r="I47" s="46"/>
      <c r="J47" s="77"/>
      <c r="K47" s="67"/>
      <c r="L47" s="67"/>
      <c r="M47" s="67"/>
      <c r="N47" s="126"/>
    </row>
    <row r="48" spans="1:19" ht="12" customHeight="1" x14ac:dyDescent="0.25">
      <c r="A48" s="25" t="s">
        <v>46</v>
      </c>
      <c r="B48" s="29" t="s">
        <v>18</v>
      </c>
      <c r="D48" s="41"/>
      <c r="E48" s="42"/>
      <c r="F48" s="42">
        <v>-19367</v>
      </c>
      <c r="G48" s="42"/>
      <c r="H48" s="42"/>
      <c r="I48" s="64">
        <f>SUM(D48:H48)</f>
        <v>-19367</v>
      </c>
      <c r="J48" s="41"/>
      <c r="K48" s="42"/>
      <c r="L48" s="42">
        <f>SUM(I48:K48)</f>
        <v>-19367</v>
      </c>
      <c r="M48" s="42" t="e">
        <f ca="1">ROUND(_xll.HPVAL($A48,$A$1,$A$2,$A$3,$A$4,$A$6)/1000,0)</f>
        <v>#NAME?</v>
      </c>
      <c r="N48" s="83" t="e">
        <f ca="1">L48-M48</f>
        <v>#NAME?</v>
      </c>
      <c r="S48" s="44"/>
    </row>
    <row r="49" spans="2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26"/>
    </row>
    <row r="50" spans="2:19" ht="12" customHeight="1" x14ac:dyDescent="0.25">
      <c r="B50" s="29" t="s">
        <v>19</v>
      </c>
      <c r="D50" s="41"/>
      <c r="E50" s="42"/>
      <c r="F50" s="42"/>
      <c r="G50" s="42"/>
      <c r="H50" s="42"/>
      <c r="I50" s="64">
        <f>SUM(D50:H50)</f>
        <v>0</v>
      </c>
      <c r="J50" s="41"/>
      <c r="K50" s="42"/>
      <c r="L50" s="42">
        <f>SUM(I50:K50)</f>
        <v>0</v>
      </c>
      <c r="M50" s="42">
        <v>38074</v>
      </c>
      <c r="N50" s="83">
        <f>L50-M50</f>
        <v>-38074</v>
      </c>
      <c r="S50" s="44"/>
    </row>
    <row r="51" spans="2:19" ht="3" customHeight="1" x14ac:dyDescent="0.25">
      <c r="B51" s="29"/>
      <c r="D51" s="41"/>
      <c r="E51" s="42"/>
      <c r="F51" s="42"/>
      <c r="G51" s="42"/>
      <c r="H51" s="42"/>
      <c r="I51" s="64"/>
      <c r="J51" s="41"/>
      <c r="K51" s="42"/>
      <c r="L51" s="42"/>
      <c r="M51" s="42"/>
      <c r="N51" s="83"/>
    </row>
    <row r="52" spans="2:19" ht="12" customHeight="1" x14ac:dyDescent="0.25">
      <c r="B52" s="75" t="s">
        <v>14</v>
      </c>
      <c r="D52" s="95">
        <f t="shared" ref="D52:N52" si="8">SUM(D42:D50)+D34+D28+D20</f>
        <v>22199</v>
      </c>
      <c r="E52" s="96">
        <f t="shared" si="8"/>
        <v>-50535</v>
      </c>
      <c r="F52" s="96">
        <f t="shared" si="8"/>
        <v>-9313</v>
      </c>
      <c r="G52" s="96">
        <f t="shared" si="8"/>
        <v>17549</v>
      </c>
      <c r="H52" s="96">
        <f t="shared" si="8"/>
        <v>0</v>
      </c>
      <c r="I52" s="95">
        <f t="shared" si="8"/>
        <v>-20100</v>
      </c>
      <c r="J52" s="95">
        <f t="shared" si="8"/>
        <v>0</v>
      </c>
      <c r="K52" s="96">
        <f t="shared" si="8"/>
        <v>0</v>
      </c>
      <c r="L52" s="96">
        <f t="shared" si="8"/>
        <v>-20100</v>
      </c>
      <c r="M52" s="96" t="e">
        <f t="shared" ca="1" si="8"/>
        <v>#NAME?</v>
      </c>
      <c r="N52" s="98" t="e">
        <f t="shared" ca="1" si="8"/>
        <v>#NAME?</v>
      </c>
    </row>
    <row r="53" spans="2:19" ht="3" customHeight="1" x14ac:dyDescent="0.25">
      <c r="B53" s="48"/>
      <c r="D53" s="49"/>
      <c r="E53" s="50"/>
      <c r="F53" s="50"/>
      <c r="G53" s="50"/>
      <c r="H53" s="50"/>
      <c r="I53" s="49"/>
      <c r="J53" s="49"/>
      <c r="K53" s="50"/>
      <c r="L53" s="50"/>
      <c r="M53" s="50"/>
      <c r="N53" s="128"/>
    </row>
    <row r="54" spans="2:19" x14ac:dyDescent="0.25">
      <c r="B54" s="27" t="s">
        <v>141</v>
      </c>
      <c r="C54" s="136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</row>
    <row r="55" spans="2:19" x14ac:dyDescent="0.25">
      <c r="D55" s="44">
        <f>SUM(D52:D54)</f>
        <v>22199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</row>
    <row r="56" spans="2:19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2:19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2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2:19" x14ac:dyDescent="0.25">
      <c r="B59" s="177" t="s">
        <v>127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2:19" x14ac:dyDescent="0.25">
      <c r="B60" s="27" t="s">
        <v>3</v>
      </c>
      <c r="D60" s="44">
        <f>D10+D14+D31+D32</f>
        <v>30727</v>
      </c>
    </row>
    <row r="61" spans="2:19" x14ac:dyDescent="0.25">
      <c r="B61" s="27" t="s">
        <v>128</v>
      </c>
      <c r="D61" s="44">
        <f>D15+D16+D17+D24</f>
        <v>-1416</v>
      </c>
    </row>
    <row r="74" spans="1:1" x14ac:dyDescent="0.25">
      <c r="A74" s="27"/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Hotlist - Completed</vt:lpstr>
      <vt:lpstr>Expenses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'Hotlist - Completed'!Print_Area</vt:lpstr>
      <vt:lpstr>'Old Mgmt Summary'!Print_Area</vt:lpstr>
      <vt:lpstr>'QTD Mgmt Summary'!Print_Area</vt:lpstr>
      <vt:lpstr>'Summary YTD'!Print_Area</vt:lpstr>
      <vt:lpstr>'Summary YTD-Qtr'!Print_Area</vt:lpstr>
      <vt:lpstr>Greensheet!Print_Titles</vt:lpstr>
      <vt:lpstr>'Hotlist - Completed'!Print_Titles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2000-04-17T14:58:12Z</cp:lastPrinted>
  <dcterms:created xsi:type="dcterms:W3CDTF">1999-10-18T12:36:30Z</dcterms:created>
  <dcterms:modified xsi:type="dcterms:W3CDTF">2014-09-05T10:50:04Z</dcterms:modified>
</cp:coreProperties>
</file>