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IntIncome-Expense" sheetId="38" state="hidden" r:id="rId9"/>
    <sheet name="Headcount" sheetId="8" state="hidden" r:id="rId10"/>
  </sheets>
  <externalReferences>
    <externalReference r:id="rId11"/>
    <externalReference r:id="rId12"/>
    <externalReference r:id="rId13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7">'CapChrg-AllocExp'!$B$2:$P$32</definedName>
    <definedName name="_xlnm.Print_Area" localSheetId="6">'Expense Weekly Change'!$A$2:$J$40</definedName>
    <definedName name="_xlnm.Print_Area" localSheetId="5">Expenses!$B$2:$K$39</definedName>
    <definedName name="_xlnm.Print_Area" localSheetId="3">'GM-WeeklyChnge'!$A$1:$K$38</definedName>
    <definedName name="_xlnm.Print_Area" localSheetId="4">GrossMargin!$B$2:$N$40</definedName>
    <definedName name="_xlnm.Print_Area" localSheetId="9">Headcount!$B$1:$N$19</definedName>
    <definedName name="_xlnm.Print_Area" localSheetId="8">'IntIncome-Expense'!$1:$1048576</definedName>
    <definedName name="_xlnm.Print_Area" localSheetId="2">'Mgmt Summary'!$A$1:$V$43</definedName>
    <definedName name="_xlnm.Print_Area" localSheetId="1">'QTD Mgmt Summary'!$A$1:$Q$40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L15" i="4"/>
  <c r="K15" i="4" s="1"/>
  <c r="F16" i="4"/>
  <c r="M16" i="4"/>
  <c r="D18" i="4"/>
  <c r="D22" i="4" s="1"/>
  <c r="E18" i="4"/>
  <c r="F18" i="4"/>
  <c r="M18" i="4"/>
  <c r="D19" i="4"/>
  <c r="F19" i="4"/>
  <c r="M19" i="4"/>
  <c r="F20" i="4"/>
  <c r="M20" i="4"/>
  <c r="E22" i="4"/>
  <c r="F23" i="4"/>
  <c r="F24" i="4"/>
  <c r="K24" i="4"/>
  <c r="M24" i="4"/>
  <c r="M28" i="4"/>
  <c r="F29" i="4"/>
  <c r="A4" i="19"/>
  <c r="D9" i="19"/>
  <c r="C14" i="19"/>
  <c r="D14" i="19"/>
  <c r="D15" i="19"/>
  <c r="C16" i="19"/>
  <c r="D16" i="19"/>
  <c r="E16" i="19" s="1"/>
  <c r="C20" i="19"/>
  <c r="C24" i="19" s="1"/>
  <c r="D20" i="19"/>
  <c r="E20" i="19"/>
  <c r="C21" i="19"/>
  <c r="D21" i="19"/>
  <c r="E21" i="19" s="1"/>
  <c r="C22" i="19"/>
  <c r="D29" i="19"/>
  <c r="C30" i="19"/>
  <c r="D30" i="19"/>
  <c r="E30" i="19" s="1"/>
  <c r="C37" i="19"/>
  <c r="E37" i="19" s="1"/>
  <c r="D37" i="19"/>
  <c r="C38" i="19"/>
  <c r="D38" i="19"/>
  <c r="E38" i="19" s="1"/>
  <c r="C39" i="19"/>
  <c r="D39" i="19"/>
  <c r="E39" i="19"/>
  <c r="D9" i="3"/>
  <c r="D10" i="3"/>
  <c r="D14" i="3"/>
  <c r="E14" i="3"/>
  <c r="F14" i="3"/>
  <c r="D15" i="3"/>
  <c r="F15" i="3"/>
  <c r="T15" i="1" s="1"/>
  <c r="F16" i="3"/>
  <c r="D20" i="3"/>
  <c r="F20" i="3"/>
  <c r="T21" i="1" s="1"/>
  <c r="F21" i="3"/>
  <c r="T22" i="1" s="1"/>
  <c r="E22" i="3"/>
  <c r="D24" i="3"/>
  <c r="E29" i="3"/>
  <c r="F30" i="3"/>
  <c r="F37" i="3"/>
  <c r="F38" i="3"/>
  <c r="F39" i="3"/>
  <c r="A3" i="9"/>
  <c r="C9" i="9"/>
  <c r="D9" i="9"/>
  <c r="E9" i="9"/>
  <c r="F9" i="9"/>
  <c r="G9" i="9"/>
  <c r="I9" i="9"/>
  <c r="J9" i="9"/>
  <c r="C10" i="9"/>
  <c r="E10" i="9"/>
  <c r="F10" i="9"/>
  <c r="G10" i="9"/>
  <c r="I10" i="9"/>
  <c r="J10" i="9"/>
  <c r="C11" i="9"/>
  <c r="D11" i="9"/>
  <c r="E11" i="9"/>
  <c r="F11" i="9"/>
  <c r="G11" i="9"/>
  <c r="I11" i="9"/>
  <c r="J11" i="9"/>
  <c r="C12" i="9"/>
  <c r="D12" i="9"/>
  <c r="E12" i="9"/>
  <c r="F12" i="9"/>
  <c r="G12" i="9"/>
  <c r="I12" i="9"/>
  <c r="J12" i="9"/>
  <c r="C13" i="9"/>
  <c r="D13" i="9"/>
  <c r="E13" i="9"/>
  <c r="F13" i="9"/>
  <c r="G13" i="9"/>
  <c r="H13" i="9"/>
  <c r="I13" i="9"/>
  <c r="J13" i="9"/>
  <c r="C14" i="9"/>
  <c r="D14" i="9"/>
  <c r="E14" i="9"/>
  <c r="F14" i="9"/>
  <c r="G14" i="9"/>
  <c r="G19" i="9" s="1"/>
  <c r="I14" i="9"/>
  <c r="J14" i="9"/>
  <c r="J19" i="9" s="1"/>
  <c r="C15" i="9"/>
  <c r="D15" i="9"/>
  <c r="E15" i="9"/>
  <c r="F15" i="9"/>
  <c r="G15" i="9"/>
  <c r="H15" i="9"/>
  <c r="K15" i="9" s="1"/>
  <c r="I15" i="9"/>
  <c r="J15" i="9"/>
  <c r="C16" i="9"/>
  <c r="D16" i="9"/>
  <c r="E16" i="9"/>
  <c r="F16" i="9"/>
  <c r="G16" i="9"/>
  <c r="H16" i="9"/>
  <c r="K16" i="9" s="1"/>
  <c r="I16" i="9"/>
  <c r="J16" i="9"/>
  <c r="C17" i="9"/>
  <c r="D17" i="9"/>
  <c r="E17" i="9"/>
  <c r="F17" i="9"/>
  <c r="G17" i="9"/>
  <c r="H17" i="9"/>
  <c r="K17" i="9" s="1"/>
  <c r="I17" i="9"/>
  <c r="J17" i="9"/>
  <c r="C18" i="9"/>
  <c r="D18" i="9"/>
  <c r="E18" i="9"/>
  <c r="F18" i="9"/>
  <c r="G18" i="9"/>
  <c r="I18" i="9"/>
  <c r="J18" i="9"/>
  <c r="D19" i="9"/>
  <c r="F19" i="9"/>
  <c r="C20" i="9"/>
  <c r="D20" i="9"/>
  <c r="E20" i="9"/>
  <c r="F20" i="9"/>
  <c r="G20" i="9"/>
  <c r="I20" i="9"/>
  <c r="J20" i="9"/>
  <c r="C21" i="9"/>
  <c r="H21" i="9" s="1"/>
  <c r="K21" i="9" s="1"/>
  <c r="D21" i="9"/>
  <c r="E21" i="9"/>
  <c r="F21" i="9"/>
  <c r="G21" i="9"/>
  <c r="I21" i="9"/>
  <c r="J21" i="9"/>
  <c r="C22" i="9"/>
  <c r="H22" i="9" s="1"/>
  <c r="K22" i="9" s="1"/>
  <c r="D22" i="9"/>
  <c r="E22" i="9"/>
  <c r="F22" i="9"/>
  <c r="G22" i="9"/>
  <c r="I22" i="9"/>
  <c r="J22" i="9"/>
  <c r="F24" i="9"/>
  <c r="C26" i="9"/>
  <c r="D26" i="9"/>
  <c r="E26" i="9"/>
  <c r="F26" i="9"/>
  <c r="G26" i="9"/>
  <c r="H26" i="9"/>
  <c r="I26" i="9"/>
  <c r="I30" i="9" s="1"/>
  <c r="J26" i="9"/>
  <c r="C27" i="9"/>
  <c r="D27" i="9"/>
  <c r="E27" i="9"/>
  <c r="F27" i="9"/>
  <c r="F30" i="9" s="1"/>
  <c r="G27" i="9"/>
  <c r="I27" i="9"/>
  <c r="J27" i="9"/>
  <c r="C28" i="9"/>
  <c r="D28" i="9"/>
  <c r="E28" i="9"/>
  <c r="F28" i="9"/>
  <c r="G28" i="9"/>
  <c r="I28" i="9"/>
  <c r="J28" i="9"/>
  <c r="E30" i="9"/>
  <c r="J30" i="9"/>
  <c r="C35" i="9"/>
  <c r="H35" i="9" s="1"/>
  <c r="K35" i="9" s="1"/>
  <c r="D35" i="9"/>
  <c r="E35" i="9"/>
  <c r="F35" i="9"/>
  <c r="G35" i="9"/>
  <c r="I35" i="9"/>
  <c r="J35" i="9"/>
  <c r="B4" i="2"/>
  <c r="B4" i="3" s="1"/>
  <c r="I10" i="2"/>
  <c r="L10" i="2"/>
  <c r="N10" i="2"/>
  <c r="E11" i="2"/>
  <c r="D10" i="9" s="1"/>
  <c r="I11" i="2"/>
  <c r="I12" i="2"/>
  <c r="L12" i="2"/>
  <c r="I13" i="2"/>
  <c r="G12" i="1" s="1"/>
  <c r="L13" i="2"/>
  <c r="I14" i="2"/>
  <c r="L14" i="2"/>
  <c r="I15" i="2"/>
  <c r="L15" i="2"/>
  <c r="N15" i="2" s="1"/>
  <c r="I16" i="2"/>
  <c r="L16" i="2" s="1"/>
  <c r="N16" i="2" s="1"/>
  <c r="I17" i="2"/>
  <c r="L17" i="2" s="1"/>
  <c r="N17" i="2"/>
  <c r="I18" i="2"/>
  <c r="L18" i="2"/>
  <c r="N18" i="2" s="1"/>
  <c r="I19" i="2"/>
  <c r="L19" i="2"/>
  <c r="N19" i="2"/>
  <c r="D20" i="2"/>
  <c r="E20" i="2"/>
  <c r="E25" i="2" s="1"/>
  <c r="E34" i="2" s="1"/>
  <c r="E38" i="2" s="1"/>
  <c r="F20" i="2"/>
  <c r="F25" i="2" s="1"/>
  <c r="F34" i="2" s="1"/>
  <c r="F38" i="2" s="1"/>
  <c r="G20" i="2"/>
  <c r="G25" i="2" s="1"/>
  <c r="G34" i="2" s="1"/>
  <c r="H20" i="2"/>
  <c r="K20" i="2"/>
  <c r="M20" i="2"/>
  <c r="I21" i="2"/>
  <c r="G15" i="1" s="1"/>
  <c r="J15" i="1" s="1"/>
  <c r="L21" i="2"/>
  <c r="N21" i="2" s="1"/>
  <c r="I22" i="2"/>
  <c r="L22" i="2"/>
  <c r="N22" i="2"/>
  <c r="I23" i="2"/>
  <c r="L23" i="2"/>
  <c r="N23" i="2"/>
  <c r="D25" i="2"/>
  <c r="H25" i="2"/>
  <c r="J25" i="2"/>
  <c r="K25" i="2"/>
  <c r="F27" i="2"/>
  <c r="F31" i="2" s="1"/>
  <c r="I27" i="2"/>
  <c r="M27" i="2"/>
  <c r="I28" i="2"/>
  <c r="F29" i="2"/>
  <c r="I29" i="2"/>
  <c r="D31" i="2"/>
  <c r="E31" i="2"/>
  <c r="G31" i="2"/>
  <c r="H31" i="2"/>
  <c r="J31" i="2"/>
  <c r="K31" i="2"/>
  <c r="M31" i="2"/>
  <c r="H34" i="2"/>
  <c r="H38" i="2" s="1"/>
  <c r="J34" i="2"/>
  <c r="I36" i="2"/>
  <c r="L36" i="2"/>
  <c r="M36" i="2"/>
  <c r="N36" i="2" s="1"/>
  <c r="G38" i="2"/>
  <c r="J38" i="2"/>
  <c r="F9" i="8"/>
  <c r="J9" i="8"/>
  <c r="L9" i="8"/>
  <c r="M9" i="8"/>
  <c r="F15" i="8"/>
  <c r="J15" i="8"/>
  <c r="L15" i="8"/>
  <c r="N15" i="8" s="1"/>
  <c r="M15" i="8"/>
  <c r="F16" i="8"/>
  <c r="J16" i="8"/>
  <c r="L16" i="8"/>
  <c r="M16" i="8"/>
  <c r="N16" i="8"/>
  <c r="A4" i="38"/>
  <c r="E9" i="38"/>
  <c r="I9" i="38"/>
  <c r="I11" i="38" s="1"/>
  <c r="C11" i="38"/>
  <c r="D11" i="38"/>
  <c r="E11" i="38"/>
  <c r="G11" i="38"/>
  <c r="H11" i="38"/>
  <c r="E13" i="38"/>
  <c r="C15" i="38"/>
  <c r="D15" i="38"/>
  <c r="E15" i="38"/>
  <c r="E17" i="38"/>
  <c r="E19" i="38" s="1"/>
  <c r="G17" i="38"/>
  <c r="H17" i="38"/>
  <c r="I17" i="38"/>
  <c r="I19" i="38" s="1"/>
  <c r="C19" i="38"/>
  <c r="D19" i="38"/>
  <c r="G19" i="38"/>
  <c r="H19" i="38"/>
  <c r="E21" i="38"/>
  <c r="E23" i="38" s="1"/>
  <c r="G21" i="38"/>
  <c r="G23" i="38" s="1"/>
  <c r="H21" i="38"/>
  <c r="H23" i="38" s="1"/>
  <c r="C23" i="38"/>
  <c r="D23" i="38"/>
  <c r="E25" i="38"/>
  <c r="E31" i="38" s="1"/>
  <c r="G25" i="38"/>
  <c r="I25" i="38" s="1"/>
  <c r="E26" i="38"/>
  <c r="G26" i="38"/>
  <c r="E27" i="38"/>
  <c r="G27" i="38"/>
  <c r="I27" i="38" s="1"/>
  <c r="E28" i="38"/>
  <c r="G28" i="38"/>
  <c r="I28" i="38"/>
  <c r="E29" i="38"/>
  <c r="H29" i="38"/>
  <c r="G29" i="38" s="1"/>
  <c r="C31" i="38"/>
  <c r="D31" i="38"/>
  <c r="H31" i="38"/>
  <c r="C34" i="38"/>
  <c r="D34" i="38"/>
  <c r="E39" i="38"/>
  <c r="E40" i="38"/>
  <c r="E41" i="38"/>
  <c r="C9" i="1"/>
  <c r="D9" i="1"/>
  <c r="G9" i="1"/>
  <c r="H9" i="1"/>
  <c r="H19" i="1" s="1"/>
  <c r="I9" i="1"/>
  <c r="L9" i="1"/>
  <c r="N9" i="1"/>
  <c r="S9" i="1"/>
  <c r="H10" i="1"/>
  <c r="I10" i="1"/>
  <c r="L10" i="1"/>
  <c r="L10" i="36" s="1"/>
  <c r="G11" i="1"/>
  <c r="H11" i="1"/>
  <c r="J11" i="1" s="1"/>
  <c r="I11" i="1"/>
  <c r="H12" i="1"/>
  <c r="I12" i="1"/>
  <c r="I12" i="36" s="1"/>
  <c r="G13" i="1"/>
  <c r="H13" i="1"/>
  <c r="J13" i="1" s="1"/>
  <c r="I13" i="1"/>
  <c r="I13" i="36" s="1"/>
  <c r="L13" i="1"/>
  <c r="C14" i="1"/>
  <c r="H14" i="1"/>
  <c r="I14" i="1"/>
  <c r="M14" i="1"/>
  <c r="N14" i="1"/>
  <c r="N14" i="36" s="1"/>
  <c r="T14" i="1"/>
  <c r="C15" i="1"/>
  <c r="D15" i="1"/>
  <c r="H15" i="1"/>
  <c r="I15" i="1"/>
  <c r="L15" i="1"/>
  <c r="N15" i="1"/>
  <c r="S15" i="1"/>
  <c r="U15" i="1"/>
  <c r="C16" i="1"/>
  <c r="D15" i="37" s="1"/>
  <c r="G16" i="1"/>
  <c r="J16" i="1" s="1"/>
  <c r="C17" i="1"/>
  <c r="D17" i="1"/>
  <c r="G17" i="1"/>
  <c r="H17" i="1"/>
  <c r="I17" i="1"/>
  <c r="J17" i="1"/>
  <c r="L17" i="1"/>
  <c r="M17" i="1"/>
  <c r="M16" i="36" s="1"/>
  <c r="N17" i="1"/>
  <c r="S17" i="1"/>
  <c r="T17" i="1"/>
  <c r="U17" i="1"/>
  <c r="K19" i="1"/>
  <c r="R19" i="1"/>
  <c r="C21" i="1"/>
  <c r="D21" i="1"/>
  <c r="H21" i="1"/>
  <c r="I21" i="1"/>
  <c r="L21" i="1"/>
  <c r="M21" i="1"/>
  <c r="M25" i="1" s="1"/>
  <c r="N21" i="1"/>
  <c r="S21" i="1"/>
  <c r="U21" i="1"/>
  <c r="C22" i="1"/>
  <c r="E22" i="1" s="1"/>
  <c r="D22" i="1"/>
  <c r="H22" i="1"/>
  <c r="I22" i="1"/>
  <c r="L22" i="1"/>
  <c r="M22" i="1"/>
  <c r="N22" i="1"/>
  <c r="N25" i="1" s="1"/>
  <c r="U22" i="1"/>
  <c r="C23" i="1"/>
  <c r="H23" i="1"/>
  <c r="I23" i="1"/>
  <c r="L23" i="1"/>
  <c r="M23" i="1"/>
  <c r="N23" i="1"/>
  <c r="S23" i="1"/>
  <c r="U23" i="1"/>
  <c r="F25" i="1"/>
  <c r="I25" i="1"/>
  <c r="K25" i="1"/>
  <c r="K28" i="1" s="1"/>
  <c r="R25" i="1"/>
  <c r="R28" i="1" s="1"/>
  <c r="R35" i="1" s="1"/>
  <c r="R39" i="1" s="1"/>
  <c r="F28" i="1"/>
  <c r="D30" i="1"/>
  <c r="E30" i="1"/>
  <c r="J30" i="1"/>
  <c r="L30" i="1"/>
  <c r="Q30" i="1"/>
  <c r="J31" i="1"/>
  <c r="Q31" i="1"/>
  <c r="C32" i="1"/>
  <c r="D32" i="1"/>
  <c r="D21" i="36" s="1"/>
  <c r="G32" i="1"/>
  <c r="H32" i="1"/>
  <c r="J32" i="1" s="1"/>
  <c r="O32" i="1" s="1"/>
  <c r="I32" i="1"/>
  <c r="M32" i="1"/>
  <c r="T32" i="1"/>
  <c r="J33" i="1"/>
  <c r="Q33" i="1"/>
  <c r="V34" i="1"/>
  <c r="K35" i="1"/>
  <c r="K39" i="1" s="1"/>
  <c r="G37" i="1"/>
  <c r="H37" i="1"/>
  <c r="H26" i="36" s="1"/>
  <c r="I37" i="1"/>
  <c r="G41" i="1"/>
  <c r="Q3" i="37"/>
  <c r="D8" i="37"/>
  <c r="H8" i="37"/>
  <c r="C14" i="37"/>
  <c r="H14" i="37"/>
  <c r="I15" i="37"/>
  <c r="P15" i="37"/>
  <c r="G16" i="37"/>
  <c r="H16" i="37"/>
  <c r="I16" i="37"/>
  <c r="P16" i="37"/>
  <c r="F18" i="37"/>
  <c r="J18" i="37"/>
  <c r="G20" i="37"/>
  <c r="H20" i="37"/>
  <c r="I20" i="37" s="1"/>
  <c r="P20" i="37"/>
  <c r="P24" i="37" s="1"/>
  <c r="D21" i="37"/>
  <c r="G21" i="37"/>
  <c r="H21" i="37"/>
  <c r="I21" i="37" s="1"/>
  <c r="L21" i="37"/>
  <c r="P21" i="37"/>
  <c r="G22" i="37"/>
  <c r="P22" i="37" s="1"/>
  <c r="H22" i="37"/>
  <c r="F27" i="37"/>
  <c r="J27" i="37"/>
  <c r="E29" i="37"/>
  <c r="H29" i="37"/>
  <c r="O29" i="37"/>
  <c r="E30" i="37"/>
  <c r="O30" i="37"/>
  <c r="C31" i="37"/>
  <c r="K31" i="37" s="1"/>
  <c r="G31" i="37"/>
  <c r="H31" i="37"/>
  <c r="I31" i="37" s="1"/>
  <c r="P31" i="37"/>
  <c r="C32" i="37"/>
  <c r="O32" i="37" s="1"/>
  <c r="D32" i="37"/>
  <c r="E32" i="37"/>
  <c r="D36" i="37"/>
  <c r="E51" i="37"/>
  <c r="I51" i="37"/>
  <c r="C9" i="36"/>
  <c r="G9" i="36"/>
  <c r="H9" i="36"/>
  <c r="I9" i="36"/>
  <c r="J9" i="36"/>
  <c r="L9" i="36"/>
  <c r="S9" i="36"/>
  <c r="U9" i="36"/>
  <c r="H10" i="36"/>
  <c r="I10" i="36"/>
  <c r="G11" i="36"/>
  <c r="H11" i="36"/>
  <c r="J11" i="36" s="1"/>
  <c r="I11" i="36"/>
  <c r="G12" i="36"/>
  <c r="H12" i="36"/>
  <c r="J12" i="36" s="1"/>
  <c r="G13" i="36"/>
  <c r="H13" i="36"/>
  <c r="J13" i="36"/>
  <c r="L13" i="36"/>
  <c r="C14" i="36"/>
  <c r="H14" i="36"/>
  <c r="I14" i="36"/>
  <c r="M14" i="36"/>
  <c r="T14" i="36"/>
  <c r="C15" i="36"/>
  <c r="D15" i="36"/>
  <c r="E15" i="36"/>
  <c r="G15" i="36"/>
  <c r="H15" i="36"/>
  <c r="I15" i="36"/>
  <c r="J15" i="36"/>
  <c r="Q15" i="36" s="1"/>
  <c r="V15" i="36" s="1"/>
  <c r="L15" i="36"/>
  <c r="M15" i="36"/>
  <c r="N15" i="36"/>
  <c r="D16" i="36"/>
  <c r="G16" i="36"/>
  <c r="H16" i="36"/>
  <c r="I16" i="36"/>
  <c r="I18" i="36" s="1"/>
  <c r="I24" i="36" s="1"/>
  <c r="I28" i="36" s="1"/>
  <c r="L16" i="36"/>
  <c r="N16" i="36"/>
  <c r="S16" i="36"/>
  <c r="T16" i="36"/>
  <c r="U16" i="36"/>
  <c r="K18" i="36"/>
  <c r="P18" i="36"/>
  <c r="R18" i="36"/>
  <c r="C20" i="36"/>
  <c r="D20" i="36"/>
  <c r="E20" i="36"/>
  <c r="G20" i="36"/>
  <c r="H20" i="36"/>
  <c r="I20" i="36"/>
  <c r="J20" i="36"/>
  <c r="Q20" i="36" s="1"/>
  <c r="L20" i="36"/>
  <c r="N20" i="36"/>
  <c r="G21" i="36"/>
  <c r="H21" i="36"/>
  <c r="J21" i="36" s="1"/>
  <c r="I21" i="36"/>
  <c r="L21" i="36"/>
  <c r="M21" i="36"/>
  <c r="N21" i="36"/>
  <c r="T21" i="36"/>
  <c r="C22" i="36"/>
  <c r="G22" i="36"/>
  <c r="H22" i="36"/>
  <c r="I22" i="36"/>
  <c r="J22" i="36"/>
  <c r="Q22" i="36" s="1"/>
  <c r="M22" i="36"/>
  <c r="N22" i="36"/>
  <c r="V23" i="36"/>
  <c r="K24" i="36"/>
  <c r="K28" i="36" s="1"/>
  <c r="R24" i="36"/>
  <c r="C26" i="36"/>
  <c r="G26" i="36"/>
  <c r="I26" i="36"/>
  <c r="L26" i="36"/>
  <c r="N26" i="36"/>
  <c r="R28" i="36"/>
  <c r="G30" i="36"/>
  <c r="E13" i="4"/>
  <c r="L14" i="4"/>
  <c r="E10" i="3"/>
  <c r="D10" i="8"/>
  <c r="I14" i="8"/>
  <c r="E13" i="3"/>
  <c r="E10" i="8"/>
  <c r="D11" i="8"/>
  <c r="E12" i="4"/>
  <c r="E11" i="8"/>
  <c r="D12" i="8"/>
  <c r="E11" i="4"/>
  <c r="I10" i="8"/>
  <c r="H11" i="8"/>
  <c r="E13" i="8"/>
  <c r="D14" i="8"/>
  <c r="L12" i="4"/>
  <c r="E12" i="3"/>
  <c r="M11" i="2"/>
  <c r="I12" i="8"/>
  <c r="M14" i="2"/>
  <c r="H14" i="8"/>
  <c r="D13" i="8"/>
  <c r="E14" i="4"/>
  <c r="H13" i="8"/>
  <c r="E11" i="3"/>
  <c r="E12" i="8"/>
  <c r="E15" i="4"/>
  <c r="H12" i="8"/>
  <c r="M12" i="2"/>
  <c r="I13" i="8"/>
  <c r="M13" i="2"/>
  <c r="H10" i="8"/>
  <c r="I11" i="8"/>
  <c r="L13" i="4"/>
  <c r="L11" i="4"/>
  <c r="E14" i="8"/>
  <c r="M14" i="8" l="1"/>
  <c r="M11" i="4"/>
  <c r="L17" i="4"/>
  <c r="L22" i="4" s="1"/>
  <c r="L26" i="4" s="1"/>
  <c r="K11" i="4"/>
  <c r="K13" i="4"/>
  <c r="N12" i="1" s="1"/>
  <c r="N12" i="36" s="1"/>
  <c r="M13" i="4"/>
  <c r="H18" i="8"/>
  <c r="J10" i="8"/>
  <c r="J18" i="8" s="1"/>
  <c r="C12" i="1"/>
  <c r="C11" i="1"/>
  <c r="J12" i="8"/>
  <c r="D15" i="4"/>
  <c r="L14" i="1" s="1"/>
  <c r="L14" i="36" s="1"/>
  <c r="F15" i="4"/>
  <c r="H13" i="37"/>
  <c r="I13" i="37" s="1"/>
  <c r="D14" i="1"/>
  <c r="D14" i="36" s="1"/>
  <c r="E14" i="36" s="1"/>
  <c r="M12" i="8"/>
  <c r="D11" i="3"/>
  <c r="F11" i="3"/>
  <c r="D11" i="1"/>
  <c r="D11" i="36" s="1"/>
  <c r="H10" i="37"/>
  <c r="D11" i="19"/>
  <c r="J13" i="8"/>
  <c r="F14" i="4"/>
  <c r="L13" i="8"/>
  <c r="N13" i="8" s="1"/>
  <c r="F13" i="8"/>
  <c r="J14" i="8"/>
  <c r="C13" i="1"/>
  <c r="M25" i="2"/>
  <c r="M34" i="2" s="1"/>
  <c r="M38" i="2" s="1"/>
  <c r="C10" i="1"/>
  <c r="D12" i="19"/>
  <c r="F12" i="3"/>
  <c r="D12" i="1"/>
  <c r="D12" i="36" s="1"/>
  <c r="D12" i="3"/>
  <c r="H11" i="37"/>
  <c r="K12" i="4"/>
  <c r="N11" i="1" s="1"/>
  <c r="N11" i="36" s="1"/>
  <c r="L14" i="8"/>
  <c r="N14" i="8" s="1"/>
  <c r="F14" i="8"/>
  <c r="M13" i="8"/>
  <c r="J11" i="8"/>
  <c r="I18" i="8"/>
  <c r="H13" i="38"/>
  <c r="F11" i="4"/>
  <c r="E17" i="4"/>
  <c r="E26" i="4" s="1"/>
  <c r="L12" i="8"/>
  <c r="F12" i="8"/>
  <c r="M11" i="8"/>
  <c r="D12" i="4"/>
  <c r="F11" i="8"/>
  <c r="L11" i="8"/>
  <c r="E18" i="8"/>
  <c r="M10" i="8"/>
  <c r="M18" i="8" s="1"/>
  <c r="D13" i="3"/>
  <c r="F13" i="3"/>
  <c r="D13" i="1"/>
  <c r="D13" i="36" s="1"/>
  <c r="D13" i="19"/>
  <c r="H12" i="37"/>
  <c r="F10" i="8"/>
  <c r="L10" i="8"/>
  <c r="D18" i="8"/>
  <c r="F10" i="3"/>
  <c r="E18" i="3"/>
  <c r="E27" i="3" s="1"/>
  <c r="E32" i="3" s="1"/>
  <c r="D10" i="19"/>
  <c r="H9" i="37"/>
  <c r="D10" i="1"/>
  <c r="D10" i="36" s="1"/>
  <c r="M14" i="4"/>
  <c r="K14" i="4"/>
  <c r="N13" i="1" s="1"/>
  <c r="N13" i="36" s="1"/>
  <c r="D13" i="4"/>
  <c r="L12" i="1" s="1"/>
  <c r="L12" i="36" s="1"/>
  <c r="Q21" i="36"/>
  <c r="V21" i="36" s="1"/>
  <c r="O21" i="36"/>
  <c r="Q9" i="36"/>
  <c r="L18" i="8"/>
  <c r="J26" i="36"/>
  <c r="J16" i="36"/>
  <c r="H18" i="36"/>
  <c r="H24" i="36" s="1"/>
  <c r="H28" i="36" s="1"/>
  <c r="O14" i="37"/>
  <c r="D16" i="37"/>
  <c r="C16" i="36"/>
  <c r="E16" i="36" s="1"/>
  <c r="E17" i="1"/>
  <c r="C9" i="19"/>
  <c r="D18" i="3"/>
  <c r="D27" i="3" s="1"/>
  <c r="D32" i="3" s="1"/>
  <c r="M9" i="1"/>
  <c r="F9" i="3"/>
  <c r="G8" i="37"/>
  <c r="O16" i="1"/>
  <c r="Q16" i="1"/>
  <c r="V16" i="1" s="1"/>
  <c r="D30" i="9"/>
  <c r="H27" i="9"/>
  <c r="K27" i="9" s="1"/>
  <c r="O15" i="36"/>
  <c r="C15" i="19"/>
  <c r="M15" i="1"/>
  <c r="O15" i="1" s="1"/>
  <c r="G14" i="37"/>
  <c r="P14" i="37" s="1"/>
  <c r="C21" i="36"/>
  <c r="E21" i="36" s="1"/>
  <c r="Q32" i="1"/>
  <c r="V32" i="1" s="1"/>
  <c r="C10" i="19"/>
  <c r="M10" i="1"/>
  <c r="M10" i="36" s="1"/>
  <c r="L15" i="37"/>
  <c r="D31" i="37"/>
  <c r="L29" i="37"/>
  <c r="N9" i="36"/>
  <c r="H24" i="37"/>
  <c r="G24" i="37"/>
  <c r="C15" i="37"/>
  <c r="E15" i="37" s="1"/>
  <c r="S22" i="1"/>
  <c r="S25" i="1" s="1"/>
  <c r="F22" i="4"/>
  <c r="D22" i="37"/>
  <c r="N13" i="2"/>
  <c r="E24" i="19"/>
  <c r="G10" i="1"/>
  <c r="L11" i="2"/>
  <c r="D24" i="9"/>
  <c r="H9" i="9"/>
  <c r="I24" i="37"/>
  <c r="G9" i="37"/>
  <c r="P9" i="37" s="1"/>
  <c r="Q17" i="1"/>
  <c r="V17" i="1" s="1"/>
  <c r="C16" i="37"/>
  <c r="O17" i="1"/>
  <c r="Q13" i="1"/>
  <c r="V13" i="1" s="1"/>
  <c r="C12" i="37"/>
  <c r="E32" i="1"/>
  <c r="E21" i="1"/>
  <c r="D20" i="37"/>
  <c r="H28" i="1"/>
  <c r="H35" i="1" s="1"/>
  <c r="H39" i="1" s="1"/>
  <c r="E34" i="38"/>
  <c r="N9" i="8"/>
  <c r="L28" i="2"/>
  <c r="N28" i="2" s="1"/>
  <c r="G22" i="1"/>
  <c r="J22" i="1" s="1"/>
  <c r="D34" i="2"/>
  <c r="D38" i="2" s="1"/>
  <c r="Q15" i="1"/>
  <c r="V15" i="1" s="1"/>
  <c r="E19" i="9"/>
  <c r="E24" i="9" s="1"/>
  <c r="E33" i="9" s="1"/>
  <c r="E37" i="9" s="1"/>
  <c r="O31" i="37"/>
  <c r="Q31" i="37" s="1"/>
  <c r="E15" i="1"/>
  <c r="D14" i="37"/>
  <c r="D13" i="37"/>
  <c r="Q11" i="1"/>
  <c r="V11" i="1" s="1"/>
  <c r="C10" i="37"/>
  <c r="I31" i="2"/>
  <c r="H20" i="9"/>
  <c r="K20" i="9" s="1"/>
  <c r="G13" i="37"/>
  <c r="P13" i="37" s="1"/>
  <c r="U9" i="1"/>
  <c r="M17" i="4"/>
  <c r="M22" i="4" s="1"/>
  <c r="M26" i="4" s="1"/>
  <c r="M31" i="4" s="1"/>
  <c r="D9" i="36"/>
  <c r="D18" i="36" s="1"/>
  <c r="D24" i="36" s="1"/>
  <c r="D28" i="36" s="1"/>
  <c r="D19" i="1"/>
  <c r="D28" i="1" s="1"/>
  <c r="D35" i="1" s="1"/>
  <c r="D39" i="1" s="1"/>
  <c r="F33" i="9"/>
  <c r="F37" i="9" s="1"/>
  <c r="J24" i="9"/>
  <c r="J33" i="9" s="1"/>
  <c r="J37" i="9" s="1"/>
  <c r="G24" i="9"/>
  <c r="K26" i="9"/>
  <c r="I14" i="37"/>
  <c r="I8" i="37"/>
  <c r="L8" i="37"/>
  <c r="H18" i="37"/>
  <c r="J37" i="1"/>
  <c r="I22" i="37"/>
  <c r="C25" i="1"/>
  <c r="G30" i="9"/>
  <c r="I19" i="9"/>
  <c r="K13" i="9"/>
  <c r="I24" i="9"/>
  <c r="I33" i="9" s="1"/>
  <c r="I37" i="9" s="1"/>
  <c r="L25" i="1"/>
  <c r="E9" i="1"/>
  <c r="G21" i="1"/>
  <c r="L27" i="2"/>
  <c r="J12" i="1"/>
  <c r="F22" i="3"/>
  <c r="D23" i="1"/>
  <c r="D25" i="1" s="1"/>
  <c r="D22" i="19"/>
  <c r="E22" i="19" s="1"/>
  <c r="I44" i="37" s="1"/>
  <c r="E24" i="3"/>
  <c r="D24" i="19"/>
  <c r="E16" i="1"/>
  <c r="I29" i="38"/>
  <c r="I20" i="2"/>
  <c r="N12" i="2"/>
  <c r="H28" i="9"/>
  <c r="K28" i="9" s="1"/>
  <c r="C30" i="9"/>
  <c r="H11" i="9"/>
  <c r="K11" i="9" s="1"/>
  <c r="H10" i="9"/>
  <c r="K10" i="9" s="1"/>
  <c r="M15" i="4"/>
  <c r="H25" i="1"/>
  <c r="G31" i="38"/>
  <c r="I26" i="38"/>
  <c r="I31" i="38" s="1"/>
  <c r="F18" i="8"/>
  <c r="G23" i="1"/>
  <c r="J23" i="1" s="1"/>
  <c r="L29" i="2"/>
  <c r="N29" i="2" s="1"/>
  <c r="K34" i="2"/>
  <c r="K38" i="2" s="1"/>
  <c r="H18" i="9"/>
  <c r="K18" i="9" s="1"/>
  <c r="H14" i="9"/>
  <c r="C19" i="9"/>
  <c r="C24" i="9" s="1"/>
  <c r="C33" i="9" s="1"/>
  <c r="C37" i="9" s="1"/>
  <c r="E15" i="19"/>
  <c r="U25" i="1"/>
  <c r="I19" i="1"/>
  <c r="I28" i="1" s="1"/>
  <c r="I35" i="1" s="1"/>
  <c r="I39" i="1" s="1"/>
  <c r="I21" i="38"/>
  <c r="I23" i="38" s="1"/>
  <c r="N14" i="2"/>
  <c r="H12" i="9"/>
  <c r="K12" i="9" s="1"/>
  <c r="E14" i="19"/>
  <c r="J9" i="1"/>
  <c r="E44" i="37" l="1"/>
  <c r="L31" i="37"/>
  <c r="M31" i="37" s="1"/>
  <c r="E31" i="37"/>
  <c r="D17" i="4"/>
  <c r="D26" i="4" s="1"/>
  <c r="L11" i="1"/>
  <c r="C13" i="19"/>
  <c r="M13" i="1"/>
  <c r="G12" i="37"/>
  <c r="P12" i="37" s="1"/>
  <c r="D24" i="37"/>
  <c r="L20" i="37"/>
  <c r="D33" i="9"/>
  <c r="D37" i="9" s="1"/>
  <c r="E45" i="37" s="1"/>
  <c r="L22" i="37"/>
  <c r="L16" i="37"/>
  <c r="E16" i="37"/>
  <c r="F13" i="4"/>
  <c r="N12" i="8"/>
  <c r="E10" i="1"/>
  <c r="E19" i="1" s="1"/>
  <c r="D9" i="37"/>
  <c r="C10" i="36"/>
  <c r="C19" i="1"/>
  <c r="C28" i="1" s="1"/>
  <c r="C35" i="1" s="1"/>
  <c r="C39" i="1" s="1"/>
  <c r="S14" i="1"/>
  <c r="S14" i="36"/>
  <c r="H19" i="9"/>
  <c r="H24" i="9" s="1"/>
  <c r="H33" i="9" s="1"/>
  <c r="K14" i="9"/>
  <c r="K19" i="9" s="1"/>
  <c r="K30" i="9"/>
  <c r="U19" i="1"/>
  <c r="U28" i="1" s="1"/>
  <c r="U35" i="1" s="1"/>
  <c r="U39" i="1" s="1"/>
  <c r="L13" i="37"/>
  <c r="N11" i="2"/>
  <c r="N25" i="2" s="1"/>
  <c r="N34" i="2" s="1"/>
  <c r="N38" i="2" s="1"/>
  <c r="L25" i="2"/>
  <c r="L34" i="2" s="1"/>
  <c r="L38" i="2" s="1"/>
  <c r="E23" i="1"/>
  <c r="E25" i="1" s="1"/>
  <c r="P8" i="37"/>
  <c r="P18" i="37" s="1"/>
  <c r="P27" i="37" s="1"/>
  <c r="P34" i="37" s="1"/>
  <c r="P38" i="37" s="1"/>
  <c r="G18" i="37"/>
  <c r="G27" i="37" s="1"/>
  <c r="G34" i="37" s="1"/>
  <c r="G38" i="37" s="1"/>
  <c r="I52" i="37" s="1"/>
  <c r="I54" i="37" s="1"/>
  <c r="Q14" i="37"/>
  <c r="N10" i="8"/>
  <c r="E28" i="4"/>
  <c r="E31" i="4"/>
  <c r="M12" i="4"/>
  <c r="I10" i="37"/>
  <c r="K17" i="4"/>
  <c r="K22" i="4" s="1"/>
  <c r="K26" i="4" s="1"/>
  <c r="N10" i="1"/>
  <c r="Q26" i="36"/>
  <c r="K12" i="37"/>
  <c r="O12" i="37"/>
  <c r="Q12" i="37" s="1"/>
  <c r="E14" i="1"/>
  <c r="K14" i="37"/>
  <c r="U13" i="1"/>
  <c r="U13" i="36"/>
  <c r="N11" i="8"/>
  <c r="S10" i="1"/>
  <c r="S19" i="1" s="1"/>
  <c r="S28" i="1" s="1"/>
  <c r="S35" i="1" s="1"/>
  <c r="S39" i="1" s="1"/>
  <c r="F17" i="4"/>
  <c r="F26" i="4" s="1"/>
  <c r="F31" i="4" s="1"/>
  <c r="S10" i="36"/>
  <c r="S18" i="36" s="1"/>
  <c r="S24" i="36" s="1"/>
  <c r="S28" i="36" s="1"/>
  <c r="E13" i="1"/>
  <c r="D12" i="37"/>
  <c r="C13" i="36"/>
  <c r="L29" i="4"/>
  <c r="L31" i="4"/>
  <c r="K10" i="37"/>
  <c r="O10" i="37"/>
  <c r="Q10" i="37" s="1"/>
  <c r="S13" i="1"/>
  <c r="S13" i="36"/>
  <c r="U12" i="1"/>
  <c r="U12" i="36"/>
  <c r="U14" i="1"/>
  <c r="U14" i="36"/>
  <c r="I12" i="37"/>
  <c r="H15" i="38"/>
  <c r="H34" i="38" s="1"/>
  <c r="D37" i="1" s="1"/>
  <c r="G13" i="38"/>
  <c r="G15" i="38" s="1"/>
  <c r="G34" i="38" s="1"/>
  <c r="M37" i="1" s="1"/>
  <c r="O37" i="1" s="1"/>
  <c r="T11" i="1"/>
  <c r="T11" i="36"/>
  <c r="U10" i="1"/>
  <c r="U10" i="36"/>
  <c r="U18" i="36" s="1"/>
  <c r="U24" i="36" s="1"/>
  <c r="U28" i="36" s="1"/>
  <c r="O23" i="1"/>
  <c r="Q23" i="1"/>
  <c r="V23" i="1" s="1"/>
  <c r="C22" i="37"/>
  <c r="L31" i="2"/>
  <c r="N27" i="2"/>
  <c r="N31" i="2" s="1"/>
  <c r="N18" i="8"/>
  <c r="E9" i="19"/>
  <c r="D18" i="19"/>
  <c r="D27" i="19" s="1"/>
  <c r="D32" i="19" s="1"/>
  <c r="E10" i="19"/>
  <c r="G25" i="1"/>
  <c r="J21" i="1"/>
  <c r="O15" i="37"/>
  <c r="Q15" i="37" s="1"/>
  <c r="K15" i="37"/>
  <c r="M15" i="37" s="1"/>
  <c r="T13" i="36"/>
  <c r="T13" i="1"/>
  <c r="T12" i="1"/>
  <c r="T12" i="36"/>
  <c r="O9" i="1"/>
  <c r="Q9" i="1"/>
  <c r="C8" i="37"/>
  <c r="K9" i="9"/>
  <c r="T10" i="36"/>
  <c r="T10" i="1"/>
  <c r="E12" i="19"/>
  <c r="H30" i="9"/>
  <c r="G14" i="1"/>
  <c r="L20" i="2"/>
  <c r="N20" i="2" s="1"/>
  <c r="T23" i="1"/>
  <c r="T25" i="1" s="1"/>
  <c r="F24" i="3"/>
  <c r="Q37" i="1"/>
  <c r="C36" i="37"/>
  <c r="I25" i="2"/>
  <c r="I34" i="2" s="1"/>
  <c r="I38" i="2" s="1"/>
  <c r="E52" i="37" s="1"/>
  <c r="E54" i="37" s="1"/>
  <c r="F18" i="3"/>
  <c r="T9" i="36"/>
  <c r="T9" i="1"/>
  <c r="H27" i="37"/>
  <c r="H34" i="37" s="1"/>
  <c r="H38" i="37" s="1"/>
  <c r="G33" i="9"/>
  <c r="G37" i="9" s="1"/>
  <c r="E46" i="37" s="1"/>
  <c r="L14" i="37"/>
  <c r="E14" i="37"/>
  <c r="O22" i="1"/>
  <c r="Q22" i="1"/>
  <c r="V22" i="1" s="1"/>
  <c r="C21" i="37"/>
  <c r="O16" i="37"/>
  <c r="Q16" i="37" s="1"/>
  <c r="K16" i="37"/>
  <c r="M16" i="37" s="1"/>
  <c r="G19" i="1"/>
  <c r="J10" i="1"/>
  <c r="G10" i="36"/>
  <c r="M9" i="36"/>
  <c r="E11" i="1"/>
  <c r="D10" i="37"/>
  <c r="C11" i="36"/>
  <c r="O12" i="1"/>
  <c r="Q12" i="1"/>
  <c r="V12" i="1" s="1"/>
  <c r="C11" i="37"/>
  <c r="E9" i="36"/>
  <c r="Q16" i="36"/>
  <c r="V16" i="36" s="1"/>
  <c r="O16" i="36"/>
  <c r="I9" i="37"/>
  <c r="I18" i="37" s="1"/>
  <c r="I27" i="37" s="1"/>
  <c r="I34" i="37" s="1"/>
  <c r="I38" i="37" s="1"/>
  <c r="E13" i="19"/>
  <c r="F12" i="4"/>
  <c r="C12" i="19"/>
  <c r="G11" i="37"/>
  <c r="P11" i="37" s="1"/>
  <c r="M12" i="1"/>
  <c r="M12" i="36" s="1"/>
  <c r="O12" i="36" s="1"/>
  <c r="G10" i="37"/>
  <c r="P10" i="37" s="1"/>
  <c r="C11" i="19"/>
  <c r="E11" i="19" s="1"/>
  <c r="M11" i="1"/>
  <c r="E12" i="1"/>
  <c r="D11" i="37"/>
  <c r="C12" i="36"/>
  <c r="E28" i="1" l="1"/>
  <c r="E35" i="1" s="1"/>
  <c r="E39" i="1" s="1"/>
  <c r="O22" i="37"/>
  <c r="Q22" i="37" s="1"/>
  <c r="K22" i="37"/>
  <c r="M22" i="37" s="1"/>
  <c r="M11" i="36"/>
  <c r="O11" i="1"/>
  <c r="U11" i="1"/>
  <c r="U11" i="36"/>
  <c r="S12" i="1"/>
  <c r="S12" i="36"/>
  <c r="D28" i="4"/>
  <c r="D31" i="4"/>
  <c r="T19" i="1"/>
  <c r="T28" i="1" s="1"/>
  <c r="T35" i="1" s="1"/>
  <c r="T39" i="1" s="1"/>
  <c r="E18" i="19"/>
  <c r="E27" i="19" s="1"/>
  <c r="E32" i="19" s="1"/>
  <c r="I45" i="37"/>
  <c r="I48" i="37" s="1"/>
  <c r="M12" i="37"/>
  <c r="D33" i="1"/>
  <c r="H32" i="37"/>
  <c r="F28" i="4"/>
  <c r="L24" i="37"/>
  <c r="I11" i="37"/>
  <c r="O21" i="37"/>
  <c r="Q21" i="37" s="1"/>
  <c r="K21" i="37"/>
  <c r="M21" i="37" s="1"/>
  <c r="E21" i="37"/>
  <c r="T18" i="36"/>
  <c r="T24" i="36" s="1"/>
  <c r="T28" i="36" s="1"/>
  <c r="K24" i="9"/>
  <c r="K33" i="9" s="1"/>
  <c r="C18" i="19"/>
  <c r="C27" i="19" s="1"/>
  <c r="C32" i="19" s="1"/>
  <c r="V9" i="36"/>
  <c r="V37" i="1"/>
  <c r="M18" i="36"/>
  <c r="M24" i="36" s="1"/>
  <c r="M28" i="36" s="1"/>
  <c r="O9" i="36"/>
  <c r="F27" i="3"/>
  <c r="F32" i="3" s="1"/>
  <c r="J14" i="1"/>
  <c r="G14" i="36"/>
  <c r="J14" i="36" s="1"/>
  <c r="D31" i="1"/>
  <c r="O10" i="1"/>
  <c r="O19" i="1" s="1"/>
  <c r="O28" i="1" s="1"/>
  <c r="Q10" i="1"/>
  <c r="V10" i="1" s="1"/>
  <c r="C9" i="37"/>
  <c r="E11" i="36"/>
  <c r="Q11" i="36"/>
  <c r="V11" i="36" s="1"/>
  <c r="E10" i="37"/>
  <c r="L10" i="37"/>
  <c r="M10" i="37" s="1"/>
  <c r="E12" i="36"/>
  <c r="Q12" i="36"/>
  <c r="V12" i="36" s="1"/>
  <c r="M19" i="1"/>
  <c r="M28" i="1" s="1"/>
  <c r="M35" i="1" s="1"/>
  <c r="M39" i="1" s="1"/>
  <c r="N10" i="36"/>
  <c r="N18" i="36" s="1"/>
  <c r="N24" i="36" s="1"/>
  <c r="N28" i="36" s="1"/>
  <c r="N19" i="1"/>
  <c r="N28" i="1" s="1"/>
  <c r="N35" i="1" s="1"/>
  <c r="N39" i="1" s="1"/>
  <c r="G36" i="37"/>
  <c r="M26" i="36"/>
  <c r="O26" i="36" s="1"/>
  <c r="G28" i="1"/>
  <c r="G35" i="1" s="1"/>
  <c r="G39" i="1" s="1"/>
  <c r="E37" i="1"/>
  <c r="H36" i="37"/>
  <c r="D26" i="36"/>
  <c r="T37" i="1"/>
  <c r="L11" i="36"/>
  <c r="L18" i="36" s="1"/>
  <c r="L24" i="36" s="1"/>
  <c r="L28" i="36" s="1"/>
  <c r="L19" i="1"/>
  <c r="L28" i="1" s="1"/>
  <c r="L35" i="1" s="1"/>
  <c r="L39" i="1" s="1"/>
  <c r="O11" i="37"/>
  <c r="Q11" i="37" s="1"/>
  <c r="K11" i="37"/>
  <c r="M11" i="37" s="1"/>
  <c r="K8" i="37"/>
  <c r="O8" i="37"/>
  <c r="E8" i="37"/>
  <c r="E13" i="36"/>
  <c r="Q13" i="36"/>
  <c r="V13" i="36" s="1"/>
  <c r="E10" i="36"/>
  <c r="C18" i="36"/>
  <c r="M13" i="36"/>
  <c r="O13" i="36" s="1"/>
  <c r="O13" i="1"/>
  <c r="E48" i="37"/>
  <c r="E11" i="37"/>
  <c r="L11" i="37"/>
  <c r="S11" i="1"/>
  <c r="S11" i="36"/>
  <c r="J10" i="36"/>
  <c r="G18" i="36"/>
  <c r="G24" i="36" s="1"/>
  <c r="G28" i="36" s="1"/>
  <c r="O36" i="37"/>
  <c r="E36" i="37"/>
  <c r="V9" i="1"/>
  <c r="O21" i="1"/>
  <c r="O25" i="1" s="1"/>
  <c r="Q21" i="1"/>
  <c r="J25" i="1"/>
  <c r="C20" i="37"/>
  <c r="I13" i="38"/>
  <c r="I15" i="38" s="1"/>
  <c r="I34" i="38" s="1"/>
  <c r="L12" i="37"/>
  <c r="E12" i="37"/>
  <c r="M14" i="37"/>
  <c r="K31" i="4"/>
  <c r="K29" i="4"/>
  <c r="N31" i="1" s="1"/>
  <c r="L9" i="37"/>
  <c r="L18" i="37" s="1"/>
  <c r="L27" i="37" s="1"/>
  <c r="L34" i="37" s="1"/>
  <c r="L38" i="37" s="1"/>
  <c r="E9" i="37"/>
  <c r="D18" i="37"/>
  <c r="D27" i="37" s="1"/>
  <c r="D34" i="37" s="1"/>
  <c r="D38" i="37" s="1"/>
  <c r="E22" i="37"/>
  <c r="H37" i="9"/>
  <c r="K37" i="9" s="1"/>
  <c r="E26" i="36" l="1"/>
  <c r="T26" i="36"/>
  <c r="V26" i="36" s="1"/>
  <c r="Q25" i="1"/>
  <c r="V21" i="1"/>
  <c r="V25" i="1" s="1"/>
  <c r="C24" i="36"/>
  <c r="C28" i="36" s="1"/>
  <c r="E18" i="36"/>
  <c r="E24" i="36" s="1"/>
  <c r="E28" i="36" s="1"/>
  <c r="O11" i="36"/>
  <c r="V19" i="1"/>
  <c r="E31" i="1"/>
  <c r="H30" i="37"/>
  <c r="O20" i="37"/>
  <c r="K20" i="37"/>
  <c r="C24" i="37"/>
  <c r="E20" i="37"/>
  <c r="E24" i="37" s="1"/>
  <c r="Q8" i="37"/>
  <c r="L36" i="37"/>
  <c r="I36" i="37"/>
  <c r="Q10" i="36"/>
  <c r="O10" i="36"/>
  <c r="O18" i="36" s="1"/>
  <c r="J18" i="36"/>
  <c r="J24" i="36" s="1"/>
  <c r="M29" i="4"/>
  <c r="D29" i="3" s="1"/>
  <c r="S33" i="1"/>
  <c r="V33" i="1" s="1"/>
  <c r="S22" i="36"/>
  <c r="V22" i="36" s="1"/>
  <c r="L33" i="1"/>
  <c r="G32" i="37"/>
  <c r="O9" i="37"/>
  <c r="Q9" i="37" s="1"/>
  <c r="K9" i="37"/>
  <c r="M9" i="37" s="1"/>
  <c r="M8" i="37"/>
  <c r="M18" i="37" s="1"/>
  <c r="G30" i="37"/>
  <c r="O31" i="1"/>
  <c r="Q19" i="1"/>
  <c r="Q28" i="1" s="1"/>
  <c r="Q35" i="1" s="1"/>
  <c r="Q39" i="1" s="1"/>
  <c r="I46" i="37"/>
  <c r="P36" i="37"/>
  <c r="Q36" i="37" s="1"/>
  <c r="K36" i="37"/>
  <c r="M36" i="37" s="1"/>
  <c r="E18" i="37"/>
  <c r="E27" i="37" s="1"/>
  <c r="E34" i="37" s="1"/>
  <c r="E38" i="37" s="1"/>
  <c r="Q14" i="36"/>
  <c r="V14" i="36" s="1"/>
  <c r="O14" i="36"/>
  <c r="L32" i="37"/>
  <c r="I32" i="37"/>
  <c r="O14" i="1"/>
  <c r="Q14" i="1"/>
  <c r="V14" i="1" s="1"/>
  <c r="C13" i="37"/>
  <c r="C18" i="37" s="1"/>
  <c r="C27" i="37" s="1"/>
  <c r="C34" i="37" s="1"/>
  <c r="C38" i="37" s="1"/>
  <c r="D22" i="36"/>
  <c r="E22" i="36" s="1"/>
  <c r="E33" i="1"/>
  <c r="J19" i="1"/>
  <c r="J28" i="1" s="1"/>
  <c r="J35" i="1" s="1"/>
  <c r="O24" i="36" l="1"/>
  <c r="J28" i="36"/>
  <c r="O28" i="36" s="1"/>
  <c r="K24" i="37"/>
  <c r="M20" i="37"/>
  <c r="M24" i="37" s="1"/>
  <c r="M27" i="37" s="1"/>
  <c r="M34" i="37" s="1"/>
  <c r="M38" i="37" s="1"/>
  <c r="V10" i="36"/>
  <c r="V18" i="36" s="1"/>
  <c r="V24" i="36" s="1"/>
  <c r="V28" i="36" s="1"/>
  <c r="Q18" i="36"/>
  <c r="Q24" i="36" s="1"/>
  <c r="Q28" i="36" s="1"/>
  <c r="O24" i="37"/>
  <c r="Q20" i="37"/>
  <c r="Q24" i="37" s="1"/>
  <c r="P32" i="37"/>
  <c r="Q32" i="37" s="1"/>
  <c r="K32" i="37"/>
  <c r="M32" i="37" s="1"/>
  <c r="M30" i="1"/>
  <c r="C29" i="19"/>
  <c r="E29" i="19" s="1"/>
  <c r="F29" i="3"/>
  <c r="L30" i="37"/>
  <c r="I30" i="37"/>
  <c r="O13" i="37"/>
  <c r="Q13" i="37" s="1"/>
  <c r="K13" i="37"/>
  <c r="M13" i="37" s="1"/>
  <c r="E13" i="37"/>
  <c r="J39" i="1"/>
  <c r="O39" i="1" s="1"/>
  <c r="O35" i="1"/>
  <c r="O33" i="1"/>
  <c r="L22" i="36"/>
  <c r="O22" i="36" s="1"/>
  <c r="K30" i="37"/>
  <c r="M30" i="37" s="1"/>
  <c r="P30" i="37"/>
  <c r="Q30" i="37" s="1"/>
  <c r="Q18" i="37"/>
  <c r="K18" i="37"/>
  <c r="K27" i="37" s="1"/>
  <c r="K34" i="37" s="1"/>
  <c r="K38" i="37" s="1"/>
  <c r="V28" i="1"/>
  <c r="V35" i="1" s="1"/>
  <c r="V39" i="1" s="1"/>
  <c r="T30" i="1" l="1"/>
  <c r="T20" i="36"/>
  <c r="V20" i="36" s="1"/>
  <c r="O18" i="37"/>
  <c r="O27" i="37" s="1"/>
  <c r="O34" i="37" s="1"/>
  <c r="O38" i="37" s="1"/>
  <c r="G29" i="37"/>
  <c r="M20" i="36"/>
  <c r="O20" i="36" s="1"/>
  <c r="O30" i="1"/>
  <c r="Q27" i="37"/>
  <c r="Q34" i="37" s="1"/>
  <c r="Q38" i="37" s="1"/>
  <c r="K29" i="37" l="1"/>
  <c r="M29" i="37" s="1"/>
  <c r="P29" i="37"/>
  <c r="Q29" i="37" s="1"/>
  <c r="I29" i="37"/>
  <c r="T31" i="1"/>
  <c r="V31" i="1" s="1"/>
  <c r="V30" i="1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M2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</t>
        </r>
      </text>
    </comment>
    <comment ref="F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Total LPG              ($2,195)
Total EcoElectrica      </t>
        </r>
        <r>
          <rPr>
            <u/>
            <sz val="8"/>
            <color indexed="81"/>
            <rFont val="Tahoma"/>
            <family val="2"/>
          </rPr>
          <t xml:space="preserve">$265
</t>
        </r>
        <r>
          <rPr>
            <sz val="8"/>
            <color indexed="81"/>
            <rFont val="Tahoma"/>
            <family val="2"/>
          </rPr>
          <t xml:space="preserve">                             ($1,930)</t>
        </r>
      </text>
    </comment>
    <comment ref="G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<sst xmlns="http://schemas.openxmlformats.org/spreadsheetml/2006/main" count="468" uniqueCount="153">
  <si>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</si>
  <si>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</si>
  <si>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</si>
  <si>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</si>
  <si>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</si>
  <si>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</si>
  <si>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</si>
  <si>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</si>
  <si>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</si>
  <si>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</si>
  <si>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</si>
  <si>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</si>
  <si>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</si>
  <si>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</si>
  <si>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</si>
  <si>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</si>
  <si>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</si>
  <si>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</si>
  <si>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</si>
  <si>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</si>
  <si>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</si>
  <si>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</si>
  <si>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</si>
  <si>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</si>
  <si>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</si>
  <si>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</si>
  <si>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</si>
  <si>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</si>
  <si>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</si>
  <si>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</si>
  <si>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</si>
  <si>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</si>
  <si>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</si>
  <si>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</si>
  <si>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</si>
  <si>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</si>
  <si>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</si>
  <si>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</si>
  <si>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</si>
  <si>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</si>
  <si>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</si>
  <si>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</si>
  <si>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</si>
  <si>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</si>
  <si>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</si>
  <si>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</si>
  <si>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</si>
  <si>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</si>
  <si>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</si>
  <si>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</si>
  <si>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</si>
  <si>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</si>
  <si>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</si>
  <si>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</si>
  <si>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</si>
  <si>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</si>
  <si>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</si>
  <si>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</si>
  <si>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</si>
  <si>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</si>
  <si>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</si>
  <si>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</si>
  <si>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</si>
  <si>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</si>
  <si>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</si>
  <si>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</si>
  <si>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</si>
  <si>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</si>
  <si>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</si>
  <si>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</si>
  <si>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</si>
  <si>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</si>
  <si>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</si>
  <si>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</si>
  <si>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</si>
  <si>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</si>
  <si>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</si>
  <si>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</si>
  <si>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</si>
  <si>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</si>
  <si>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</si>
  <si>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</si>
  <si>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</si>
  <si>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</si>
  <si>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</si>
  <si>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</si>
  <si>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</si>
  <si>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</si>
  <si>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</si>
  <si>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</si>
  <si>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</si>
  <si>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</si>
  <si>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</si>
  <si>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</si>
  <si>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</si>
  <si>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</si>
  <si>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</si>
  <si>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</si>
  <si>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</si>
  <si>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</si>
  <si>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</si>
  <si>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</si>
  <si>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</si>
  <si>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McKinsey study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</si>
  <si>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</si>
  <si>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</si>
  <si>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</si>
  <si>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</si>
  <si>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</si>
  <si>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</si>
  <si>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</si>
  <si>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</si>
  <si>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McKinsey study expenses transferred to Transportation</t>
  </si>
  <si>
    <t>Development expenses under plan</t>
  </si>
  <si>
    <t>Group Support Cost</t>
  </si>
  <si>
    <t>Subtotal LNG / ME / PR</t>
  </si>
  <si>
    <t>Subtotal LNG / ME / PR Change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</si>
  <si>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</si>
  <si>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</si>
  <si>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</si>
  <si>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</si>
  <si>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</si>
  <si>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</si>
  <si>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</si>
  <si>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</si>
  <si>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</si>
  <si>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</si>
  <si>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</si>
  <si>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</si>
  <si>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</si>
  <si>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</si>
  <si>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t>Liquids Corp Interest Expense</t>
  </si>
  <si>
    <t>LNG Capital Charge</t>
  </si>
  <si>
    <t>Middle East Capital Charge</t>
  </si>
  <si>
    <t>Coal Capital Charge</t>
  </si>
  <si>
    <t>PR- Interest Expense in San Juan Gas</t>
  </si>
  <si>
    <t>PR - Pref Stock Dividend - Big Eco</t>
  </si>
  <si>
    <t>PR - Interest Income - Big Eco</t>
  </si>
  <si>
    <t>PR - Interest Income - Little Eco</t>
  </si>
  <si>
    <t>Subtotal Liquids</t>
  </si>
  <si>
    <t>Subtotal Coal</t>
  </si>
  <si>
    <t>Subtotal LNG</t>
  </si>
  <si>
    <t>Subtotal Middle East</t>
  </si>
  <si>
    <t>Total Interest (Income) / Expense</t>
  </si>
  <si>
    <t>4TH QTR 2000 INTEREST (INCOME) / EXPENSE</t>
  </si>
  <si>
    <t>Subtotal Puerto Rico</t>
  </si>
  <si>
    <t>Puerto Rico Capital Charge</t>
  </si>
  <si>
    <t>Weekly Forecast Change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</si>
  <si>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</si>
  <si>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Results based on activity through November 9, 2000</t>
  </si>
  <si>
    <t>Addition of Finance Group</t>
  </si>
  <si>
    <t>Development expenses over plan</t>
  </si>
  <si>
    <t>Increase in overhead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</si>
</sst>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6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color indexed="12"/>
      <name val="Arial Narrow"/>
      <family val="2"/>
    </font>
    <font>
      <vertAlign val="superscript"/>
      <sz val="8"/>
      <name val="Arial Narrow"/>
      <family val="2"/>
    </font>
    <font>
      <u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42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81" fillId="0" borderId="9" xfId="1" applyNumberFormat="1" applyFont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11" xfId="1" applyNumberFormat="1" applyFont="1" applyBorder="1"/>
    <xf numFmtId="165" fontId="17" fillId="0" borderId="13" xfId="1" applyNumberFormat="1" applyFont="1" applyFill="1" applyBorder="1"/>
    <xf numFmtId="165" fontId="82" fillId="0" borderId="9" xfId="1" applyNumberFormat="1" applyFont="1" applyBorder="1"/>
    <xf numFmtId="165" fontId="82" fillId="0" borderId="13" xfId="1" applyNumberFormat="1" applyFont="1" applyBorder="1"/>
    <xf numFmtId="165" fontId="81" fillId="0" borderId="2" xfId="1" applyNumberFormat="1" applyFont="1" applyBorder="1"/>
    <xf numFmtId="165" fontId="81" fillId="0" borderId="12" xfId="1" applyNumberFormat="1" applyFont="1" applyBorder="1"/>
    <xf numFmtId="165" fontId="82" fillId="0" borderId="11" xfId="1" applyNumberFormat="1" applyFont="1" applyBorder="1"/>
    <xf numFmtId="165" fontId="82" fillId="0" borderId="12" xfId="1" applyNumberFormat="1" applyFont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3" fillId="0" borderId="9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/>
    <xf numFmtId="165" fontId="13" fillId="0" borderId="12" xfId="1" applyNumberFormat="1" applyFont="1" applyBorder="1"/>
    <xf numFmtId="165" fontId="13" fillId="0" borderId="2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77" fillId="4" borderId="16" xfId="0" applyFont="1" applyFill="1" applyBorder="1"/>
    <xf numFmtId="0" fontId="77" fillId="4" borderId="17" xfId="0" applyFont="1" applyFill="1" applyBorder="1"/>
    <xf numFmtId="165" fontId="14" fillId="4" borderId="15" xfId="1" applyNumberFormat="1" applyFont="1" applyFill="1" applyBorder="1"/>
    <xf numFmtId="0" fontId="77" fillId="4" borderId="16" xfId="0" applyFont="1" applyFill="1" applyBorder="1" applyAlignment="1">
      <alignment horizontal="left"/>
    </xf>
    <xf numFmtId="0" fontId="77" fillId="4" borderId="17" xfId="0" applyFont="1" applyFill="1" applyBorder="1" applyAlignment="1">
      <alignment horizontal="left"/>
    </xf>
    <xf numFmtId="0" fontId="77" fillId="4" borderId="15" xfId="0" applyFont="1" applyFill="1" applyBorder="1" applyAlignment="1">
      <alignment horizontal="left"/>
    </xf>
    <xf numFmtId="165" fontId="14" fillId="4" borderId="17" xfId="1" applyNumberFormat="1" applyFont="1" applyFill="1" applyBorder="1" applyAlignment="1">
      <alignment horizontal="center"/>
    </xf>
    <xf numFmtId="165" fontId="14" fillId="4" borderId="15" xfId="1" applyNumberFormat="1" applyFont="1" applyFill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4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165" fontId="20" fillId="4" borderId="9" xfId="1" applyNumberFormat="1" applyFont="1" applyFill="1" applyBorder="1"/>
    <xf numFmtId="165" fontId="20" fillId="4" borderId="0" xfId="1" applyNumberFormat="1" applyFont="1" applyFill="1" applyBorder="1"/>
    <xf numFmtId="0" fontId="19" fillId="4" borderId="5" xfId="0" applyFont="1" applyFill="1" applyBorder="1"/>
    <xf numFmtId="0" fontId="75" fillId="7" borderId="0" xfId="0" applyFont="1" applyFill="1" applyAlignment="1">
      <alignment vertical="center"/>
    </xf>
    <xf numFmtId="0" fontId="9" fillId="7" borderId="0" xfId="0" applyFont="1" applyFill="1"/>
    <xf numFmtId="0" fontId="16" fillId="7" borderId="0" xfId="0" applyFont="1" applyFill="1"/>
    <xf numFmtId="0" fontId="17" fillId="7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47625</xdr:rowOff>
    </xdr:from>
    <xdr:to>
      <xdr:col>8</xdr:col>
      <xdr:colOff>581025</xdr:colOff>
      <xdr:row>2</xdr:row>
      <xdr:rowOff>171450</xdr:rowOff>
    </xdr:to>
    <xdr:sp macro="" textlink="">
      <xdr:nvSpPr>
        <xdr:cNvPr id="55298" name="Text Box 2"/>
        <xdr:cNvSpPr txBox="1">
          <a:spLocks noChangeArrowheads="1"/>
        </xdr:cNvSpPr>
      </xdr:nvSpPr>
      <xdr:spPr bwMode="auto">
        <a:xfrm>
          <a:off x="4781550" y="47625"/>
          <a:ext cx="15335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1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>
        <row r="8">
          <cell r="C8">
            <v>-27285</v>
          </cell>
          <cell r="G8">
            <v>14692</v>
          </cell>
        </row>
        <row r="9">
          <cell r="C9">
            <v>946.90359000000001</v>
          </cell>
          <cell r="G9">
            <v>4677.8999999999996</v>
          </cell>
        </row>
        <row r="10">
          <cell r="C10">
            <v>788</v>
          </cell>
          <cell r="G10">
            <v>1498.6</v>
          </cell>
        </row>
        <row r="11">
          <cell r="C11">
            <v>-23</v>
          </cell>
          <cell r="G11">
            <v>1714.8000000000002</v>
          </cell>
        </row>
        <row r="12">
          <cell r="C12">
            <v>0</v>
          </cell>
          <cell r="G12">
            <v>1679.5</v>
          </cell>
        </row>
        <row r="13">
          <cell r="C13">
            <v>-2007</v>
          </cell>
          <cell r="G13">
            <v>3410.25</v>
          </cell>
        </row>
        <row r="14">
          <cell r="C14">
            <v>0</v>
          </cell>
          <cell r="G14">
            <v>980</v>
          </cell>
        </row>
        <row r="15">
          <cell r="C15">
            <v>0</v>
          </cell>
          <cell r="G15">
            <v>0</v>
          </cell>
        </row>
        <row r="16">
          <cell r="C16">
            <v>0</v>
          </cell>
          <cell r="G16">
            <v>350</v>
          </cell>
        </row>
        <row r="20">
          <cell r="C20">
            <v>86</v>
          </cell>
          <cell r="G20">
            <v>1197</v>
          </cell>
        </row>
        <row r="21">
          <cell r="C21">
            <v>135</v>
          </cell>
          <cell r="G21">
            <v>2188</v>
          </cell>
        </row>
        <row r="22">
          <cell r="C22">
            <v>-1400</v>
          </cell>
          <cell r="G22">
            <v>1056</v>
          </cell>
        </row>
        <row r="29">
          <cell r="C29">
            <v>0</v>
          </cell>
          <cell r="G29">
            <v>27818</v>
          </cell>
        </row>
        <row r="30">
          <cell r="C30">
            <v>0</v>
          </cell>
          <cell r="G30">
            <v>-13436.473000000002</v>
          </cell>
        </row>
        <row r="31">
          <cell r="C31">
            <v>-520</v>
          </cell>
          <cell r="G31">
            <v>0</v>
          </cell>
        </row>
        <row r="32">
          <cell r="C32">
            <v>0</v>
          </cell>
          <cell r="G32">
            <v>-1122</v>
          </cell>
        </row>
        <row r="36">
          <cell r="C36">
            <v>0</v>
          </cell>
          <cell r="G36">
            <v>2049</v>
          </cell>
        </row>
        <row r="38">
          <cell r="G38">
            <v>48752.577000000005</v>
          </cell>
        </row>
      </sheetData>
      <sheetData sheetId="2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November 2,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-27285</v>
          </cell>
          <cell r="H9">
            <v>0</v>
          </cell>
          <cell r="I9">
            <v>0</v>
          </cell>
          <cell r="J9">
            <v>-27285</v>
          </cell>
          <cell r="L9">
            <v>0</v>
          </cell>
          <cell r="M9">
            <v>6246</v>
          </cell>
          <cell r="N9">
            <v>8446</v>
          </cell>
          <cell r="O9">
            <v>-41977</v>
          </cell>
          <cell r="Q9">
            <v>-57285</v>
          </cell>
          <cell r="S9">
            <v>0</v>
          </cell>
          <cell r="T9">
            <v>0</v>
          </cell>
          <cell r="U9">
            <v>-600</v>
          </cell>
          <cell r="V9">
            <v>-57885</v>
          </cell>
        </row>
        <row r="10">
          <cell r="A10" t="str">
            <v>Coal</v>
          </cell>
          <cell r="C10">
            <v>12747.2</v>
          </cell>
          <cell r="D10">
            <v>5246.9</v>
          </cell>
          <cell r="E10">
            <v>7500.3000000000011</v>
          </cell>
          <cell r="G10">
            <v>946.90359000000001</v>
          </cell>
          <cell r="H10">
            <v>0</v>
          </cell>
          <cell r="I10">
            <v>0</v>
          </cell>
          <cell r="J10">
            <v>946.90359000000001</v>
          </cell>
          <cell r="L10">
            <v>658</v>
          </cell>
          <cell r="M10">
            <v>2059.6999999999998</v>
          </cell>
          <cell r="N10">
            <v>1960.2</v>
          </cell>
          <cell r="O10">
            <v>-3730.9964099999997</v>
          </cell>
          <cell r="Q10">
            <v>-11800.296410000001</v>
          </cell>
          <cell r="S10">
            <v>189</v>
          </cell>
          <cell r="T10">
            <v>380</v>
          </cell>
          <cell r="U10">
            <v>0</v>
          </cell>
          <cell r="V10">
            <v>-11231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788</v>
          </cell>
          <cell r="H11">
            <v>0</v>
          </cell>
          <cell r="I11">
            <v>0</v>
          </cell>
          <cell r="J11">
            <v>788</v>
          </cell>
          <cell r="L11">
            <v>0</v>
          </cell>
          <cell r="M11">
            <v>1224.0999999999999</v>
          </cell>
          <cell r="N11">
            <v>274.5</v>
          </cell>
          <cell r="O11">
            <v>-710.59999999999991</v>
          </cell>
          <cell r="Q11">
            <v>38</v>
          </cell>
          <cell r="S11">
            <v>0</v>
          </cell>
          <cell r="T11">
            <v>-1120</v>
          </cell>
          <cell r="U11">
            <v>0</v>
          </cell>
          <cell r="V11">
            <v>-1082</v>
          </cell>
        </row>
        <row r="12">
          <cell r="A12" t="str">
            <v>Weather</v>
          </cell>
          <cell r="C12">
            <v>3214.8</v>
          </cell>
          <cell r="D12">
            <v>1714.8000000000002</v>
          </cell>
          <cell r="E12">
            <v>1500</v>
          </cell>
          <cell r="G12">
            <v>-23</v>
          </cell>
          <cell r="H12">
            <v>0</v>
          </cell>
          <cell r="I12">
            <v>0</v>
          </cell>
          <cell r="J12">
            <v>-23</v>
          </cell>
          <cell r="L12">
            <v>0</v>
          </cell>
          <cell r="M12">
            <v>892.1</v>
          </cell>
          <cell r="N12">
            <v>822.7</v>
          </cell>
          <cell r="O12">
            <v>-1737.8000000000002</v>
          </cell>
          <cell r="Q12">
            <v>-3237.8</v>
          </cell>
          <cell r="S12">
            <v>0</v>
          </cell>
          <cell r="T12">
            <v>0</v>
          </cell>
          <cell r="U12">
            <v>0</v>
          </cell>
          <cell r="V12">
            <v>-3238</v>
          </cell>
        </row>
        <row r="13">
          <cell r="A13" t="str">
            <v>Global Risk Markets</v>
          </cell>
          <cell r="C13">
            <v>7712</v>
          </cell>
          <cell r="D13">
            <v>1679.5</v>
          </cell>
          <cell r="E13">
            <v>6032.5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1643.5</v>
          </cell>
          <cell r="N13">
            <v>36</v>
          </cell>
          <cell r="O13">
            <v>-1679.5</v>
          </cell>
          <cell r="Q13">
            <v>-7712</v>
          </cell>
          <cell r="S13">
            <v>0</v>
          </cell>
          <cell r="T13">
            <v>0</v>
          </cell>
          <cell r="U13">
            <v>0</v>
          </cell>
          <cell r="V13">
            <v>-7712</v>
          </cell>
        </row>
        <row r="14">
          <cell r="A14" t="str">
            <v>Financial Trading</v>
          </cell>
          <cell r="C14">
            <v>8983.2109999999993</v>
          </cell>
          <cell r="D14">
            <v>3410.25</v>
          </cell>
          <cell r="E14">
            <v>5572.9609999999993</v>
          </cell>
          <cell r="G14">
            <v>-2007</v>
          </cell>
          <cell r="H14">
            <v>0</v>
          </cell>
          <cell r="I14">
            <v>0</v>
          </cell>
          <cell r="J14">
            <v>-2007</v>
          </cell>
          <cell r="L14">
            <v>0</v>
          </cell>
          <cell r="M14">
            <v>1513.1770000000001</v>
          </cell>
          <cell r="N14">
            <v>1897.0730000000001</v>
          </cell>
          <cell r="O14">
            <v>-5417.25</v>
          </cell>
          <cell r="Q14">
            <v>-10990.210999999999</v>
          </cell>
          <cell r="S14">
            <v>0</v>
          </cell>
          <cell r="T14">
            <v>0</v>
          </cell>
          <cell r="U14">
            <v>0</v>
          </cell>
          <cell r="V14">
            <v>-10990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980</v>
          </cell>
          <cell r="N15">
            <v>0</v>
          </cell>
          <cell r="O15">
            <v>-980</v>
          </cell>
          <cell r="Q15">
            <v>0</v>
          </cell>
          <cell r="S15">
            <v>0</v>
          </cell>
          <cell r="T15">
            <v>-980</v>
          </cell>
          <cell r="U15">
            <v>0</v>
          </cell>
          <cell r="V15">
            <v>-980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350</v>
          </cell>
          <cell r="N17">
            <v>0</v>
          </cell>
          <cell r="O17">
            <v>-350</v>
          </cell>
          <cell r="Q17">
            <v>0</v>
          </cell>
          <cell r="S17">
            <v>0</v>
          </cell>
          <cell r="T17">
            <v>-350</v>
          </cell>
          <cell r="U17">
            <v>0</v>
          </cell>
          <cell r="V17">
            <v>-350</v>
          </cell>
        </row>
        <row r="19">
          <cell r="A19" t="str">
            <v>Subtotal Commercial</v>
          </cell>
          <cell r="C19">
            <v>73507.210999999996</v>
          </cell>
          <cell r="D19">
            <v>26522.05</v>
          </cell>
          <cell r="E19">
            <v>46985.161000000007</v>
          </cell>
          <cell r="G19">
            <v>-27580.096409999998</v>
          </cell>
          <cell r="H19">
            <v>0</v>
          </cell>
          <cell r="I19">
            <v>0</v>
          </cell>
          <cell r="J19">
            <v>-27580.096409999998</v>
          </cell>
          <cell r="K19">
            <v>0</v>
          </cell>
          <cell r="L19">
            <v>658</v>
          </cell>
          <cell r="M19">
            <v>14908.577000000001</v>
          </cell>
          <cell r="N19">
            <v>13436.473000000002</v>
          </cell>
          <cell r="O19">
            <v>-56583.146410000001</v>
          </cell>
          <cell r="Q19">
            <v>-101087.30740999999</v>
          </cell>
          <cell r="R19">
            <v>0</v>
          </cell>
          <cell r="S19">
            <v>189</v>
          </cell>
          <cell r="T19">
            <v>-2070</v>
          </cell>
          <cell r="U19">
            <v>-600</v>
          </cell>
          <cell r="V19">
            <v>-103568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-188</v>
          </cell>
          <cell r="M21">
            <v>1385</v>
          </cell>
          <cell r="N21">
            <v>0</v>
          </cell>
          <cell r="O21">
            <v>-1111</v>
          </cell>
          <cell r="Q21">
            <v>-1058</v>
          </cell>
          <cell r="S21">
            <v>173</v>
          </cell>
          <cell r="T21">
            <v>0</v>
          </cell>
          <cell r="U21">
            <v>0</v>
          </cell>
          <cell r="V21">
            <v>-885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135</v>
          </cell>
          <cell r="H22">
            <v>0</v>
          </cell>
          <cell r="I22">
            <v>0</v>
          </cell>
          <cell r="J22">
            <v>135</v>
          </cell>
          <cell r="L22">
            <v>652</v>
          </cell>
          <cell r="M22">
            <v>1536</v>
          </cell>
          <cell r="N22">
            <v>0</v>
          </cell>
          <cell r="O22">
            <v>-2053</v>
          </cell>
          <cell r="Q22">
            <v>-4482</v>
          </cell>
          <cell r="S22">
            <v>0</v>
          </cell>
          <cell r="T22">
            <v>0</v>
          </cell>
          <cell r="U22">
            <v>0</v>
          </cell>
          <cell r="V22">
            <v>-4482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-1400</v>
          </cell>
          <cell r="H23">
            <v>0</v>
          </cell>
          <cell r="I23">
            <v>0</v>
          </cell>
          <cell r="J23">
            <v>-1400</v>
          </cell>
          <cell r="L23">
            <v>0</v>
          </cell>
          <cell r="M23">
            <v>1056</v>
          </cell>
          <cell r="N23">
            <v>0</v>
          </cell>
          <cell r="O23">
            <v>-2456</v>
          </cell>
          <cell r="Q23">
            <v>-1930</v>
          </cell>
          <cell r="S23">
            <v>545</v>
          </cell>
          <cell r="T23">
            <v>545</v>
          </cell>
          <cell r="U23">
            <v>0</v>
          </cell>
          <cell r="V23">
            <v>-840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-1179</v>
          </cell>
          <cell r="H25">
            <v>0</v>
          </cell>
          <cell r="I25">
            <v>0</v>
          </cell>
          <cell r="J25">
            <v>-1179</v>
          </cell>
          <cell r="K25">
            <v>0</v>
          </cell>
          <cell r="L25">
            <v>464</v>
          </cell>
          <cell r="M25">
            <v>3977</v>
          </cell>
          <cell r="N25">
            <v>0</v>
          </cell>
          <cell r="O25">
            <v>-5620</v>
          </cell>
          <cell r="Q25">
            <v>-7470</v>
          </cell>
          <cell r="R25">
            <v>0</v>
          </cell>
          <cell r="S25">
            <v>718</v>
          </cell>
          <cell r="T25">
            <v>545</v>
          </cell>
          <cell r="U25">
            <v>0</v>
          </cell>
          <cell r="V25">
            <v>-6207</v>
          </cell>
        </row>
        <row r="28">
          <cell r="A28" t="str">
            <v>Total Commercial</v>
          </cell>
          <cell r="C28">
            <v>79798.210999999996</v>
          </cell>
          <cell r="D28">
            <v>32226.05</v>
          </cell>
          <cell r="E28">
            <v>47572.161000000007</v>
          </cell>
          <cell r="F28">
            <v>0</v>
          </cell>
          <cell r="G28">
            <v>-28759.096409999998</v>
          </cell>
          <cell r="H28">
            <v>0</v>
          </cell>
          <cell r="I28">
            <v>0</v>
          </cell>
          <cell r="J28">
            <v>-28759.096409999998</v>
          </cell>
          <cell r="K28">
            <v>0</v>
          </cell>
          <cell r="L28">
            <v>1122</v>
          </cell>
          <cell r="M28">
            <v>18885.577000000001</v>
          </cell>
          <cell r="N28">
            <v>13436.473000000002</v>
          </cell>
          <cell r="O28">
            <v>-62203.146410000001</v>
          </cell>
          <cell r="Q28">
            <v>-108557.30740999999</v>
          </cell>
          <cell r="R28">
            <v>0</v>
          </cell>
          <cell r="S28">
            <v>907</v>
          </cell>
          <cell r="T28">
            <v>-1525</v>
          </cell>
          <cell r="U28">
            <v>-600</v>
          </cell>
          <cell r="V28">
            <v>-109775</v>
          </cell>
        </row>
        <row r="30">
          <cell r="A30" t="str">
            <v>Group Support Cost</v>
          </cell>
          <cell r="C30">
            <v>0</v>
          </cell>
          <cell r="D30">
            <v>27218</v>
          </cell>
          <cell r="E30">
            <v>-27218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27818</v>
          </cell>
          <cell r="N30">
            <v>0</v>
          </cell>
          <cell r="O30">
            <v>-27818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-12836.473000000002</v>
          </cell>
          <cell r="E31">
            <v>12836.473000000002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-13436.473000000002</v>
          </cell>
          <cell r="O31">
            <v>13436.473000000002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-1122</v>
          </cell>
          <cell r="M33">
            <v>0</v>
          </cell>
          <cell r="N33">
            <v>0</v>
          </cell>
          <cell r="O33">
            <v>1122</v>
          </cell>
          <cell r="Q33">
            <v>0</v>
          </cell>
          <cell r="S33">
            <v>-907</v>
          </cell>
          <cell r="T33">
            <v>0</v>
          </cell>
          <cell r="U33">
            <v>0</v>
          </cell>
          <cell r="V33">
            <v>-907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79278.210999999996</v>
          </cell>
          <cell r="D35">
            <v>44578.577000000005</v>
          </cell>
          <cell r="E35">
            <v>34699.634000000005</v>
          </cell>
          <cell r="G35">
            <v>-29279.096409999998</v>
          </cell>
          <cell r="H35">
            <v>0</v>
          </cell>
          <cell r="I35">
            <v>0</v>
          </cell>
          <cell r="J35">
            <v>-29279.096409999998</v>
          </cell>
          <cell r="K35">
            <v>0</v>
          </cell>
          <cell r="L35">
            <v>0</v>
          </cell>
          <cell r="M35">
            <v>46703.577000000005</v>
          </cell>
          <cell r="N35">
            <v>0</v>
          </cell>
          <cell r="O35">
            <v>-75982.673410000003</v>
          </cell>
          <cell r="Q35">
            <v>-108557.30740999999</v>
          </cell>
          <cell r="R35">
            <v>0</v>
          </cell>
          <cell r="S35">
            <v>0</v>
          </cell>
          <cell r="T35">
            <v>-2125</v>
          </cell>
          <cell r="U35">
            <v>-600</v>
          </cell>
          <cell r="V35">
            <v>-111282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79278.210999999996</v>
          </cell>
          <cell r="D39">
            <v>46627.577000000005</v>
          </cell>
          <cell r="E39">
            <v>32650.634000000005</v>
          </cell>
          <cell r="G39">
            <v>-29279.096409999998</v>
          </cell>
          <cell r="H39">
            <v>0</v>
          </cell>
          <cell r="I39">
            <v>0</v>
          </cell>
          <cell r="J39">
            <v>-29279.096409999998</v>
          </cell>
          <cell r="K39">
            <v>0</v>
          </cell>
          <cell r="L39">
            <v>0</v>
          </cell>
          <cell r="M39">
            <v>48752.577000000005</v>
          </cell>
          <cell r="N39">
            <v>0</v>
          </cell>
          <cell r="O39">
            <v>-78031.673410000003</v>
          </cell>
          <cell r="Q39">
            <v>-108557.30740999999</v>
          </cell>
          <cell r="R39">
            <v>0</v>
          </cell>
          <cell r="S39">
            <v>0</v>
          </cell>
          <cell r="T39">
            <v>-2125</v>
          </cell>
          <cell r="U39">
            <v>-600</v>
          </cell>
          <cell r="V39">
            <v>-111282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3"/>
      <sheetData sheetId="4">
        <row r="10">
          <cell r="D10">
            <v>-27285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782</v>
          </cell>
          <cell r="E11">
            <v>85.179590000000019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788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-23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-2876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815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33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46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-25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7">
          <cell r="D27">
            <v>0</v>
          </cell>
          <cell r="E27">
            <v>0</v>
          </cell>
          <cell r="F27">
            <v>86</v>
          </cell>
          <cell r="G27">
            <v>0</v>
          </cell>
          <cell r="H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F28">
            <v>135</v>
          </cell>
          <cell r="G28">
            <v>0</v>
          </cell>
          <cell r="H28">
            <v>0</v>
          </cell>
        </row>
        <row r="29">
          <cell r="D29">
            <v>0</v>
          </cell>
          <cell r="E29">
            <v>0</v>
          </cell>
          <cell r="F29">
            <v>-1400</v>
          </cell>
          <cell r="G29">
            <v>0</v>
          </cell>
          <cell r="H29">
            <v>0</v>
          </cell>
        </row>
        <row r="31">
          <cell r="J31">
            <v>0</v>
          </cell>
          <cell r="K31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-520</v>
          </cell>
          <cell r="H36">
            <v>0</v>
          </cell>
        </row>
        <row r="38">
          <cell r="I38">
            <v>-29279.096409999998</v>
          </cell>
        </row>
      </sheetData>
      <sheetData sheetId="5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1513.1770000000001</v>
          </cell>
          <cell r="E14">
            <v>1513.1770000000001</v>
          </cell>
        </row>
        <row r="15">
          <cell r="D15">
            <v>980</v>
          </cell>
          <cell r="E15">
            <v>0</v>
          </cell>
        </row>
        <row r="16">
          <cell r="D16">
            <v>350</v>
          </cell>
          <cell r="E16">
            <v>0</v>
          </cell>
        </row>
        <row r="20">
          <cell r="D20">
            <v>1385</v>
          </cell>
          <cell r="E20">
            <v>1385</v>
          </cell>
        </row>
        <row r="21">
          <cell r="D21">
            <v>1536</v>
          </cell>
          <cell r="E21">
            <v>1536</v>
          </cell>
        </row>
        <row r="22">
          <cell r="D22">
            <v>1056</v>
          </cell>
          <cell r="E22">
            <v>1601</v>
          </cell>
        </row>
        <row r="29">
          <cell r="D29">
            <v>27818</v>
          </cell>
          <cell r="E29">
            <v>27218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2" t="s">
        <v>70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60"/>
    </row>
    <row r="2" spans="1:24" ht="16.5">
      <c r="A2" s="313" t="s">
        <v>86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61"/>
    </row>
    <row r="3" spans="1:24" ht="13.5">
      <c r="A3" s="314"/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9" t="s">
        <v>8</v>
      </c>
      <c r="D5" s="310"/>
      <c r="E5" s="311"/>
      <c r="G5" s="309" t="s">
        <v>41</v>
      </c>
      <c r="H5" s="310"/>
      <c r="I5" s="310"/>
      <c r="J5" s="310"/>
      <c r="K5" s="310"/>
      <c r="L5" s="310"/>
      <c r="M5" s="310"/>
      <c r="N5" s="310"/>
      <c r="O5" s="311"/>
      <c r="Q5" s="309" t="s">
        <v>36</v>
      </c>
      <c r="R5" s="310"/>
      <c r="S5" s="310"/>
      <c r="T5" s="310"/>
      <c r="U5" s="310"/>
      <c r="V5" s="311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22093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22093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-19108.743357188407</v>
      </c>
      <c r="P9" s="37"/>
      <c r="Q9" s="133">
        <f t="shared" ref="Q9:Q16" si="3">+J9-C9</f>
        <v>-57907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-58507</v>
      </c>
      <c r="W9" s="32"/>
      <c r="X9" s="166"/>
    </row>
    <row r="10" spans="1:24" ht="13.5" customHeight="1">
      <c r="A10" s="107" t="s">
        <v>1</v>
      </c>
      <c r="B10" s="35"/>
      <c r="C10" s="133" t="e">
        <f ca="1">+'[1]Mgmt Summary'!C10+'[2]Mgmt Summary'!C10+'Mgmt Summary'!C10</f>
        <v>#NAME?</v>
      </c>
      <c r="D10" s="36" t="e">
        <f ca="1">+'[1]Mgmt Summary'!D10+'[2]Mgmt Summary'!D10+'Mgmt Summary'!D10</f>
        <v>#NAME?</v>
      </c>
      <c r="E10" s="135" t="e">
        <f t="shared" ca="1" si="0"/>
        <v>#NAME?</v>
      </c>
      <c r="F10" s="36"/>
      <c r="G10" s="133">
        <f>+'[1]Mgmt Summary'!G10+'[2]Mgmt Summary'!G10+'Mgmt Summary'!G10</f>
        <v>8436.8109999999997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8436.8109999999997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 t="e">
        <f ca="1">+'[1]Mgmt Summary'!N10+'[2]Mgmt Summary'!N10+'Mgmt Summary'!N10</f>
        <v>#NAME?</v>
      </c>
      <c r="O10" s="136" t="e">
        <f t="shared" ca="1" si="2"/>
        <v>#NAME?</v>
      </c>
      <c r="P10" s="37"/>
      <c r="Q10" s="133" t="e">
        <f t="shared" ca="1" si="3"/>
        <v>#NAME?</v>
      </c>
      <c r="R10" s="36"/>
      <c r="S10" s="36" t="e">
        <f ca="1">'CapChrg-AllocExp'!F11</f>
        <v>#NAME?</v>
      </c>
      <c r="T10" s="36" t="e">
        <f ca="1">Expenses!F10</f>
        <v>#NAME?</v>
      </c>
      <c r="U10" s="36" t="e">
        <f ca="1">'CapChrg-AllocExp'!M11</f>
        <v>#NAME?</v>
      </c>
      <c r="V10" s="135" t="e">
        <f t="shared" ca="1" si="4"/>
        <v>#NAME?</v>
      </c>
      <c r="W10" s="32"/>
    </row>
    <row r="11" spans="1:24" ht="13.5" customHeight="1">
      <c r="A11" s="107" t="s">
        <v>44</v>
      </c>
      <c r="B11" s="35"/>
      <c r="C11" s="133" t="e">
        <f ca="1">+'[1]Mgmt Summary'!C11+'[2]Mgmt Summary'!C11+'Mgmt Summary'!C11</f>
        <v>#NAME?</v>
      </c>
      <c r="D11" s="36" t="e">
        <f ca="1">+'[1]Mgmt Summary'!D11+'[2]Mgmt Summary'!D11+'Mgmt Summary'!D11</f>
        <v>#NAME?</v>
      </c>
      <c r="E11" s="135" t="e">
        <f t="shared" ca="1" si="0"/>
        <v>#NAME?</v>
      </c>
      <c r="F11" s="36"/>
      <c r="G11" s="133">
        <f>+'[1]Mgmt Summary'!G11+'[2]Mgmt Summary'!G11+'Mgmt Summary'!G11</f>
        <v>-2395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-2395</v>
      </c>
      <c r="K11" s="137"/>
      <c r="L11" s="133" t="e">
        <f ca="1">+'[1]Mgmt Summary'!L11+'[2]Mgmt Summary'!L11+'Mgmt Summary'!L11</f>
        <v>#NAME?</v>
      </c>
      <c r="M11" s="36" t="e">
        <f ca="1">+'[1]Mgmt Summary'!M11+'[2]Mgmt Summary'!M11+'Mgmt Summary'!M11</f>
        <v>#NAME?</v>
      </c>
      <c r="N11" s="36" t="e">
        <f ca="1">+'[1]Mgmt Summary'!N11+'[2]Mgmt Summary'!N11+'Mgmt Summary'!N11</f>
        <v>#NAME?</v>
      </c>
      <c r="O11" s="136" t="e">
        <f t="shared" ca="1" si="2"/>
        <v>#NAME?</v>
      </c>
      <c r="P11" s="37"/>
      <c r="Q11" s="133" t="e">
        <f t="shared" ca="1" si="3"/>
        <v>#NAME?</v>
      </c>
      <c r="R11" s="36"/>
      <c r="S11" s="36" t="e">
        <f ca="1">'CapChrg-AllocExp'!F12</f>
        <v>#NAME?</v>
      </c>
      <c r="T11" s="36" t="e">
        <f ca="1">Expenses!F11</f>
        <v>#NAME?</v>
      </c>
      <c r="U11" s="36" t="e">
        <f ca="1">'CapChrg-AllocExp'!M12</f>
        <v>#NAME?</v>
      </c>
      <c r="V11" s="135" t="e">
        <f t="shared" ca="1" si="4"/>
        <v>#NAME?</v>
      </c>
      <c r="W11" s="32"/>
    </row>
    <row r="12" spans="1:24" ht="13.5" customHeight="1">
      <c r="A12" s="107" t="s">
        <v>64</v>
      </c>
      <c r="B12" s="35"/>
      <c r="C12" s="133" t="e">
        <f ca="1">+'[1]Mgmt Summary'!C12+'[2]Mgmt Summary'!C12+'Mgmt Summary'!C12</f>
        <v>#NAME?</v>
      </c>
      <c r="D12" s="36" t="e">
        <f ca="1">+'[1]Mgmt Summary'!D12+'[2]Mgmt Summary'!D12+'Mgmt Summary'!D12</f>
        <v>#NAME?</v>
      </c>
      <c r="E12" s="135" t="e">
        <f t="shared" ca="1" si="0"/>
        <v>#NAME?</v>
      </c>
      <c r="F12" s="36"/>
      <c r="G12" s="133">
        <f>+'[1]Mgmt Summary'!G12+'[2]Mgmt Summary'!G12+'Mgmt Summary'!G12</f>
        <v>9259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9259</v>
      </c>
      <c r="K12" s="137"/>
      <c r="L12" s="133" t="e">
        <f ca="1">+'[1]Mgmt Summary'!L12+'[2]Mgmt Summary'!L12+'Mgmt Summary'!L12</f>
        <v>#NAME?</v>
      </c>
      <c r="M12" s="36" t="e">
        <f ca="1">+'[1]Mgmt Summary'!M12+'[2]Mgmt Summary'!M12+'Mgmt Summary'!M12</f>
        <v>#NAME?</v>
      </c>
      <c r="N12" s="36" t="e">
        <f ca="1">+'[1]Mgmt Summary'!N12+'[2]Mgmt Summary'!N12+'Mgmt Summary'!N12</f>
        <v>#NAME?</v>
      </c>
      <c r="O12" s="136" t="e">
        <f t="shared" ca="1" si="2"/>
        <v>#NAME?</v>
      </c>
      <c r="P12" s="37"/>
      <c r="Q12" s="133" t="e">
        <f t="shared" ca="1" si="3"/>
        <v>#NAME?</v>
      </c>
      <c r="R12" s="36"/>
      <c r="S12" s="36" t="e">
        <f ca="1">'CapChrg-AllocExp'!F13</f>
        <v>#NAME?</v>
      </c>
      <c r="T12" s="36" t="e">
        <f ca="1">Expenses!F12</f>
        <v>#NAME?</v>
      </c>
      <c r="U12" s="36" t="e">
        <f ca="1">'CapChrg-AllocExp'!M13</f>
        <v>#NAME?</v>
      </c>
      <c r="V12" s="135" t="e">
        <f t="shared" ca="1" si="4"/>
        <v>#NAME?</v>
      </c>
      <c r="W12" s="32"/>
    </row>
    <row r="13" spans="1:24" ht="13.5" customHeight="1">
      <c r="A13" s="107" t="s">
        <v>71</v>
      </c>
      <c r="B13" s="35"/>
      <c r="C13" s="133" t="e">
        <f ca="1">+'[1]Mgmt Summary'!C13+'[2]Mgmt Summary'!C13+'Mgmt Summary'!C13</f>
        <v>#NAME?</v>
      </c>
      <c r="D13" s="36" t="e">
        <f ca="1">+'[1]Mgmt Summary'!D13+'[2]Mgmt Summary'!D13+'Mgmt Summary'!D13</f>
        <v>#NAME?</v>
      </c>
      <c r="E13" s="135" t="e">
        <f t="shared" ca="1" si="0"/>
        <v>#NAME?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 t="e">
        <f ca="1">+'[1]Mgmt Summary'!M13+'[2]Mgmt Summary'!M13+'Mgmt Summary'!M13</f>
        <v>#NAME?</v>
      </c>
      <c r="N13" s="36" t="e">
        <f ca="1">+'[1]Mgmt Summary'!N13+'[2]Mgmt Summary'!N13+'Mgmt Summary'!N13</f>
        <v>#NAME?</v>
      </c>
      <c r="O13" s="136" t="e">
        <f t="shared" ca="1" si="2"/>
        <v>#NAME?</v>
      </c>
      <c r="P13" s="37"/>
      <c r="Q13" s="133" t="e">
        <f t="shared" ca="1" si="3"/>
        <v>#NAME?</v>
      </c>
      <c r="R13" s="36"/>
      <c r="S13" s="36" t="e">
        <f ca="1">'CapChrg-AllocExp'!F14</f>
        <v>#NAME?</v>
      </c>
      <c r="T13" s="36" t="e">
        <f ca="1">Expenses!F13</f>
        <v>#NAME?</v>
      </c>
      <c r="U13" s="36" t="e">
        <f ca="1">'CapChrg-AllocExp'!M14</f>
        <v>#NAME?</v>
      </c>
      <c r="V13" s="135" t="e">
        <f t="shared" ca="1" si="4"/>
        <v>#NAME?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26877.010999999999</v>
      </c>
      <c r="D14" s="140" t="e">
        <f ca="1">+'[1]Mgmt Summary'!D14+'[2]Mgmt Summary'!D14+'Mgmt Summary'!D14</f>
        <v>#NAME?</v>
      </c>
      <c r="E14" s="164" t="e">
        <f t="shared" ca="1" si="0"/>
        <v>#NAME?</v>
      </c>
      <c r="F14" s="140"/>
      <c r="G14" s="139">
        <f>+'[1]Mgmt Summary'!G14+'[2]Mgmt Summary'!G14+'Mgmt Summary'!G14</f>
        <v>43457.7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43457.7</v>
      </c>
      <c r="K14" s="180"/>
      <c r="L14" s="139" t="e">
        <f ca="1">+'[1]Mgmt Summary'!L14+'[2]Mgmt Summary'!L14+'Mgmt Summary'!L14</f>
        <v>#NAME?</v>
      </c>
      <c r="M14" s="36">
        <f>+'[1]Mgmt Summary'!M14+'[2]Mgmt Summary'!M14+'Mgmt Summary'!M14</f>
        <v>4469.9770000000008</v>
      </c>
      <c r="N14" s="140">
        <f>+'[1]Mgmt Summary'!N14+'[2]Mgmt Summary'!N14+'Mgmt Summary'!N14</f>
        <v>5259.0730000000003</v>
      </c>
      <c r="O14" s="179" t="e">
        <f t="shared" ca="1" si="2"/>
        <v>#NAME?</v>
      </c>
      <c r="P14" s="181"/>
      <c r="Q14" s="139">
        <f t="shared" si="3"/>
        <v>16580.688999999998</v>
      </c>
      <c r="R14" s="140"/>
      <c r="S14" s="140" t="e">
        <f ca="1">+'CapChrg-AllocExp'!F15</f>
        <v>#NAME?</v>
      </c>
      <c r="T14" s="36">
        <f>Expenses!F14</f>
        <v>0</v>
      </c>
      <c r="U14" s="140">
        <f>+'CapChrg-AllocExp'!M15</f>
        <v>0</v>
      </c>
      <c r="V14" s="164" t="e">
        <f t="shared" ca="1" si="4"/>
        <v>#NAME?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750</v>
      </c>
      <c r="N16" s="36">
        <f>+'[1]Mgmt Summary'!N17+'[2]Mgmt Summary'!N17+'Mgmt Summary'!N17</f>
        <v>0</v>
      </c>
      <c r="O16" s="136">
        <f t="shared" si="2"/>
        <v>-750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-750</v>
      </c>
      <c r="U16" s="36">
        <f>'CapChrg-AllocExp'!M24</f>
        <v>0</v>
      </c>
      <c r="V16" s="135">
        <f t="shared" si="4"/>
        <v>-750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 t="e">
        <f ca="1">SUM(C9:C17)</f>
        <v>#NAME?</v>
      </c>
      <c r="D18" s="44" t="e">
        <f ca="1">SUM(D9:D17)</f>
        <v>#NAME?</v>
      </c>
      <c r="E18" s="45" t="e">
        <f ca="1">+C18-D18</f>
        <v>#NAME?</v>
      </c>
      <c r="F18" s="36"/>
      <c r="G18" s="43">
        <f>SUM(G9:G17)</f>
        <v>82071.510999999999</v>
      </c>
      <c r="H18" s="44">
        <f>SUM(H9:H16)</f>
        <v>0</v>
      </c>
      <c r="I18" s="45">
        <f>SUM(I15:I17)</f>
        <v>0</v>
      </c>
      <c r="J18" s="46">
        <f>SUM(J9:J17)</f>
        <v>82071.510999999999</v>
      </c>
      <c r="K18" s="44">
        <f>SUM(K15:K16)</f>
        <v>0</v>
      </c>
      <c r="L18" s="43" t="e">
        <f ca="1">SUM(L9:L17)</f>
        <v>#NAME?</v>
      </c>
      <c r="M18" s="44" t="e">
        <f ca="1">SUM(M9:M17)</f>
        <v>#NAME?</v>
      </c>
      <c r="N18" s="44" t="e">
        <f ca="1">SUM(N9:N17)</f>
        <v>#NAME?</v>
      </c>
      <c r="O18" s="46" t="e">
        <f ca="1">SUM(O9:O17)</f>
        <v>#NAME?</v>
      </c>
      <c r="P18" s="44">
        <f>SUM(P15:P16)</f>
        <v>0</v>
      </c>
      <c r="Q18" s="43" t="e">
        <f ca="1">SUM(Q9:Q17)</f>
        <v>#NAME?</v>
      </c>
      <c r="R18" s="44">
        <f>SUM(R15:R17)</f>
        <v>0</v>
      </c>
      <c r="S18" s="44" t="e">
        <f ca="1">SUM(S9:S17)</f>
        <v>#NAME?</v>
      </c>
      <c r="T18" s="44" t="e">
        <f ca="1">SUM(T9:T17)</f>
        <v>#NAME?</v>
      </c>
      <c r="U18" s="44" t="e">
        <f ca="1">SUM(U9:U17)</f>
        <v>#NAME?</v>
      </c>
      <c r="V18" s="45" t="e">
        <f ca="1">SUM(V9:V17)</f>
        <v>#NAME?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27218</v>
      </c>
      <c r="E20" s="135">
        <f>C20-D20</f>
        <v>-27218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 t="e">
        <f ca="1">+'[1]Mgmt Summary'!M21+'[2]Mgmt Summary'!M21+'Mgmt Summary'!M30</f>
        <v>#NAME?</v>
      </c>
      <c r="N20" s="36">
        <f>+'[1]Mgmt Summary'!N21+'[2]Mgmt Summary'!N21+'Mgmt Summary'!N30</f>
        <v>-19280.512888789402</v>
      </c>
      <c r="O20" s="136" t="e">
        <f ca="1">J20-K20-M20-N20-L20</f>
        <v>#NAME?</v>
      </c>
      <c r="P20" s="37"/>
      <c r="Q20" s="133">
        <f>+J20-C20</f>
        <v>0</v>
      </c>
      <c r="R20" s="36"/>
      <c r="S20" s="36">
        <v>0</v>
      </c>
      <c r="T20" s="36" t="e">
        <f ca="1">Expenses!F29</f>
        <v>#NAME?</v>
      </c>
      <c r="U20" s="36">
        <v>0</v>
      </c>
      <c r="V20" s="135" t="e">
        <f ca="1">ROUND(SUM(Q20:U20),0)</f>
        <v>#NAME?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 t="e">
        <f ca="1">+'[1]Mgmt Summary'!D23+'[2]Mgmt Summary'!D23+'Mgmt Summary'!D33</f>
        <v>#NAME?</v>
      </c>
      <c r="E22" s="135" t="e">
        <f ca="1">C22-D22</f>
        <v>#NAME?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 t="e">
        <f ca="1">+'[1]Mgmt Summary'!L23+'[2]Mgmt Summary'!L23+'Mgmt Summary'!L33</f>
        <v>#NAME?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 t="e">
        <f ca="1">J22-K22-M22-N22-L22</f>
        <v>#NAME?</v>
      </c>
      <c r="P22" s="37"/>
      <c r="Q22" s="133">
        <f>+J22-C22</f>
        <v>0</v>
      </c>
      <c r="R22" s="36"/>
      <c r="S22" s="36" t="e">
        <f ca="1">'CapChrg-AllocExp'!F28</f>
        <v>#NAME?</v>
      </c>
      <c r="T22" s="36">
        <v>0</v>
      </c>
      <c r="U22" s="36">
        <v>0</v>
      </c>
      <c r="V22" s="135" t="e">
        <f ca="1">ROUND(SUM(Q22:U22),0)</f>
        <v>#NAME?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 t="e">
        <f ca="1">SUM(C18:C23)</f>
        <v>#NAME?</v>
      </c>
      <c r="D24" s="44" t="e">
        <f ca="1">SUM(D18:D23)</f>
        <v>#NAME?</v>
      </c>
      <c r="E24" s="45" t="e">
        <f ca="1">SUM(E18:E23)</f>
        <v>#NAME?</v>
      </c>
      <c r="F24" s="36"/>
      <c r="G24" s="43">
        <f t="shared" ref="G24:N24" si="5">SUM(G18:G23)</f>
        <v>80343.683999999994</v>
      </c>
      <c r="H24" s="44">
        <f t="shared" si="5"/>
        <v>0</v>
      </c>
      <c r="I24" s="44">
        <f t="shared" si="5"/>
        <v>0</v>
      </c>
      <c r="J24" s="46">
        <f t="shared" si="5"/>
        <v>80343.683999999994</v>
      </c>
      <c r="K24" s="44">
        <f t="shared" si="5"/>
        <v>0</v>
      </c>
      <c r="L24" s="43" t="e">
        <f t="shared" ca="1" si="5"/>
        <v>#NAME?</v>
      </c>
      <c r="M24" s="44" t="e">
        <f t="shared" ca="1" si="5"/>
        <v>#NAME?</v>
      </c>
      <c r="N24" s="44" t="e">
        <f t="shared" ca="1" si="5"/>
        <v>#NAME?</v>
      </c>
      <c r="O24" s="46" t="e">
        <f ca="1">J24-K24-M24-N24-L24</f>
        <v>#NAME?</v>
      </c>
      <c r="P24" s="37"/>
      <c r="Q24" s="43" t="e">
        <f t="shared" ref="Q24:V24" ca="1" si="6">SUM(Q18:Q23)</f>
        <v>#NAME?</v>
      </c>
      <c r="R24" s="44">
        <f t="shared" si="6"/>
        <v>0</v>
      </c>
      <c r="S24" s="44" t="e">
        <f t="shared" ca="1" si="6"/>
        <v>#NAME?</v>
      </c>
      <c r="T24" s="44" t="e">
        <f t="shared" ca="1" si="6"/>
        <v>#NAME?</v>
      </c>
      <c r="U24" s="44" t="e">
        <f t="shared" ca="1" si="6"/>
        <v>#NAME?</v>
      </c>
      <c r="V24" s="45" t="e">
        <f t="shared" ca="1" si="6"/>
        <v>#NAME?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 t="e">
        <f ca="1">+'[1]Mgmt Summary'!D27+'[2]Mgmt Summary'!D27+'Mgmt Summary'!D37</f>
        <v>#NAME?</v>
      </c>
      <c r="E26" s="135" t="e">
        <f ca="1">C26-D26</f>
        <v>#NAME?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 t="e">
        <f ca="1">+'[1]Mgmt Summary'!M27+'[2]Mgmt Summary'!M27+'Mgmt Summary'!M37</f>
        <v>#NAME?</v>
      </c>
      <c r="N26" s="36">
        <f>+'[1]Mgmt Summary'!N27+'[2]Mgmt Summary'!N27+'Mgmt Summary'!N37</f>
        <v>0</v>
      </c>
      <c r="O26" s="136" t="e">
        <f ca="1">J26-K26-M26-N26-L26</f>
        <v>#NAME?</v>
      </c>
      <c r="P26" s="37"/>
      <c r="Q26" s="133">
        <f>+J26-C26</f>
        <v>0</v>
      </c>
      <c r="R26" s="36"/>
      <c r="S26" s="36">
        <v>0</v>
      </c>
      <c r="T26" s="36" t="e">
        <f ca="1">D26-M26</f>
        <v>#NAME?</v>
      </c>
      <c r="U26" s="36">
        <v>0</v>
      </c>
      <c r="V26" s="135" t="e">
        <f ca="1">ROUND(SUM(Q26:U26),0)</f>
        <v>#NAME?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 t="e">
        <f ca="1">SUM(C24:C26)</f>
        <v>#NAME?</v>
      </c>
      <c r="D28" s="40" t="e">
        <f ca="1">SUM(D24:D26)</f>
        <v>#NAME?</v>
      </c>
      <c r="E28" s="41" t="e">
        <f ca="1">SUM(E24:E26)</f>
        <v>#NAME?</v>
      </c>
      <c r="F28" s="36"/>
      <c r="G28" s="39">
        <f t="shared" ref="G28:N28" si="7">SUM(G24:G26)</f>
        <v>80343.683999999994</v>
      </c>
      <c r="H28" s="40">
        <f t="shared" si="7"/>
        <v>0</v>
      </c>
      <c r="I28" s="40">
        <f t="shared" si="7"/>
        <v>0</v>
      </c>
      <c r="J28" s="42">
        <f t="shared" si="7"/>
        <v>80343.683999999994</v>
      </c>
      <c r="K28" s="40">
        <f t="shared" si="7"/>
        <v>0</v>
      </c>
      <c r="L28" s="39" t="e">
        <f t="shared" ca="1" si="7"/>
        <v>#NAME?</v>
      </c>
      <c r="M28" s="40" t="e">
        <f t="shared" ca="1" si="7"/>
        <v>#NAME?</v>
      </c>
      <c r="N28" s="40" t="e">
        <f t="shared" ca="1" si="7"/>
        <v>#NAME?</v>
      </c>
      <c r="O28" s="42" t="e">
        <f ca="1">J28-K28-M28-N28-L28</f>
        <v>#NAME?</v>
      </c>
      <c r="P28" s="37"/>
      <c r="Q28" s="39" t="e">
        <f t="shared" ref="Q28:V28" ca="1" si="8">SUM(Q24:Q26)</f>
        <v>#NAME?</v>
      </c>
      <c r="R28" s="40">
        <f t="shared" si="8"/>
        <v>0</v>
      </c>
      <c r="S28" s="40" t="e">
        <f t="shared" ca="1" si="8"/>
        <v>#NAME?</v>
      </c>
      <c r="T28" s="40" t="e">
        <f t="shared" ca="1" si="8"/>
        <v>#NAME?</v>
      </c>
      <c r="U28" s="40" t="e">
        <f t="shared" ca="1" si="8"/>
        <v>#NAME?</v>
      </c>
      <c r="V28" s="41" t="e">
        <f t="shared" ca="1" si="8"/>
        <v>#NAME?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+'GM-WeeklyChnge'!C43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9" t="s">
        <v>70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</row>
    <row r="2" spans="1:40" ht="15">
      <c r="A2" s="10" t="s">
        <v>45</v>
      </c>
      <c r="B2" s="340" t="s">
        <v>67</v>
      </c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</row>
    <row r="3" spans="1:40">
      <c r="A3" s="10" t="s">
        <v>46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6" t="s">
        <v>65</v>
      </c>
      <c r="E6" s="337"/>
      <c r="F6" s="338"/>
      <c r="G6" s="1"/>
      <c r="H6" s="336" t="s">
        <v>66</v>
      </c>
      <c r="I6" s="337"/>
      <c r="J6" s="338"/>
      <c r="K6" s="1"/>
      <c r="L6" s="336" t="s">
        <v>38</v>
      </c>
      <c r="M6" s="337"/>
      <c r="N6" s="33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5"/>
  <sheetViews>
    <sheetView tabSelected="1" topLeftCell="A4" zoomScale="95" workbookViewId="0">
      <selection activeCell="H14" sqref="H14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November 9,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30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5" t="s">
        <v>88</v>
      </c>
      <c r="L5" s="316"/>
      <c r="M5" s="317"/>
      <c r="N5" s="303"/>
      <c r="O5" s="315" t="s">
        <v>147</v>
      </c>
      <c r="P5" s="316"/>
      <c r="Q5" s="317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304"/>
      <c r="O6" s="207" t="s">
        <v>13</v>
      </c>
      <c r="P6" s="208" t="s">
        <v>148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304"/>
      <c r="O7" s="212"/>
      <c r="P7" s="18"/>
      <c r="Q7" s="213"/>
    </row>
    <row r="8" spans="1:22" s="32" customFormat="1" ht="13.5" customHeight="1">
      <c r="A8" s="223" t="s">
        <v>79</v>
      </c>
      <c r="B8" s="224"/>
      <c r="C8" s="225">
        <f>+'Mgmt Summary'!J9</f>
        <v>-22106</v>
      </c>
      <c r="D8" s="226">
        <f>+'Mgmt Summary'!C9</f>
        <v>30000</v>
      </c>
      <c r="E8" s="227">
        <f t="shared" ref="E8:E13" si="0">-D8+C8</f>
        <v>-52106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-36798</v>
      </c>
      <c r="L8" s="226">
        <f t="shared" ref="K8:L13" si="2">D8-H8</f>
        <v>15908</v>
      </c>
      <c r="M8" s="227">
        <f t="shared" ref="M8:M13" si="3">K8-L8</f>
        <v>-52706</v>
      </c>
      <c r="N8" s="305"/>
      <c r="O8" s="225">
        <f>+C8-'[3]QTD Mgmt Summary'!C8</f>
        <v>5179</v>
      </c>
      <c r="P8" s="226">
        <f>+G8-'[3]QTD Mgmt Summary'!G8</f>
        <v>0</v>
      </c>
      <c r="Q8" s="227">
        <f>+O8-P8</f>
        <v>5179</v>
      </c>
    </row>
    <row r="9" spans="1:22" s="32" customFormat="1" ht="13.5" customHeight="1">
      <c r="A9" s="223" t="s">
        <v>1</v>
      </c>
      <c r="B9" s="224"/>
      <c r="C9" s="225">
        <f>+'Mgmt Summary'!J10</f>
        <v>2068.8110000000001</v>
      </c>
      <c r="D9" s="226" t="e">
        <f ca="1">+'Mgmt Summary'!C10</f>
        <v>#NAME?</v>
      </c>
      <c r="E9" s="227" t="e">
        <f t="shared" ca="1" si="0"/>
        <v>#NAME?</v>
      </c>
      <c r="F9" s="228"/>
      <c r="G9" s="225" t="e">
        <f ca="1">+Expenses!D10+'CapChrg-AllocExp'!K11+'CapChrg-AllocExp'!D11</f>
        <v>#NAME?</v>
      </c>
      <c r="H9" s="226" t="e">
        <f ca="1">+Expenses!E10+'CapChrg-AllocExp'!L11+'CapChrg-AllocExp'!E11</f>
        <v>#NAME?</v>
      </c>
      <c r="I9" s="227" t="e">
        <f t="shared" ca="1" si="1"/>
        <v>#NAME?</v>
      </c>
      <c r="J9" s="228"/>
      <c r="K9" s="225" t="e">
        <f t="shared" ca="1" si="2"/>
        <v>#NAME?</v>
      </c>
      <c r="L9" s="226" t="e">
        <f t="shared" ca="1" si="2"/>
        <v>#NAME?</v>
      </c>
      <c r="M9" s="227" t="e">
        <f t="shared" ca="1" si="3"/>
        <v>#NAME?</v>
      </c>
      <c r="N9" s="305"/>
      <c r="O9" s="225">
        <f>+C9-'[3]QTD Mgmt Summary'!C9</f>
        <v>1121.9074100000003</v>
      </c>
      <c r="P9" s="226" t="e">
        <f ca="1">+G9-'[3]QTD Mgmt Summary'!G9</f>
        <v>#NAME?</v>
      </c>
      <c r="Q9" s="227" t="e">
        <f t="shared" ref="Q9:Q14" ca="1" si="4">O9-P9</f>
        <v>#NAME?</v>
      </c>
    </row>
    <row r="10" spans="1:22" s="32" customFormat="1" ht="13.5" customHeight="1">
      <c r="A10" s="223" t="s">
        <v>44</v>
      </c>
      <c r="B10" s="224"/>
      <c r="C10" s="225">
        <f>+'Mgmt Summary'!J11</f>
        <v>849</v>
      </c>
      <c r="D10" s="226" t="e">
        <f ca="1">+'Mgmt Summary'!C11</f>
        <v>#NAME?</v>
      </c>
      <c r="E10" s="227" t="e">
        <f t="shared" ca="1" si="0"/>
        <v>#NAME?</v>
      </c>
      <c r="F10" s="228"/>
      <c r="G10" s="225" t="e">
        <f ca="1">+Expenses!D11+'CapChrg-AllocExp'!K12+'CapChrg-AllocExp'!D12</f>
        <v>#NAME?</v>
      </c>
      <c r="H10" s="226" t="e">
        <f ca="1">+Expenses!E11+'CapChrg-AllocExp'!L12+'CapChrg-AllocExp'!E12</f>
        <v>#NAME?</v>
      </c>
      <c r="I10" s="227" t="e">
        <f t="shared" ca="1" si="1"/>
        <v>#NAME?</v>
      </c>
      <c r="J10" s="228"/>
      <c r="K10" s="225" t="e">
        <f t="shared" ca="1" si="2"/>
        <v>#NAME?</v>
      </c>
      <c r="L10" s="226" t="e">
        <f t="shared" ca="1" si="2"/>
        <v>#NAME?</v>
      </c>
      <c r="M10" s="227" t="e">
        <f t="shared" ca="1" si="3"/>
        <v>#NAME?</v>
      </c>
      <c r="N10" s="305"/>
      <c r="O10" s="225">
        <f>+C10-'[3]QTD Mgmt Summary'!C10</f>
        <v>61</v>
      </c>
      <c r="P10" s="226" t="e">
        <f ca="1">+G10-'[3]QTD Mgmt Summary'!G10</f>
        <v>#NAME?</v>
      </c>
      <c r="Q10" s="227" t="e">
        <f t="shared" ca="1" si="4"/>
        <v>#NAME?</v>
      </c>
    </row>
    <row r="11" spans="1:22" s="32" customFormat="1" ht="13.5" customHeight="1">
      <c r="A11" s="223" t="s">
        <v>64</v>
      </c>
      <c r="B11" s="224"/>
      <c r="C11" s="225">
        <f>+'Mgmt Summary'!J12</f>
        <v>-201</v>
      </c>
      <c r="D11" s="226" t="e">
        <f ca="1">+'Mgmt Summary'!C12</f>
        <v>#NAME?</v>
      </c>
      <c r="E11" s="227" t="e">
        <f t="shared" ca="1" si="0"/>
        <v>#NAME?</v>
      </c>
      <c r="F11" s="228"/>
      <c r="G11" s="225" t="e">
        <f ca="1">+Expenses!D12+'CapChrg-AllocExp'!K13+'CapChrg-AllocExp'!D13</f>
        <v>#NAME?</v>
      </c>
      <c r="H11" s="226" t="e">
        <f ca="1">+Expenses!E12+'CapChrg-AllocExp'!L13+'CapChrg-AllocExp'!E13</f>
        <v>#NAME?</v>
      </c>
      <c r="I11" s="227" t="e">
        <f t="shared" ca="1" si="1"/>
        <v>#NAME?</v>
      </c>
      <c r="J11" s="228"/>
      <c r="K11" s="225" t="e">
        <f t="shared" ca="1" si="2"/>
        <v>#NAME?</v>
      </c>
      <c r="L11" s="226" t="e">
        <f t="shared" ca="1" si="2"/>
        <v>#NAME?</v>
      </c>
      <c r="M11" s="227" t="e">
        <f t="shared" ca="1" si="3"/>
        <v>#NAME?</v>
      </c>
      <c r="N11" s="305"/>
      <c r="O11" s="225">
        <f>+C11-'[3]QTD Mgmt Summary'!C11</f>
        <v>-178</v>
      </c>
      <c r="P11" s="226" t="e">
        <f ca="1">+G11-'[3]QTD Mgmt Summary'!G11</f>
        <v>#NAME?</v>
      </c>
      <c r="Q11" s="227" t="e">
        <f t="shared" ca="1" si="4"/>
        <v>#NAME?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 t="e">
        <f ca="1">+'Mgmt Summary'!C13</f>
        <v>#NAME?</v>
      </c>
      <c r="E12" s="227" t="e">
        <f t="shared" ca="1" si="0"/>
        <v>#NAME?</v>
      </c>
      <c r="F12" s="228"/>
      <c r="G12" s="225" t="e">
        <f ca="1">+Expenses!D13+'CapChrg-AllocExp'!K14+'CapChrg-AllocExp'!D14</f>
        <v>#NAME?</v>
      </c>
      <c r="H12" s="226" t="e">
        <f ca="1">+Expenses!E13+'CapChrg-AllocExp'!L14+'CapChrg-AllocExp'!E14</f>
        <v>#NAME?</v>
      </c>
      <c r="I12" s="227" t="e">
        <f t="shared" ca="1" si="1"/>
        <v>#NAME?</v>
      </c>
      <c r="J12" s="228"/>
      <c r="K12" s="225" t="e">
        <f t="shared" ca="1" si="2"/>
        <v>#NAME?</v>
      </c>
      <c r="L12" s="226" t="e">
        <f t="shared" ca="1" si="2"/>
        <v>#NAME?</v>
      </c>
      <c r="M12" s="227" t="e">
        <f t="shared" ca="1" si="3"/>
        <v>#NAME?</v>
      </c>
      <c r="N12" s="305"/>
      <c r="O12" s="225">
        <f>+C12-'[3]QTD Mgmt Summary'!C12</f>
        <v>0</v>
      </c>
      <c r="P12" s="226" t="e">
        <f ca="1">+G12-'[3]QTD Mgmt Summary'!G12</f>
        <v>#NAME?</v>
      </c>
      <c r="Q12" s="227" t="e">
        <f t="shared" ca="1" si="4"/>
        <v>#NAME?</v>
      </c>
    </row>
    <row r="13" spans="1:22" s="32" customFormat="1" ht="13.5" customHeight="1">
      <c r="A13" s="223" t="s">
        <v>50</v>
      </c>
      <c r="B13" s="224"/>
      <c r="C13" s="225">
        <f>+'Mgmt Summary'!J14</f>
        <v>-2657</v>
      </c>
      <c r="D13" s="226">
        <f>+'Mgmt Summary'!C14</f>
        <v>8983.2109999999993</v>
      </c>
      <c r="E13" s="227">
        <f t="shared" si="0"/>
        <v>-11640.210999999999</v>
      </c>
      <c r="F13" s="228"/>
      <c r="G13" s="225" t="e">
        <f ca="1">+Expenses!D14+'CapChrg-AllocExp'!K15+'CapChrg-AllocExp'!D15</f>
        <v>#NAME?</v>
      </c>
      <c r="H13" s="226" t="e">
        <f ca="1">+Expenses!E14+'CapChrg-AllocExp'!L15+'CapChrg-AllocExp'!E15</f>
        <v>#NAME?</v>
      </c>
      <c r="I13" s="227" t="e">
        <f t="shared" ca="1" si="1"/>
        <v>#NAME?</v>
      </c>
      <c r="J13" s="228"/>
      <c r="K13" s="225" t="e">
        <f t="shared" ca="1" si="2"/>
        <v>#NAME?</v>
      </c>
      <c r="L13" s="226" t="e">
        <f t="shared" ca="1" si="2"/>
        <v>#NAME?</v>
      </c>
      <c r="M13" s="227" t="e">
        <f t="shared" ca="1" si="3"/>
        <v>#NAME?</v>
      </c>
      <c r="N13" s="305"/>
      <c r="O13" s="225">
        <f>+C13-'[3]QTD Mgmt Summary'!C13</f>
        <v>-650</v>
      </c>
      <c r="P13" s="226" t="e">
        <f ca="1">+G13-'[3]QTD Mgmt Summary'!G13</f>
        <v>#NAME?</v>
      </c>
      <c r="Q13" s="227" t="e">
        <f t="shared" ca="1" si="4"/>
        <v>#NAME?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5">-D14+C14</f>
        <v>0</v>
      </c>
      <c r="F14" s="228"/>
      <c r="G14" s="225">
        <f>+Expenses!D15+'CapChrg-AllocExp'!K16+'CapChrg-AllocExp'!D16</f>
        <v>980</v>
      </c>
      <c r="H14" s="226">
        <f>+Expenses!E15+'CapChrg-AllocExp'!L16+'CapChrg-AllocExp'!E16</f>
        <v>0</v>
      </c>
      <c r="I14" s="227">
        <f t="shared" si="1"/>
        <v>-980</v>
      </c>
      <c r="J14" s="228"/>
      <c r="K14" s="225">
        <f t="shared" ref="K14:L16" si="6">C14-G14</f>
        <v>-980</v>
      </c>
      <c r="L14" s="226">
        <f t="shared" si="6"/>
        <v>0</v>
      </c>
      <c r="M14" s="227">
        <f t="shared" ref="M14:M22" si="7">K14-L14</f>
        <v>-980</v>
      </c>
      <c r="N14" s="305"/>
      <c r="O14" s="225">
        <f>+C14-'[3]QTD Mgmt Summary'!C14</f>
        <v>0</v>
      </c>
      <c r="P14" s="226">
        <f>+G14-'[3]QTD Mgmt Summary'!G14</f>
        <v>0</v>
      </c>
      <c r="Q14" s="227">
        <f t="shared" si="4"/>
        <v>0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6"/>
        <v>0</v>
      </c>
      <c r="L15" s="226">
        <f t="shared" si="6"/>
        <v>10100</v>
      </c>
      <c r="M15" s="227">
        <f>K15-L15</f>
        <v>-10100</v>
      </c>
      <c r="N15" s="305"/>
      <c r="O15" s="225">
        <f>+C15-'[3]QTD Mgmt Summary'!C15</f>
        <v>0</v>
      </c>
      <c r="P15" s="226">
        <f>+G15-'[3]QTD Mgmt Summary'!G15</f>
        <v>0</v>
      </c>
      <c r="Q15" s="227">
        <f>O15-P15</f>
        <v>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750</v>
      </c>
      <c r="H16" s="226">
        <f>+Expenses!E16+'CapChrg-AllocExp'!L24</f>
        <v>0</v>
      </c>
      <c r="I16" s="227">
        <f>+H16-G16</f>
        <v>-750</v>
      </c>
      <c r="J16" s="228"/>
      <c r="K16" s="225">
        <f t="shared" si="6"/>
        <v>-750</v>
      </c>
      <c r="L16" s="226">
        <f t="shared" si="6"/>
        <v>0</v>
      </c>
      <c r="M16" s="227">
        <f>K16-L16</f>
        <v>-750</v>
      </c>
      <c r="N16" s="305"/>
      <c r="O16" s="225">
        <f>+C16-'[3]QTD Mgmt Summary'!C16</f>
        <v>0</v>
      </c>
      <c r="P16" s="226">
        <f>+G16-'[3]QTD Mgmt Summary'!G16</f>
        <v>400</v>
      </c>
      <c r="Q16" s="227">
        <f>O16-P16</f>
        <v>-400</v>
      </c>
    </row>
    <row r="17" spans="1:19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  <c r="N17" s="304"/>
      <c r="O17" s="215"/>
      <c r="P17" s="216"/>
      <c r="Q17" s="217"/>
    </row>
    <row r="18" spans="1:19" s="220" customFormat="1" ht="16.5">
      <c r="A18" s="229" t="s">
        <v>107</v>
      </c>
      <c r="B18" s="219"/>
      <c r="C18" s="234">
        <f>SUM(C8:C17)</f>
        <v>-22046.188999999998</v>
      </c>
      <c r="D18" s="235" t="e">
        <f t="shared" ref="D18:M18" ca="1" si="8">SUM(D8:D17)</f>
        <v>#NAME?</v>
      </c>
      <c r="E18" s="236" t="e">
        <f t="shared" ca="1" si="8"/>
        <v>#NAME?</v>
      </c>
      <c r="F18" s="237">
        <f t="shared" si="8"/>
        <v>0</v>
      </c>
      <c r="G18" s="234" t="e">
        <f t="shared" ca="1" si="8"/>
        <v>#NAME?</v>
      </c>
      <c r="H18" s="235" t="e">
        <f t="shared" ca="1" si="8"/>
        <v>#NAME?</v>
      </c>
      <c r="I18" s="236" t="e">
        <f t="shared" ca="1" si="8"/>
        <v>#NAME?</v>
      </c>
      <c r="J18" s="237">
        <f t="shared" si="8"/>
        <v>0</v>
      </c>
      <c r="K18" s="234" t="e">
        <f t="shared" ca="1" si="8"/>
        <v>#NAME?</v>
      </c>
      <c r="L18" s="235" t="e">
        <f t="shared" ca="1" si="8"/>
        <v>#NAME?</v>
      </c>
      <c r="M18" s="236" t="e">
        <f t="shared" ca="1" si="8"/>
        <v>#NAME?</v>
      </c>
      <c r="N18" s="306"/>
      <c r="O18" s="234">
        <f>SUM(O8:O17)</f>
        <v>5533.9074099999998</v>
      </c>
      <c r="P18" s="235" t="e">
        <f ca="1">SUM(P8:P17)</f>
        <v>#NAME?</v>
      </c>
      <c r="Q18" s="236" t="e">
        <f ca="1">SUM(Q8:Q17)</f>
        <v>#NAME?</v>
      </c>
    </row>
    <row r="19" spans="1:19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  <c r="N19" s="304"/>
      <c r="O19" s="215"/>
      <c r="P19" s="216"/>
      <c r="Q19" s="217"/>
    </row>
    <row r="20" spans="1:19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5"/>
        <v>-1058</v>
      </c>
      <c r="F20" s="228"/>
      <c r="G20" s="225">
        <f>+Expenses!D20+'CapChrg-AllocExp'!K18+'CapChrg-AllocExp'!D18</f>
        <v>2776</v>
      </c>
      <c r="H20" s="226">
        <f>+Expenses!E20+'CapChrg-AllocExp'!L18+'CapChrg-AllocExp'!E18</f>
        <v>1370</v>
      </c>
      <c r="I20" s="227">
        <f>+H20-G20</f>
        <v>-1406</v>
      </c>
      <c r="J20" s="228"/>
      <c r="K20" s="225">
        <f t="shared" ref="K20:L22" si="9">C20-G20</f>
        <v>-2690</v>
      </c>
      <c r="L20" s="226">
        <f t="shared" si="9"/>
        <v>-226</v>
      </c>
      <c r="M20" s="227">
        <f t="shared" si="7"/>
        <v>-2464</v>
      </c>
      <c r="N20" s="305"/>
      <c r="O20" s="225">
        <f>+C20-'[3]QTD Mgmt Summary'!C20</f>
        <v>0</v>
      </c>
      <c r="P20" s="226">
        <f>+G20-'[3]QTD Mgmt Summary'!G20</f>
        <v>1579</v>
      </c>
      <c r="Q20" s="227">
        <f>O20-P20</f>
        <v>-1579</v>
      </c>
      <c r="S20" s="308"/>
    </row>
    <row r="21" spans="1:19" s="32" customFormat="1" ht="13.5" customHeight="1">
      <c r="A21" s="223" t="s">
        <v>100</v>
      </c>
      <c r="B21" s="224"/>
      <c r="C21" s="225">
        <f>+'Mgmt Summary'!J22</f>
        <v>0</v>
      </c>
      <c r="D21" s="226">
        <f>+'Mgmt Summary'!C22</f>
        <v>4617</v>
      </c>
      <c r="E21" s="227">
        <f t="shared" si="5"/>
        <v>-4617</v>
      </c>
      <c r="F21" s="228"/>
      <c r="G21" s="225">
        <f>+Expenses!D21+'CapChrg-AllocExp'!K19+'CapChrg-AllocExp'!D19</f>
        <v>2696</v>
      </c>
      <c r="H21" s="226">
        <f>+Expenses!E21+'CapChrg-AllocExp'!L19+'CapChrg-AllocExp'!E19</f>
        <v>2188</v>
      </c>
      <c r="I21" s="227">
        <f>+H21-G21</f>
        <v>-508</v>
      </c>
      <c r="J21" s="228"/>
      <c r="K21" s="225">
        <f t="shared" si="9"/>
        <v>-2696</v>
      </c>
      <c r="L21" s="226">
        <f t="shared" si="9"/>
        <v>2429</v>
      </c>
      <c r="M21" s="227">
        <f t="shared" si="7"/>
        <v>-5125</v>
      </c>
      <c r="N21" s="305"/>
      <c r="O21" s="225">
        <f>+C21-'[3]QTD Mgmt Summary'!C21</f>
        <v>-135</v>
      </c>
      <c r="P21" s="226">
        <f>+G21-'[3]QTD Mgmt Summary'!G21</f>
        <v>508</v>
      </c>
      <c r="Q21" s="227">
        <f>O21-P21</f>
        <v>-643</v>
      </c>
    </row>
    <row r="22" spans="1:19" s="32" customFormat="1" ht="13.5" customHeight="1">
      <c r="A22" s="223" t="s">
        <v>101</v>
      </c>
      <c r="B22" s="224"/>
      <c r="C22" s="268">
        <f>+'Mgmt Summary'!J23</f>
        <v>-1930</v>
      </c>
      <c r="D22" s="269">
        <f>+'Mgmt Summary'!C23</f>
        <v>530</v>
      </c>
      <c r="E22" s="270">
        <f t="shared" si="5"/>
        <v>-2460</v>
      </c>
      <c r="F22" s="228"/>
      <c r="G22" s="268">
        <f>+Expenses!D22+'CapChrg-AllocExp'!K20+'CapChrg-AllocExp'!D20</f>
        <v>1056</v>
      </c>
      <c r="H22" s="269">
        <f>+Expenses!E22+'CapChrg-AllocExp'!L20+'CapChrg-AllocExp'!E20</f>
        <v>2146</v>
      </c>
      <c r="I22" s="270">
        <f>+H22-G22</f>
        <v>1090</v>
      </c>
      <c r="J22" s="228"/>
      <c r="K22" s="268">
        <f t="shared" si="9"/>
        <v>-2986</v>
      </c>
      <c r="L22" s="269">
        <f t="shared" si="9"/>
        <v>-1616</v>
      </c>
      <c r="M22" s="270">
        <f t="shared" si="7"/>
        <v>-1370</v>
      </c>
      <c r="N22" s="305"/>
      <c r="O22" s="225">
        <f>+C22-'[3]QTD Mgmt Summary'!C22</f>
        <v>-530</v>
      </c>
      <c r="P22" s="226">
        <f>+G22-'[3]QTD Mgmt Summary'!G22</f>
        <v>0</v>
      </c>
      <c r="Q22" s="270">
        <f>O22-P22</f>
        <v>-530</v>
      </c>
    </row>
    <row r="23" spans="1:19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  <c r="N23" s="304"/>
      <c r="O23" s="215"/>
      <c r="P23" s="216"/>
      <c r="Q23" s="217"/>
    </row>
    <row r="24" spans="1:19" s="220" customFormat="1" ht="16.5">
      <c r="A24" s="229" t="s">
        <v>115</v>
      </c>
      <c r="B24" s="219"/>
      <c r="C24" s="234">
        <f>SUM(C20:C23)</f>
        <v>-1844</v>
      </c>
      <c r="D24" s="235">
        <f>SUM(D20:D23)</f>
        <v>6291</v>
      </c>
      <c r="E24" s="236">
        <f>SUM(E20:E23)</f>
        <v>-8135</v>
      </c>
      <c r="F24" s="237"/>
      <c r="G24" s="234">
        <f>SUM(G20:G23)</f>
        <v>6528</v>
      </c>
      <c r="H24" s="235">
        <f>SUM(H20:H23)</f>
        <v>5704</v>
      </c>
      <c r="I24" s="236">
        <f>SUM(I20:I23)</f>
        <v>-824</v>
      </c>
      <c r="J24" s="237"/>
      <c r="K24" s="234">
        <f>SUM(K20:K23)</f>
        <v>-8372</v>
      </c>
      <c r="L24" s="235">
        <f>SUM(L20:L23)</f>
        <v>587</v>
      </c>
      <c r="M24" s="236">
        <f>SUM(M20:M23)</f>
        <v>-8959</v>
      </c>
      <c r="N24" s="306"/>
      <c r="O24" s="234">
        <f>SUM(O20:O23)</f>
        <v>-665</v>
      </c>
      <c r="P24" s="235">
        <f>SUM(P20:P23)</f>
        <v>2087</v>
      </c>
      <c r="Q24" s="236">
        <f>SUM(Q20:Q23)</f>
        <v>-2752</v>
      </c>
    </row>
    <row r="25" spans="1:19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  <c r="N25" s="304"/>
      <c r="O25" s="215"/>
      <c r="P25" s="216"/>
      <c r="Q25" s="217"/>
    </row>
    <row r="26" spans="1:19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  <c r="N26" s="304"/>
      <c r="O26" s="215"/>
      <c r="P26" s="216"/>
      <c r="Q26" s="217"/>
    </row>
    <row r="27" spans="1:19" s="220" customFormat="1" ht="16.5">
      <c r="A27" s="229" t="s">
        <v>3</v>
      </c>
      <c r="B27" s="219"/>
      <c r="C27" s="234">
        <f>+C18+C24</f>
        <v>-23890.188999999998</v>
      </c>
      <c r="D27" s="235" t="e">
        <f ca="1">+D18+D24</f>
        <v>#NAME?</v>
      </c>
      <c r="E27" s="236" t="e">
        <f ca="1">+E18+E24</f>
        <v>#NAME?</v>
      </c>
      <c r="F27" s="237">
        <f>SUM(F24:F25)</f>
        <v>0</v>
      </c>
      <c r="G27" s="234" t="e">
        <f ca="1">+G18+G24</f>
        <v>#NAME?</v>
      </c>
      <c r="H27" s="235" t="e">
        <f ca="1">+H18+H24</f>
        <v>#NAME?</v>
      </c>
      <c r="I27" s="236" t="e">
        <f ca="1">+I18+I24</f>
        <v>#NAME?</v>
      </c>
      <c r="J27" s="237">
        <f>SUM(J24:J25)</f>
        <v>0</v>
      </c>
      <c r="K27" s="234" t="e">
        <f ca="1">+K18+K24</f>
        <v>#NAME?</v>
      </c>
      <c r="L27" s="235" t="e">
        <f ca="1">+L18+L24</f>
        <v>#NAME?</v>
      </c>
      <c r="M27" s="236" t="e">
        <f ca="1">+M18+M24</f>
        <v>#NAME?</v>
      </c>
      <c r="N27" s="306"/>
      <c r="O27" s="234">
        <f>+O18+O24</f>
        <v>4868.9074099999998</v>
      </c>
      <c r="P27" s="235" t="e">
        <f ca="1">+P18+P24</f>
        <v>#NAME?</v>
      </c>
      <c r="Q27" s="236" t="e">
        <f ca="1">+Q18+Q24</f>
        <v>#NAME?</v>
      </c>
    </row>
    <row r="28" spans="1:19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  <c r="N28" s="304"/>
      <c r="O28" s="215"/>
      <c r="P28" s="216"/>
      <c r="Q28" s="217"/>
    </row>
    <row r="29" spans="1:19" s="32" customFormat="1" ht="13.5" customHeight="1">
      <c r="A29" s="223" t="s">
        <v>114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 t="e">
        <f ca="1">+'Mgmt Summary'!L30+'Mgmt Summary'!M30+'Mgmt Summary'!N30</f>
        <v>#NAME?</v>
      </c>
      <c r="H29" s="226">
        <f>+'Mgmt Summary'!D30</f>
        <v>27218</v>
      </c>
      <c r="I29" s="227" t="e">
        <f ca="1">+H29-G29</f>
        <v>#NAME?</v>
      </c>
      <c r="J29" s="228"/>
      <c r="K29" s="225" t="e">
        <f ca="1">C29-G29</f>
        <v>#NAME?</v>
      </c>
      <c r="L29" s="226">
        <f>D29-H29</f>
        <v>-27218</v>
      </c>
      <c r="M29" s="227" t="e">
        <f ca="1">K29-L29</f>
        <v>#NAME?</v>
      </c>
      <c r="N29" s="305"/>
      <c r="O29" s="225">
        <f>+C29-'[3]QTD Mgmt Summary'!C29</f>
        <v>0</v>
      </c>
      <c r="P29" s="226" t="e">
        <f ca="1">+G29-'[3]QTD Mgmt Summary'!G29</f>
        <v>#NAME?</v>
      </c>
      <c r="Q29" s="227" t="e">
        <f ca="1">O29-P29</f>
        <v>#NAME?</v>
      </c>
    </row>
    <row r="30" spans="1:19" s="32" customFormat="1" ht="13.5" customHeight="1">
      <c r="A30" s="223" t="s">
        <v>104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 t="e">
        <f ca="1">+'Mgmt Summary'!L31+'Mgmt Summary'!M31+'Mgmt Summary'!N31</f>
        <v>#NAME?</v>
      </c>
      <c r="H30" s="226" t="e">
        <f ca="1">+'Mgmt Summary'!D31</f>
        <v>#NAME?</v>
      </c>
      <c r="I30" s="227" t="e">
        <f ca="1">+H30-G30</f>
        <v>#NAME?</v>
      </c>
      <c r="J30" s="228"/>
      <c r="K30" s="225" t="e">
        <f t="shared" ref="K30:L32" ca="1" si="10">C30-G30</f>
        <v>#NAME?</v>
      </c>
      <c r="L30" s="226" t="e">
        <f t="shared" ca="1" si="10"/>
        <v>#NAME?</v>
      </c>
      <c r="M30" s="227" t="e">
        <f ca="1">K30-L30</f>
        <v>#NAME?</v>
      </c>
      <c r="N30" s="305"/>
      <c r="O30" s="225">
        <f>+C30-'[3]QTD Mgmt Summary'!C30</f>
        <v>0</v>
      </c>
      <c r="P30" s="226" t="e">
        <f ca="1">+G30-'[3]QTD Mgmt Summary'!G30</f>
        <v>#NAME?</v>
      </c>
      <c r="Q30" s="227" t="e">
        <f ca="1">O30-P30</f>
        <v>#NAME?</v>
      </c>
    </row>
    <row r="31" spans="1:19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10"/>
        <v>-520</v>
      </c>
      <c r="L31" s="226">
        <f t="shared" si="10"/>
        <v>-520</v>
      </c>
      <c r="M31" s="227">
        <f>K31-L31</f>
        <v>0</v>
      </c>
      <c r="N31" s="305"/>
      <c r="O31" s="225">
        <f>+C31-'[3]QTD Mgmt Summary'!C31</f>
        <v>0</v>
      </c>
      <c r="P31" s="226">
        <f>+G31-'[3]QTD Mgmt Summary'!G31</f>
        <v>0</v>
      </c>
      <c r="Q31" s="227">
        <f>O31-P31</f>
        <v>0</v>
      </c>
    </row>
    <row r="32" spans="1:19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 t="e">
        <f ca="1">+'CapChrg-AllocExp'!D28</f>
        <v>#NAME?</v>
      </c>
      <c r="H32" s="226" t="e">
        <f ca="1">+'CapChrg-AllocExp'!E28</f>
        <v>#NAME?</v>
      </c>
      <c r="I32" s="227" t="e">
        <f ca="1">+H32-G32</f>
        <v>#NAME?</v>
      </c>
      <c r="J32" s="228"/>
      <c r="K32" s="225" t="e">
        <f t="shared" ca="1" si="10"/>
        <v>#NAME?</v>
      </c>
      <c r="L32" s="226" t="e">
        <f t="shared" ca="1" si="10"/>
        <v>#NAME?</v>
      </c>
      <c r="M32" s="227" t="e">
        <f ca="1">K32-L32</f>
        <v>#NAME?</v>
      </c>
      <c r="N32" s="305"/>
      <c r="O32" s="225">
        <f>+C32-'[3]QTD Mgmt Summary'!C32</f>
        <v>0</v>
      </c>
      <c r="P32" s="226" t="e">
        <f ca="1">+G32-'[3]QTD Mgmt Summary'!G32</f>
        <v>#NAME?</v>
      </c>
      <c r="Q32" s="227" t="e">
        <f ca="1">O32-P32</f>
        <v>#NAME?</v>
      </c>
    </row>
    <row r="33" spans="1:17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  <c r="N33" s="304"/>
      <c r="O33" s="215"/>
      <c r="P33" s="216"/>
      <c r="Q33" s="217"/>
    </row>
    <row r="34" spans="1:17" s="220" customFormat="1" ht="16.5">
      <c r="A34" s="229" t="s">
        <v>74</v>
      </c>
      <c r="B34" s="219"/>
      <c r="C34" s="234">
        <f>SUM(C27:C32)</f>
        <v>-24410.188999999998</v>
      </c>
      <c r="D34" s="235" t="e">
        <f ca="1">SUM(D27:D32)</f>
        <v>#NAME?</v>
      </c>
      <c r="E34" s="236" t="e">
        <f ca="1">SUM(E27:E32)</f>
        <v>#NAME?</v>
      </c>
      <c r="F34" s="237"/>
      <c r="G34" s="234" t="e">
        <f ca="1">SUM(G27:G32)</f>
        <v>#NAME?</v>
      </c>
      <c r="H34" s="235" t="e">
        <f ca="1">SUM(H27:H32)</f>
        <v>#NAME?</v>
      </c>
      <c r="I34" s="236" t="e">
        <f ca="1">SUM(I27:I32)</f>
        <v>#NAME?</v>
      </c>
      <c r="J34" s="237"/>
      <c r="K34" s="234" t="e">
        <f ca="1">SUM(K27:K32)</f>
        <v>#NAME?</v>
      </c>
      <c r="L34" s="235" t="e">
        <f ca="1">SUM(L27:L32)</f>
        <v>#NAME?</v>
      </c>
      <c r="M34" s="236" t="e">
        <f ca="1">SUM(M27:M32)</f>
        <v>#NAME?</v>
      </c>
      <c r="N34" s="306"/>
      <c r="O34" s="234">
        <f>SUM(O27:O32)</f>
        <v>4868.9074099999998</v>
      </c>
      <c r="P34" s="235" t="e">
        <f ca="1">SUM(P27:P32)</f>
        <v>#NAME?</v>
      </c>
      <c r="Q34" s="236" t="e">
        <f ca="1">SUM(Q27:Q32)</f>
        <v>#NAME?</v>
      </c>
    </row>
    <row r="35" spans="1:17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  <c r="N35" s="304"/>
      <c r="O35" s="225"/>
      <c r="P35" s="226"/>
      <c r="Q35" s="227"/>
    </row>
    <row r="36" spans="1:17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 t="e">
        <f ca="1">+'Mgmt Summary'!M37</f>
        <v>#NAME?</v>
      </c>
      <c r="H36" s="226" t="e">
        <f ca="1">+'Mgmt Summary'!D37</f>
        <v>#NAME?</v>
      </c>
      <c r="I36" s="227" t="e">
        <f ca="1">+H36-G36</f>
        <v>#NAME?</v>
      </c>
      <c r="J36" s="228"/>
      <c r="K36" s="225" t="e">
        <f ca="1">C36-G36</f>
        <v>#NAME?</v>
      </c>
      <c r="L36" s="226" t="e">
        <f ca="1">D36-H36</f>
        <v>#NAME?</v>
      </c>
      <c r="M36" s="227" t="e">
        <f ca="1">K36-L36</f>
        <v>#NAME?</v>
      </c>
      <c r="N36" s="305"/>
      <c r="O36" s="225">
        <f>+C36-'[3]QTD Mgmt Summary'!C36</f>
        <v>0</v>
      </c>
      <c r="P36" s="226" t="e">
        <f ca="1">+G36-'[3]QTD Mgmt Summary'!G36</f>
        <v>#NAME?</v>
      </c>
      <c r="Q36" s="227" t="e">
        <f ca="1">O36-P36</f>
        <v>#NAME?</v>
      </c>
    </row>
    <row r="37" spans="1:17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  <c r="N37" s="304"/>
      <c r="O37" s="225"/>
      <c r="P37" s="226"/>
      <c r="Q37" s="227"/>
    </row>
    <row r="38" spans="1:17" s="220" customFormat="1" ht="17.25" thickBot="1">
      <c r="A38" s="230" t="s">
        <v>75</v>
      </c>
      <c r="B38" s="222"/>
      <c r="C38" s="239">
        <f>+C34-C36</f>
        <v>-24410.188999999998</v>
      </c>
      <c r="D38" s="240" t="e">
        <f ca="1">+D34-D36</f>
        <v>#NAME?</v>
      </c>
      <c r="E38" s="274" t="e">
        <f ca="1">+E34-E36</f>
        <v>#NAME?</v>
      </c>
      <c r="F38" s="241"/>
      <c r="G38" s="239" t="e">
        <f ca="1">SUM(G34:G36)</f>
        <v>#NAME?</v>
      </c>
      <c r="H38" s="240" t="e">
        <f ca="1">SUM(H34:H36)</f>
        <v>#NAME?</v>
      </c>
      <c r="I38" s="274" t="e">
        <f ca="1">SUM(I34:I36)</f>
        <v>#NAME?</v>
      </c>
      <c r="J38" s="241"/>
      <c r="K38" s="239" t="e">
        <f ca="1">SUM(K34:K36)</f>
        <v>#NAME?</v>
      </c>
      <c r="L38" s="240" t="e">
        <f ca="1">SUM(L34:L36)</f>
        <v>#NAME?</v>
      </c>
      <c r="M38" s="274" t="e">
        <f ca="1">SUM(M34:M36)</f>
        <v>#NAME?</v>
      </c>
      <c r="N38" s="306"/>
      <c r="O38" s="239">
        <f>SUM(O34:O36)</f>
        <v>4868.9074099999998</v>
      </c>
      <c r="P38" s="240" t="e">
        <f ca="1">SUM(P34:P36)</f>
        <v>#NAME?</v>
      </c>
      <c r="Q38" s="274" t="e">
        <f ca="1">SUM(Q34:Q36)</f>
        <v>#NAME?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50" t="s">
        <v>89</v>
      </c>
      <c r="C40" s="23"/>
      <c r="D40" s="22"/>
      <c r="E40" s="23"/>
      <c r="F40" s="23"/>
      <c r="I40" s="23"/>
    </row>
    <row r="41" spans="1:17">
      <c r="M41" s="187"/>
      <c r="Q41" s="187"/>
    </row>
    <row r="43" spans="1:17" ht="13.5">
      <c r="C43" s="292" t="s">
        <v>129</v>
      </c>
      <c r="D43" s="293"/>
      <c r="E43" s="294"/>
      <c r="G43" s="292" t="s">
        <v>130</v>
      </c>
      <c r="H43" s="293"/>
      <c r="I43" s="293"/>
      <c r="J43" s="294"/>
    </row>
    <row r="44" spans="1:17">
      <c r="C44" s="279" t="s">
        <v>118</v>
      </c>
      <c r="D44" s="280"/>
      <c r="E44" s="281">
        <f>+'GM-WeeklyChnge'!C37</f>
        <v>5527</v>
      </c>
      <c r="G44" s="279" t="s">
        <v>119</v>
      </c>
      <c r="H44" s="280"/>
      <c r="I44" s="282">
        <f>+'Expense Weekly Change'!E22+'Expense Weekly Change'!E21</f>
        <v>-508</v>
      </c>
      <c r="J44" s="297"/>
    </row>
    <row r="45" spans="1:17">
      <c r="C45" s="279" t="s">
        <v>120</v>
      </c>
      <c r="D45" s="280"/>
      <c r="E45" s="281">
        <f>+'GM-WeeklyChnge'!D37</f>
        <v>6.9074099999999703</v>
      </c>
      <c r="G45" s="279" t="s">
        <v>121</v>
      </c>
      <c r="H45" s="280"/>
      <c r="I45" s="282" t="e">
        <f ca="1">+'Expense Weekly Change'!E9+'Expense Weekly Change'!E10+'Expense Weekly Change'!E11+'Expense Weekly Change'!E12+'Expense Weekly Change'!E13+'Expense Weekly Change'!E14+'Expense Weekly Change'!E15+'Expense Weekly Change'!E16+'Expense Weekly Change'!E20</f>
        <v>#NAME?</v>
      </c>
      <c r="J45" s="283"/>
    </row>
    <row r="46" spans="1:17">
      <c r="C46" s="279" t="s">
        <v>122</v>
      </c>
      <c r="D46" s="280"/>
      <c r="E46" s="281">
        <f>+'GM-WeeklyChnge'!E37+'GM-WeeklyChnge'!F37+'GM-WeeklyChnge'!G37</f>
        <v>-665</v>
      </c>
      <c r="G46" s="279" t="s">
        <v>28</v>
      </c>
      <c r="H46" s="280"/>
      <c r="I46" s="282" t="e">
        <f ca="1">-G36+'[3]QTD Mgmt Summary'!$G$36</f>
        <v>#NAME?</v>
      </c>
      <c r="J46" s="283"/>
    </row>
    <row r="47" spans="1:17">
      <c r="C47" s="284"/>
      <c r="D47" s="285"/>
      <c r="E47" s="286"/>
      <c r="G47" s="284"/>
      <c r="H47" s="285"/>
      <c r="I47" s="287"/>
      <c r="J47" s="288"/>
    </row>
    <row r="48" spans="1:17" ht="13.5">
      <c r="C48" s="289" t="s">
        <v>123</v>
      </c>
      <c r="D48" s="290"/>
      <c r="E48" s="291">
        <f>SUM(E44:E47)</f>
        <v>4868.9074099999998</v>
      </c>
      <c r="G48" s="289" t="s">
        <v>123</v>
      </c>
      <c r="H48" s="290"/>
      <c r="I48" s="295" t="e">
        <f ca="1">SUM(I44:I47)</f>
        <v>#NAME?</v>
      </c>
      <c r="J48" s="296"/>
    </row>
    <row r="50" spans="3:10" ht="13.5">
      <c r="C50" s="292" t="s">
        <v>127</v>
      </c>
      <c r="D50" s="293"/>
      <c r="E50" s="294"/>
      <c r="G50" s="292" t="s">
        <v>128</v>
      </c>
      <c r="H50" s="293"/>
      <c r="I50" s="293"/>
      <c r="J50" s="294"/>
    </row>
    <row r="51" spans="3:10">
      <c r="C51" s="279" t="s">
        <v>124</v>
      </c>
      <c r="D51" s="280"/>
      <c r="E51" s="281">
        <f>+[3]GrossMargin!$I$38</f>
        <v>-29279.096409999998</v>
      </c>
      <c r="G51" s="279" t="s">
        <v>124</v>
      </c>
      <c r="H51" s="280"/>
      <c r="I51" s="282">
        <f>+'[3]QTD Mgmt Summary'!$G$38</f>
        <v>48752.577000000005</v>
      </c>
      <c r="J51" s="297"/>
    </row>
    <row r="52" spans="3:10">
      <c r="C52" s="279" t="s">
        <v>125</v>
      </c>
      <c r="D52" s="280"/>
      <c r="E52" s="281">
        <f>+GrossMargin!I38</f>
        <v>-24410.188999999998</v>
      </c>
      <c r="G52" s="279" t="s">
        <v>125</v>
      </c>
      <c r="H52" s="280"/>
      <c r="I52" s="282" t="e">
        <f ca="1">+G38</f>
        <v>#NAME?</v>
      </c>
      <c r="J52" s="283"/>
    </row>
    <row r="53" spans="3:10">
      <c r="C53" s="279"/>
      <c r="D53" s="280"/>
      <c r="E53" s="281"/>
      <c r="G53" s="279"/>
      <c r="H53" s="280"/>
      <c r="I53" s="282"/>
      <c r="J53" s="283"/>
    </row>
    <row r="54" spans="3:10" ht="13.5">
      <c r="C54" s="289" t="s">
        <v>126</v>
      </c>
      <c r="D54" s="290"/>
      <c r="E54" s="291">
        <f>+E52-E51</f>
        <v>4868.9074099999998</v>
      </c>
      <c r="G54" s="289" t="s">
        <v>126</v>
      </c>
      <c r="H54" s="290"/>
      <c r="I54" s="295" t="e">
        <f ca="1">+I52-I51</f>
        <v>#NAME?</v>
      </c>
      <c r="J54" s="296"/>
    </row>
    <row r="55" spans="3:10">
      <c r="I55" s="166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topLeftCell="A3" zoomScaleNormal="100" workbookViewId="0">
      <selection activeCell="K34" sqref="K34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2" t="s">
        <v>70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60"/>
    </row>
    <row r="2" spans="1:24" ht="16.5">
      <c r="A2" s="313" t="s">
        <v>91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61"/>
    </row>
    <row r="3" spans="1:24" ht="13.5">
      <c r="A3" s="314" t="s">
        <v>149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9" t="s">
        <v>8</v>
      </c>
      <c r="D5" s="310"/>
      <c r="E5" s="311"/>
      <c r="G5" s="309" t="s">
        <v>41</v>
      </c>
      <c r="H5" s="310"/>
      <c r="I5" s="310"/>
      <c r="J5" s="310"/>
      <c r="K5" s="310"/>
      <c r="L5" s="310"/>
      <c r="M5" s="310"/>
      <c r="N5" s="310"/>
      <c r="O5" s="311"/>
      <c r="Q5" s="309" t="s">
        <v>36</v>
      </c>
      <c r="R5" s="310"/>
      <c r="S5" s="310"/>
      <c r="T5" s="310"/>
      <c r="U5" s="310"/>
      <c r="V5" s="311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-22106</v>
      </c>
      <c r="H9" s="36">
        <f>GrossMargin!J10</f>
        <v>0</v>
      </c>
      <c r="I9" s="36">
        <f>GrossMargin!K10</f>
        <v>0</v>
      </c>
      <c r="J9" s="136">
        <f t="shared" ref="J9:J15" si="1">SUM(G9:I9)</f>
        <v>-22106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-36798</v>
      </c>
      <c r="P9" s="37"/>
      <c r="Q9" s="133">
        <f t="shared" ref="Q9:Q15" si="3">+J9-C9</f>
        <v>-52106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-52706</v>
      </c>
      <c r="W9" s="32"/>
      <c r="X9" s="166"/>
    </row>
    <row r="10" spans="1:24" ht="13.5" customHeight="1">
      <c r="A10" s="107" t="s">
        <v>1</v>
      </c>
      <c r="B10" s="35"/>
      <c r="C10" s="133" t="e">
        <f ca="1">GrossMargin!M11</f>
        <v>#NAME?</v>
      </c>
      <c r="D10" s="36" t="e">
        <f ca="1">Expenses!E10+'CapChrg-AllocExp'!E11+'CapChrg-AllocExp'!L11</f>
        <v>#NAME?</v>
      </c>
      <c r="E10" s="135" t="e">
        <f t="shared" ca="1" si="0"/>
        <v>#NAME?</v>
      </c>
      <c r="F10" s="36"/>
      <c r="G10" s="133">
        <f>GrossMargin!I11</f>
        <v>2068.8110000000001</v>
      </c>
      <c r="H10" s="36">
        <f>GrossMargin!J11</f>
        <v>0</v>
      </c>
      <c r="I10" s="36">
        <f>GrossMargin!K11</f>
        <v>0</v>
      </c>
      <c r="J10" s="136">
        <f t="shared" si="1"/>
        <v>2068.8110000000001</v>
      </c>
      <c r="K10" s="137"/>
      <c r="L10" s="133">
        <f>'CapChrg-AllocExp'!D11</f>
        <v>658</v>
      </c>
      <c r="M10" s="36">
        <f>Expenses!D10</f>
        <v>2059.6999999999998</v>
      </c>
      <c r="N10" s="36" t="e">
        <f ca="1">'CapChrg-AllocExp'!K11</f>
        <v>#NAME?</v>
      </c>
      <c r="O10" s="136" t="e">
        <f t="shared" ca="1" si="2"/>
        <v>#NAME?</v>
      </c>
      <c r="P10" s="37"/>
      <c r="Q10" s="133" t="e">
        <f t="shared" ca="1" si="3"/>
        <v>#NAME?</v>
      </c>
      <c r="R10" s="36"/>
      <c r="S10" s="36" t="e">
        <f ca="1">'CapChrg-AllocExp'!F11</f>
        <v>#NAME?</v>
      </c>
      <c r="T10" s="36" t="e">
        <f ca="1">Expenses!F10</f>
        <v>#NAME?</v>
      </c>
      <c r="U10" s="36" t="e">
        <f ca="1">'CapChrg-AllocExp'!M11</f>
        <v>#NAME?</v>
      </c>
      <c r="V10" s="135" t="e">
        <f t="shared" ca="1" si="4"/>
        <v>#NAME?</v>
      </c>
      <c r="W10" s="32"/>
    </row>
    <row r="11" spans="1:24" ht="13.5" customHeight="1">
      <c r="A11" s="107" t="s">
        <v>44</v>
      </c>
      <c r="B11" s="35"/>
      <c r="C11" s="133" t="e">
        <f ca="1">GrossMargin!M12</f>
        <v>#NAME?</v>
      </c>
      <c r="D11" s="36" t="e">
        <f ca="1">Expenses!E11+'CapChrg-AllocExp'!E12+'CapChrg-AllocExp'!L12</f>
        <v>#NAME?</v>
      </c>
      <c r="E11" s="135" t="e">
        <f t="shared" ca="1" si="0"/>
        <v>#NAME?</v>
      </c>
      <c r="F11" s="36"/>
      <c r="G11" s="133">
        <f>GrossMargin!I12</f>
        <v>849</v>
      </c>
      <c r="H11" s="36">
        <f>GrossMargin!J12</f>
        <v>0</v>
      </c>
      <c r="I11" s="36">
        <f>GrossMargin!K12</f>
        <v>0</v>
      </c>
      <c r="J11" s="136">
        <f t="shared" si="1"/>
        <v>849</v>
      </c>
      <c r="K11" s="137"/>
      <c r="L11" s="133" t="e">
        <f ca="1">'CapChrg-AllocExp'!D12</f>
        <v>#NAME?</v>
      </c>
      <c r="M11" s="36" t="e">
        <f ca="1">Expenses!D11</f>
        <v>#NAME?</v>
      </c>
      <c r="N11" s="36" t="e">
        <f ca="1">'CapChrg-AllocExp'!K12</f>
        <v>#NAME?</v>
      </c>
      <c r="O11" s="136" t="e">
        <f t="shared" ca="1" si="2"/>
        <v>#NAME?</v>
      </c>
      <c r="P11" s="37"/>
      <c r="Q11" s="133" t="e">
        <f t="shared" ca="1" si="3"/>
        <v>#NAME?</v>
      </c>
      <c r="R11" s="36"/>
      <c r="S11" s="36" t="e">
        <f ca="1">'CapChrg-AllocExp'!F12</f>
        <v>#NAME?</v>
      </c>
      <c r="T11" s="36" t="e">
        <f ca="1">Expenses!F11</f>
        <v>#NAME?</v>
      </c>
      <c r="U11" s="36" t="e">
        <f ca="1">'CapChrg-AllocExp'!M12</f>
        <v>#NAME?</v>
      </c>
      <c r="V11" s="135" t="e">
        <f t="shared" ca="1" si="4"/>
        <v>#NAME?</v>
      </c>
      <c r="W11" s="32"/>
    </row>
    <row r="12" spans="1:24" ht="13.5" customHeight="1">
      <c r="A12" s="107" t="s">
        <v>64</v>
      </c>
      <c r="B12" s="35"/>
      <c r="C12" s="133" t="e">
        <f ca="1">GrossMargin!M13</f>
        <v>#NAME?</v>
      </c>
      <c r="D12" s="36" t="e">
        <f ca="1">Expenses!E12+'CapChrg-AllocExp'!E13+'CapChrg-AllocExp'!L13</f>
        <v>#NAME?</v>
      </c>
      <c r="E12" s="135" t="e">
        <f t="shared" ca="1" si="0"/>
        <v>#NAME?</v>
      </c>
      <c r="F12" s="36"/>
      <c r="G12" s="133">
        <f>GrossMargin!I13</f>
        <v>-201</v>
      </c>
      <c r="H12" s="36">
        <f>GrossMargin!J13</f>
        <v>0</v>
      </c>
      <c r="I12" s="36">
        <f>GrossMargin!K13</f>
        <v>0</v>
      </c>
      <c r="J12" s="136">
        <f t="shared" si="1"/>
        <v>-201</v>
      </c>
      <c r="K12" s="137"/>
      <c r="L12" s="133" t="e">
        <f ca="1">'CapChrg-AllocExp'!D13</f>
        <v>#NAME?</v>
      </c>
      <c r="M12" s="36" t="e">
        <f ca="1">Expenses!D12</f>
        <v>#NAME?</v>
      </c>
      <c r="N12" s="36" t="e">
        <f ca="1">'CapChrg-AllocExp'!K13</f>
        <v>#NAME?</v>
      </c>
      <c r="O12" s="136" t="e">
        <f t="shared" ca="1" si="2"/>
        <v>#NAME?</v>
      </c>
      <c r="P12" s="37"/>
      <c r="Q12" s="133" t="e">
        <f t="shared" ca="1" si="3"/>
        <v>#NAME?</v>
      </c>
      <c r="R12" s="36"/>
      <c r="S12" s="36" t="e">
        <f ca="1">'CapChrg-AllocExp'!F13</f>
        <v>#NAME?</v>
      </c>
      <c r="T12" s="36" t="e">
        <f ca="1">Expenses!F12</f>
        <v>#NAME?</v>
      </c>
      <c r="U12" s="36" t="e">
        <f ca="1">'CapChrg-AllocExp'!M13</f>
        <v>#NAME?</v>
      </c>
      <c r="V12" s="135" t="e">
        <f t="shared" ca="1" si="4"/>
        <v>#NAME?</v>
      </c>
      <c r="W12" s="32"/>
    </row>
    <row r="13" spans="1:24" ht="13.5" customHeight="1">
      <c r="A13" s="107" t="s">
        <v>71</v>
      </c>
      <c r="B13" s="35"/>
      <c r="C13" s="133" t="e">
        <f ca="1">GrossMargin!M14</f>
        <v>#NAME?</v>
      </c>
      <c r="D13" s="36" t="e">
        <f ca="1">Expenses!E13+'CapChrg-AllocExp'!E14+'CapChrg-AllocExp'!L14</f>
        <v>#NAME?</v>
      </c>
      <c r="E13" s="135" t="e">
        <f t="shared" ca="1" si="0"/>
        <v>#NAME?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 t="e">
        <f ca="1">Expenses!D13</f>
        <v>#NAME?</v>
      </c>
      <c r="N13" s="36" t="e">
        <f ca="1">'CapChrg-AllocExp'!K14</f>
        <v>#NAME?</v>
      </c>
      <c r="O13" s="136" t="e">
        <f t="shared" ca="1" si="2"/>
        <v>#NAME?</v>
      </c>
      <c r="P13" s="37"/>
      <c r="Q13" s="133" t="e">
        <f t="shared" ca="1" si="3"/>
        <v>#NAME?</v>
      </c>
      <c r="R13" s="36"/>
      <c r="S13" s="36" t="e">
        <f ca="1">'CapChrg-AllocExp'!F14</f>
        <v>#NAME?</v>
      </c>
      <c r="T13" s="36" t="e">
        <f ca="1">Expenses!F13</f>
        <v>#NAME?</v>
      </c>
      <c r="U13" s="36" t="e">
        <f ca="1">'CapChrg-AllocExp'!M14</f>
        <v>#NAME?</v>
      </c>
      <c r="V13" s="135" t="e">
        <f t="shared" ca="1" si="4"/>
        <v>#NAME?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8983.2109999999993</v>
      </c>
      <c r="D14" s="140" t="e">
        <f ca="1">+Expenses!E14+'CapChrg-AllocExp'!E15+'CapChrg-AllocExp'!L15</f>
        <v>#NAME?</v>
      </c>
      <c r="E14" s="164" t="e">
        <f t="shared" ca="1" si="0"/>
        <v>#NAME?</v>
      </c>
      <c r="F14" s="140"/>
      <c r="G14" s="139">
        <f>+GrossMargin!I20</f>
        <v>-2657</v>
      </c>
      <c r="H14" s="140">
        <f>GrossMargin!J15</f>
        <v>0</v>
      </c>
      <c r="I14" s="140">
        <f>+GrossMargin!K20</f>
        <v>0</v>
      </c>
      <c r="J14" s="179">
        <f t="shared" si="1"/>
        <v>-2657</v>
      </c>
      <c r="K14" s="180"/>
      <c r="L14" s="139" t="e">
        <f ca="1">+'CapChrg-AllocExp'!D15</f>
        <v>#NAME?</v>
      </c>
      <c r="M14" s="36">
        <f>Expenses!D14</f>
        <v>1513.1770000000001</v>
      </c>
      <c r="N14" s="140">
        <f>+'CapChrg-AllocExp'!K15</f>
        <v>1897.0730000000001</v>
      </c>
      <c r="O14" s="179" t="e">
        <f t="shared" ca="1" si="2"/>
        <v>#NAME?</v>
      </c>
      <c r="P14" s="181"/>
      <c r="Q14" s="139">
        <f t="shared" si="3"/>
        <v>-11640.210999999999</v>
      </c>
      <c r="R14" s="140"/>
      <c r="S14" s="140" t="e">
        <f ca="1">+'CapChrg-AllocExp'!F15</f>
        <v>#NAME?</v>
      </c>
      <c r="T14" s="36">
        <f>Expenses!F14</f>
        <v>0</v>
      </c>
      <c r="U14" s="140">
        <f>+'CapChrg-AllocExp'!M15</f>
        <v>0</v>
      </c>
      <c r="V14" s="164" t="e">
        <f t="shared" ca="1" si="4"/>
        <v>#NAME?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+GrossMargin!M21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+GrossMargin!I21</f>
        <v>0</v>
      </c>
      <c r="H15" s="140">
        <f>GrossMargin!J16</f>
        <v>0</v>
      </c>
      <c r="I15" s="140">
        <f>+GrossMargin!K21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980</v>
      </c>
      <c r="N15" s="140">
        <f>+'CapChrg-AllocExp'!K16</f>
        <v>0</v>
      </c>
      <c r="O15" s="179">
        <f t="shared" si="2"/>
        <v>-980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-980</v>
      </c>
      <c r="U15" s="140">
        <f>+'CapChrg-AllocExp'!M16</f>
        <v>0</v>
      </c>
      <c r="V15" s="164">
        <f t="shared" si="4"/>
        <v>-980</v>
      </c>
      <c r="W15" s="63"/>
      <c r="X15" s="169"/>
    </row>
    <row r="16" spans="1:24" ht="13.5" customHeight="1">
      <c r="A16" s="107" t="s">
        <v>11</v>
      </c>
      <c r="B16" s="35"/>
      <c r="C16" s="133">
        <f>+GrossMargin!M23</f>
        <v>10100</v>
      </c>
      <c r="D16" s="36">
        <v>0</v>
      </c>
      <c r="E16" s="135">
        <f>C16-D16</f>
        <v>10100</v>
      </c>
      <c r="F16" s="36"/>
      <c r="G16" s="133">
        <f>GrossMargin!I23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GrossMargin!M22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GrossMargin!I22</f>
        <v>0</v>
      </c>
      <c r="H17" s="36">
        <f>GrossMargin!J22</f>
        <v>0</v>
      </c>
      <c r="I17" s="36">
        <f>GrossMargin!K22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750</v>
      </c>
      <c r="N17" s="36">
        <f>'CapChrg-AllocExp'!K24</f>
        <v>0</v>
      </c>
      <c r="O17" s="136">
        <f>J17-K17-M17-N17-L17</f>
        <v>-750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-750</v>
      </c>
      <c r="U17" s="36">
        <f>'CapChrg-AllocExp'!M24</f>
        <v>0</v>
      </c>
      <c r="V17" s="135">
        <f>ROUND(SUM(Q17:U17),0)</f>
        <v>-750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107</v>
      </c>
      <c r="B19" s="35"/>
      <c r="C19" s="43" t="e">
        <f ca="1">SUM(C9:C18)</f>
        <v>#NAME?</v>
      </c>
      <c r="D19" s="44" t="e">
        <f ca="1">SUM(D9:D18)</f>
        <v>#NAME?</v>
      </c>
      <c r="E19" s="45" t="e">
        <f ca="1">SUM(E9:E18)</f>
        <v>#NAME?</v>
      </c>
      <c r="F19" s="36"/>
      <c r="G19" s="43">
        <f t="shared" ref="G19:O19" si="5">SUM(G9:G18)</f>
        <v>-22046.188999999998</v>
      </c>
      <c r="H19" s="44">
        <f t="shared" si="5"/>
        <v>0</v>
      </c>
      <c r="I19" s="45">
        <f t="shared" si="5"/>
        <v>0</v>
      </c>
      <c r="J19" s="46">
        <f t="shared" si="5"/>
        <v>-22046.188999999998</v>
      </c>
      <c r="K19" s="44">
        <f t="shared" si="5"/>
        <v>0</v>
      </c>
      <c r="L19" s="43" t="e">
        <f t="shared" ca="1" si="5"/>
        <v>#NAME?</v>
      </c>
      <c r="M19" s="44" t="e">
        <f t="shared" ca="1" si="5"/>
        <v>#NAME?</v>
      </c>
      <c r="N19" s="44" t="e">
        <f t="shared" ca="1" si="5"/>
        <v>#NAME?</v>
      </c>
      <c r="O19" s="46" t="e">
        <f t="shared" ca="1" si="5"/>
        <v>#NAME?</v>
      </c>
      <c r="P19" s="180"/>
      <c r="Q19" s="43" t="e">
        <f t="shared" ref="Q19:V19" ca="1" si="6">SUM(Q9:Q18)</f>
        <v>#NAME?</v>
      </c>
      <c r="R19" s="44">
        <f t="shared" si="6"/>
        <v>0</v>
      </c>
      <c r="S19" s="44" t="e">
        <f t="shared" ca="1" si="6"/>
        <v>#NAME?</v>
      </c>
      <c r="T19" s="44" t="e">
        <f t="shared" ca="1" si="6"/>
        <v>#NAME?</v>
      </c>
      <c r="U19" s="44" t="e">
        <f t="shared" ca="1" si="6"/>
        <v>#NAME?</v>
      </c>
      <c r="V19" s="45" t="e">
        <f t="shared" ca="1" si="6"/>
        <v>#NAME?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+GrossMargin!M27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+GrossMargin!I27</f>
        <v>86</v>
      </c>
      <c r="H21" s="140">
        <f>GrossMargin!J17</f>
        <v>0</v>
      </c>
      <c r="I21" s="140">
        <f>+GrossMargin!K27</f>
        <v>0</v>
      </c>
      <c r="J21" s="179">
        <f>SUM(G21:I21)</f>
        <v>86</v>
      </c>
      <c r="K21" s="180"/>
      <c r="L21" s="139">
        <f>+'CapChrg-AllocExp'!D18</f>
        <v>-97</v>
      </c>
      <c r="M21" s="36">
        <f>Expenses!D20</f>
        <v>2873</v>
      </c>
      <c r="N21" s="140">
        <f>+'CapChrg-AllocExp'!K18</f>
        <v>0</v>
      </c>
      <c r="O21" s="179">
        <f>J21-K21-M21-N21-L21</f>
        <v>-2690</v>
      </c>
      <c r="P21" s="181"/>
      <c r="Q21" s="139">
        <f>+J21-C21</f>
        <v>-1058</v>
      </c>
      <c r="R21" s="140"/>
      <c r="S21" s="140">
        <f>+'CapChrg-AllocExp'!F18</f>
        <v>82</v>
      </c>
      <c r="T21" s="36">
        <f>Expenses!F20</f>
        <v>-1488</v>
      </c>
      <c r="U21" s="140">
        <f>+'CapChrg-AllocExp'!M18</f>
        <v>0</v>
      </c>
      <c r="V21" s="164">
        <f>ROUND(SUM(Q21:U21),0)</f>
        <v>-2464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+GrossMargin!M28</f>
        <v>4617</v>
      </c>
      <c r="D22" s="140">
        <f>+Expenses!E21+'CapChrg-AllocExp'!E19+'CapChrg-AllocExp'!L19</f>
        <v>2188</v>
      </c>
      <c r="E22" s="164">
        <f>C22-D22</f>
        <v>2429</v>
      </c>
      <c r="F22" s="140"/>
      <c r="G22" s="139">
        <f>+GrossMargin!I28</f>
        <v>0</v>
      </c>
      <c r="H22" s="140">
        <f>GrossMargin!J18</f>
        <v>0</v>
      </c>
      <c r="I22" s="140">
        <f>+GrossMargin!K28</f>
        <v>0</v>
      </c>
      <c r="J22" s="179">
        <f>SUM(G22:I22)</f>
        <v>0</v>
      </c>
      <c r="K22" s="180"/>
      <c r="L22" s="139">
        <f>+'CapChrg-AllocExp'!D19</f>
        <v>652</v>
      </c>
      <c r="M22" s="36">
        <f>Expenses!D21</f>
        <v>2044</v>
      </c>
      <c r="N22" s="140">
        <f>+'CapChrg-AllocExp'!K19</f>
        <v>0</v>
      </c>
      <c r="O22" s="179">
        <f>J22-K22-M22-N22-L22</f>
        <v>-2696</v>
      </c>
      <c r="P22" s="181"/>
      <c r="Q22" s="139">
        <f>+J22-C22</f>
        <v>-4617</v>
      </c>
      <c r="R22" s="140"/>
      <c r="S22" s="140">
        <f>+'CapChrg-AllocExp'!F19</f>
        <v>0</v>
      </c>
      <c r="T22" s="36">
        <f>Expenses!F21</f>
        <v>-508</v>
      </c>
      <c r="U22" s="140">
        <f>+'CapChrg-AllocExp'!M19</f>
        <v>0</v>
      </c>
      <c r="V22" s="164">
        <f>ROUND(SUM(Q22:U22),0)</f>
        <v>-5125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+GrossMargin!M29</f>
        <v>530</v>
      </c>
      <c r="D23" s="140">
        <f>+Expenses!E22+'CapChrg-AllocExp'!E20+'CapChrg-AllocExp'!L20</f>
        <v>2146</v>
      </c>
      <c r="E23" s="164">
        <f>C23-D23</f>
        <v>-1616</v>
      </c>
      <c r="F23" s="140"/>
      <c r="G23" s="139">
        <f>+GrossMargin!I29</f>
        <v>-1930</v>
      </c>
      <c r="H23" s="140">
        <f>GrossMargin!J19</f>
        <v>0</v>
      </c>
      <c r="I23" s="140">
        <f>+GrossMargin!K29</f>
        <v>0</v>
      </c>
      <c r="J23" s="179">
        <f>SUM(G23:I23)</f>
        <v>-1930</v>
      </c>
      <c r="K23" s="180"/>
      <c r="L23" s="139">
        <f>+'CapChrg-AllocExp'!D20</f>
        <v>0</v>
      </c>
      <c r="M23" s="36">
        <f>Expenses!D22</f>
        <v>1056</v>
      </c>
      <c r="N23" s="140">
        <f>+'CapChrg-AllocExp'!K20</f>
        <v>0</v>
      </c>
      <c r="O23" s="179">
        <f>J23-K23-M23-N23-L23</f>
        <v>-2986</v>
      </c>
      <c r="P23" s="181"/>
      <c r="Q23" s="139">
        <f>+J23-C23</f>
        <v>-2460</v>
      </c>
      <c r="R23" s="140"/>
      <c r="S23" s="140">
        <f>+'CapChrg-AllocExp'!F20</f>
        <v>545</v>
      </c>
      <c r="T23" s="36">
        <f>Expenses!F22</f>
        <v>545</v>
      </c>
      <c r="U23" s="140">
        <f>+'CapChrg-AllocExp'!M20</f>
        <v>0</v>
      </c>
      <c r="V23" s="164">
        <f>ROUND(SUM(Q23:U23),0)</f>
        <v>-1370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115</v>
      </c>
      <c r="B25" s="35"/>
      <c r="C25" s="43">
        <f>SUM(C21:C24)</f>
        <v>6291</v>
      </c>
      <c r="D25" s="44">
        <f>SUM(D21:D24)</f>
        <v>5704</v>
      </c>
      <c r="E25" s="45">
        <f>SUM(E21:E24)</f>
        <v>587</v>
      </c>
      <c r="F25" s="36">
        <f>SUM(F19:F23)</f>
        <v>0</v>
      </c>
      <c r="G25" s="43">
        <f t="shared" ref="G25:O25" si="7">SUM(G21:G24)</f>
        <v>-1844</v>
      </c>
      <c r="H25" s="44">
        <f t="shared" si="7"/>
        <v>0</v>
      </c>
      <c r="I25" s="45">
        <f t="shared" si="7"/>
        <v>0</v>
      </c>
      <c r="J25" s="46">
        <f t="shared" si="7"/>
        <v>-1844</v>
      </c>
      <c r="K25" s="44">
        <f t="shared" si="7"/>
        <v>0</v>
      </c>
      <c r="L25" s="43">
        <f t="shared" si="7"/>
        <v>555</v>
      </c>
      <c r="M25" s="44">
        <f t="shared" si="7"/>
        <v>5973</v>
      </c>
      <c r="N25" s="44">
        <f t="shared" si="7"/>
        <v>0</v>
      </c>
      <c r="O25" s="46">
        <f t="shared" si="7"/>
        <v>-8372</v>
      </c>
      <c r="P25" s="180"/>
      <c r="Q25" s="43">
        <f t="shared" ref="Q25:V25" si="8">SUM(Q21:Q24)</f>
        <v>-8135</v>
      </c>
      <c r="R25" s="44">
        <f t="shared" si="8"/>
        <v>0</v>
      </c>
      <c r="S25" s="44">
        <f t="shared" si="8"/>
        <v>627</v>
      </c>
      <c r="T25" s="44">
        <f t="shared" si="8"/>
        <v>-1451</v>
      </c>
      <c r="U25" s="44">
        <f t="shared" si="8"/>
        <v>0</v>
      </c>
      <c r="V25" s="45">
        <f t="shared" si="8"/>
        <v>-8959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 ca="1">+C19+C25</f>
        <v>#NAME?</v>
      </c>
      <c r="D28" s="44" t="e">
        <f ca="1">+D19+D25</f>
        <v>#NAME?</v>
      </c>
      <c r="E28" s="45" t="e">
        <f ca="1">+E19+E25</f>
        <v>#NAME?</v>
      </c>
      <c r="F28" s="36">
        <f>SUM(F25:F26)</f>
        <v>0</v>
      </c>
      <c r="G28" s="43">
        <f t="shared" ref="G28:O28" si="9">+G19+G25</f>
        <v>-23890.188999999998</v>
      </c>
      <c r="H28" s="44">
        <f t="shared" si="9"/>
        <v>0</v>
      </c>
      <c r="I28" s="45">
        <f t="shared" si="9"/>
        <v>0</v>
      </c>
      <c r="J28" s="46">
        <f t="shared" si="9"/>
        <v>-23890.188999999998</v>
      </c>
      <c r="K28" s="44">
        <f t="shared" si="9"/>
        <v>0</v>
      </c>
      <c r="L28" s="43" t="e">
        <f t="shared" ca="1" si="9"/>
        <v>#NAME?</v>
      </c>
      <c r="M28" s="44" t="e">
        <f t="shared" ca="1" si="9"/>
        <v>#NAME?</v>
      </c>
      <c r="N28" s="44" t="e">
        <f t="shared" ca="1" si="9"/>
        <v>#NAME?</v>
      </c>
      <c r="O28" s="46" t="e">
        <f t="shared" ca="1" si="9"/>
        <v>#NAME?</v>
      </c>
      <c r="P28" s="180"/>
      <c r="Q28" s="43" t="e">
        <f t="shared" ref="Q28:V28" ca="1" si="10">+Q19+Q25</f>
        <v>#NAME?</v>
      </c>
      <c r="R28" s="44">
        <f t="shared" si="10"/>
        <v>0</v>
      </c>
      <c r="S28" s="44" t="e">
        <f t="shared" ca="1" si="10"/>
        <v>#NAME?</v>
      </c>
      <c r="T28" s="44" t="e">
        <f t="shared" ca="1" si="10"/>
        <v>#NAME?</v>
      </c>
      <c r="U28" s="44" t="e">
        <f t="shared" ca="1" si="10"/>
        <v>#NAME?</v>
      </c>
      <c r="V28" s="45" t="e">
        <f t="shared" ca="1" si="10"/>
        <v>#NAME?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114</v>
      </c>
      <c r="B30" s="35"/>
      <c r="C30" s="133">
        <v>0</v>
      </c>
      <c r="D30" s="36">
        <f>Expenses!E29</f>
        <v>27218</v>
      </c>
      <c r="E30" s="135">
        <f>C30-D30</f>
        <v>-27218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 t="e">
        <f ca="1">+Expenses!D29</f>
        <v>#NAME?</v>
      </c>
      <c r="N30" s="36">
        <v>0</v>
      </c>
      <c r="O30" s="136" t="e">
        <f ca="1">J30-K30-M30-N30-L30</f>
        <v>#NAME?</v>
      </c>
      <c r="P30" s="37"/>
      <c r="Q30" s="133">
        <f>+J30-C30</f>
        <v>0</v>
      </c>
      <c r="R30" s="36"/>
      <c r="S30" s="36">
        <v>0</v>
      </c>
      <c r="T30" s="36" t="e">
        <f ca="1">Expenses!F29</f>
        <v>#NAME?</v>
      </c>
      <c r="U30" s="36">
        <v>0</v>
      </c>
      <c r="V30" s="135" t="e">
        <f ca="1">ROUND(SUM(Q30:U30),0)</f>
        <v>#NAME?</v>
      </c>
      <c r="W30" s="32"/>
    </row>
    <row r="31" spans="1:24" ht="13.5" customHeight="1">
      <c r="A31" s="107" t="s">
        <v>104</v>
      </c>
      <c r="B31" s="35"/>
      <c r="C31" s="133">
        <v>0</v>
      </c>
      <c r="D31" s="36" t="e">
        <f ca="1">+'CapChrg-AllocExp'!L29</f>
        <v>#NAME?</v>
      </c>
      <c r="E31" s="135" t="e">
        <f ca="1">C31-D31</f>
        <v>#NAME?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 t="e">
        <f ca="1">+'CapChrg-AllocExp'!K29</f>
        <v>#NAME?</v>
      </c>
      <c r="O31" s="136" t="e">
        <f ca="1">J31-K31-M31-N31-L31</f>
        <v>#NAME?</v>
      </c>
      <c r="P31" s="37"/>
      <c r="Q31" s="133">
        <f>+J31-C31</f>
        <v>0</v>
      </c>
      <c r="R31" s="36"/>
      <c r="S31" s="36">
        <v>0</v>
      </c>
      <c r="T31" s="36" t="e">
        <f ca="1">-T30</f>
        <v>#NAME?</v>
      </c>
      <c r="U31" s="36">
        <v>0</v>
      </c>
      <c r="V31" s="135" t="e">
        <f ca="1">ROUND(SUM(Q31:U31),0)</f>
        <v>#NAME?</v>
      </c>
      <c r="W31" s="32"/>
    </row>
    <row r="32" spans="1:24" ht="13.5" customHeight="1">
      <c r="A32" s="107" t="s">
        <v>10</v>
      </c>
      <c r="B32" s="35"/>
      <c r="C32" s="133">
        <f>GrossMargin!M36</f>
        <v>-520</v>
      </c>
      <c r="D32" s="36">
        <f>Expenses!E30</f>
        <v>0</v>
      </c>
      <c r="E32" s="135">
        <f>C32-D32</f>
        <v>-520</v>
      </c>
      <c r="F32" s="137"/>
      <c r="G32" s="133">
        <f>GrossMargin!I36</f>
        <v>-520</v>
      </c>
      <c r="H32" s="36">
        <f>GrossMargin!J36</f>
        <v>0</v>
      </c>
      <c r="I32" s="36">
        <f>GrossMargin!K36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 t="e">
        <f ca="1">'CapChrg-AllocExp'!E28</f>
        <v>#NAME?</v>
      </c>
      <c r="E33" s="135" t="e">
        <f ca="1">C33-D33</f>
        <v>#NAME?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 t="e">
        <f ca="1">'CapChrg-AllocExp'!D28</f>
        <v>#NAME?</v>
      </c>
      <c r="M33" s="36">
        <v>0</v>
      </c>
      <c r="N33" s="36">
        <v>0</v>
      </c>
      <c r="O33" s="136" t="e">
        <f ca="1">J33-K33-M33-N33-L33</f>
        <v>#NAME?</v>
      </c>
      <c r="P33" s="37"/>
      <c r="Q33" s="133">
        <f>+J33-C33</f>
        <v>0</v>
      </c>
      <c r="R33" s="36"/>
      <c r="S33" s="36" t="e">
        <f ca="1">'CapChrg-AllocExp'!F28</f>
        <v>#NAME?</v>
      </c>
      <c r="T33" s="36">
        <v>0</v>
      </c>
      <c r="U33" s="36">
        <v>0</v>
      </c>
      <c r="V33" s="135" t="e">
        <f ca="1">ROUND(SUM(Q33:U33),0)</f>
        <v>#NAME?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 ca="1">SUM(C28:C34)</f>
        <v>#NAME?</v>
      </c>
      <c r="D35" s="44" t="e">
        <f ca="1">SUM(D28:D34)</f>
        <v>#NAME?</v>
      </c>
      <c r="E35" s="45" t="e">
        <f ca="1">SUM(E28:E34)</f>
        <v>#NAME?</v>
      </c>
      <c r="F35" s="36"/>
      <c r="G35" s="43">
        <f t="shared" ref="G35:N35" si="11">SUM(G28:G34)</f>
        <v>-24410.188999999998</v>
      </c>
      <c r="H35" s="44">
        <f t="shared" si="11"/>
        <v>0</v>
      </c>
      <c r="I35" s="44">
        <f t="shared" si="11"/>
        <v>0</v>
      </c>
      <c r="J35" s="46">
        <f t="shared" si="11"/>
        <v>-24410.188999999998</v>
      </c>
      <c r="K35" s="44">
        <f t="shared" si="11"/>
        <v>0</v>
      </c>
      <c r="L35" s="43" t="e">
        <f t="shared" ca="1" si="11"/>
        <v>#NAME?</v>
      </c>
      <c r="M35" s="44" t="e">
        <f t="shared" ca="1" si="11"/>
        <v>#NAME?</v>
      </c>
      <c r="N35" s="44" t="e">
        <f t="shared" ca="1" si="11"/>
        <v>#NAME?</v>
      </c>
      <c r="O35" s="46" t="e">
        <f ca="1">J35-K35-M35-N35-L35</f>
        <v>#NAME?</v>
      </c>
      <c r="P35" s="37"/>
      <c r="Q35" s="43" t="e">
        <f t="shared" ref="Q35:V35" ca="1" si="12">SUM(Q28:Q34)</f>
        <v>#NAME?</v>
      </c>
      <c r="R35" s="44">
        <f t="shared" si="12"/>
        <v>0</v>
      </c>
      <c r="S35" s="44" t="e">
        <f t="shared" ca="1" si="12"/>
        <v>#NAME?</v>
      </c>
      <c r="T35" s="44" t="e">
        <f t="shared" ca="1" si="12"/>
        <v>#NAME?</v>
      </c>
      <c r="U35" s="44" t="e">
        <f t="shared" ca="1" si="12"/>
        <v>#NAME?</v>
      </c>
      <c r="V35" s="45" t="e">
        <f t="shared" ca="1" si="12"/>
        <v>#NAME?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 t="e">
        <f ca="1">+'IntIncome-Expense'!H34</f>
        <v>#NAME?</v>
      </c>
      <c r="E37" s="135" t="e">
        <f ca="1">C37-D37</f>
        <v>#NAME?</v>
      </c>
      <c r="F37" s="36"/>
      <c r="G37" s="133">
        <f>GrossMargin!I48</f>
        <v>0</v>
      </c>
      <c r="H37" s="36">
        <f>GrossMargin!J48</f>
        <v>0</v>
      </c>
      <c r="I37" s="36">
        <f>GrossMargin!K48</f>
        <v>0</v>
      </c>
      <c r="J37" s="136">
        <f>SUM(G37:I37)</f>
        <v>0</v>
      </c>
      <c r="K37" s="137"/>
      <c r="L37" s="134">
        <v>0</v>
      </c>
      <c r="M37" s="36" t="e">
        <f ca="1">+'IntIncome-Expense'!G34</f>
        <v>#NAME?</v>
      </c>
      <c r="N37" s="36">
        <v>0</v>
      </c>
      <c r="O37" s="136" t="e">
        <f ca="1">J37-K37-M37-N37-L37</f>
        <v>#NAME?</v>
      </c>
      <c r="P37" s="37"/>
      <c r="Q37" s="133">
        <f>+J37-C37</f>
        <v>0</v>
      </c>
      <c r="R37" s="36"/>
      <c r="S37" s="36">
        <v>0</v>
      </c>
      <c r="T37" s="36" t="e">
        <f ca="1">D37-M37</f>
        <v>#NAME?</v>
      </c>
      <c r="U37" s="36">
        <v>0</v>
      </c>
      <c r="V37" s="135" t="e">
        <f ca="1">ROUND(SUM(Q37:U37),0)</f>
        <v>#NAME?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 ca="1">SUM(C35:C37)</f>
        <v>#NAME?</v>
      </c>
      <c r="D39" s="40" t="e">
        <f ca="1">SUM(D35:D37)</f>
        <v>#NAME?</v>
      </c>
      <c r="E39" s="41" t="e">
        <f ca="1">SUM(E35:E37)</f>
        <v>#NAME?</v>
      </c>
      <c r="F39" s="36"/>
      <c r="G39" s="39">
        <f t="shared" ref="G39:V39" si="13">SUM(G35:G37)</f>
        <v>-24410.188999999998</v>
      </c>
      <c r="H39" s="40">
        <f t="shared" si="13"/>
        <v>0</v>
      </c>
      <c r="I39" s="40">
        <f t="shared" si="13"/>
        <v>0</v>
      </c>
      <c r="J39" s="42">
        <f t="shared" si="13"/>
        <v>-24410.188999999998</v>
      </c>
      <c r="K39" s="40">
        <f t="shared" si="13"/>
        <v>0</v>
      </c>
      <c r="L39" s="39" t="e">
        <f t="shared" ca="1" si="13"/>
        <v>#NAME?</v>
      </c>
      <c r="M39" s="40" t="e">
        <f t="shared" ca="1" si="13"/>
        <v>#NAME?</v>
      </c>
      <c r="N39" s="40" t="e">
        <f t="shared" ca="1" si="13"/>
        <v>#NAME?</v>
      </c>
      <c r="O39" s="42" t="e">
        <f ca="1">J39-K39-M39-N39-L39</f>
        <v>#NAME?</v>
      </c>
      <c r="P39" s="37"/>
      <c r="Q39" s="39" t="e">
        <f t="shared" ca="1" si="13"/>
        <v>#NAME?</v>
      </c>
      <c r="R39" s="40">
        <f t="shared" si="13"/>
        <v>0</v>
      </c>
      <c r="S39" s="40" t="e">
        <f t="shared" ca="1" si="13"/>
        <v>#NAME?</v>
      </c>
      <c r="T39" s="40" t="e">
        <f t="shared" ca="1" si="13"/>
        <v>#NAME?</v>
      </c>
      <c r="U39" s="40" t="e">
        <f t="shared" ca="1" si="13"/>
        <v>#NAME?</v>
      </c>
      <c r="V39" s="41" t="e">
        <f t="shared" ca="1" si="13"/>
        <v>#NAME?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+'GM-WeeklyChnge'!C43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3"/>
  <sheetViews>
    <sheetView zoomScaleNormal="100" workbookViewId="0">
      <selection activeCell="M10" sqref="M10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November 9,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3">
        <f>+GrossMargin!D10-[3]GrossMargin!D10</f>
        <v>5179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0</v>
      </c>
      <c r="G9" s="138">
        <f>+GrossMargin!H10-[3]GrossMargin!H10</f>
        <v>0</v>
      </c>
      <c r="H9" s="134">
        <f t="shared" ref="H9:H18" si="0">SUM(C9:G9)</f>
        <v>5179</v>
      </c>
      <c r="I9" s="133">
        <f>GrossMargin!J10-[3]GrossMargin!J10</f>
        <v>0</v>
      </c>
      <c r="J9" s="36">
        <f>+GrossMargin!K10-[3]GrossMargin!K10</f>
        <v>0</v>
      </c>
      <c r="K9" s="135">
        <f t="shared" ref="K9:K18" si="1">SUM(H9:J9)</f>
        <v>5179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1115</v>
      </c>
      <c r="D10" s="36">
        <f>+GrossMargin!E11-[3]GrossMargin!E11</f>
        <v>6.9074099999999703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1121.90741</v>
      </c>
      <c r="I10" s="133">
        <f>GrossMargin!J11-[3]GrossMargin!J11</f>
        <v>0</v>
      </c>
      <c r="J10" s="36">
        <f>+GrossMargin!K11-[3]GrossMargin!K11</f>
        <v>0</v>
      </c>
      <c r="K10" s="135">
        <f t="shared" si="1"/>
        <v>1121.90741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61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61</v>
      </c>
      <c r="I11" s="133">
        <f>GrossMargin!J12-[3]GrossMargin!J12</f>
        <v>0</v>
      </c>
      <c r="J11" s="36">
        <f>+GrossMargin!K12-[3]GrossMargin!K12</f>
        <v>0</v>
      </c>
      <c r="K11" s="135">
        <f t="shared" si="1"/>
        <v>61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-178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-178</v>
      </c>
      <c r="I12" s="133">
        <f>GrossMargin!J13-[3]GrossMargin!J13</f>
        <v>0</v>
      </c>
      <c r="J12" s="36">
        <f>+GrossMargin!K13-[3]GrossMargin!K13</f>
        <v>0</v>
      </c>
      <c r="K12" s="135">
        <f t="shared" si="1"/>
        <v>-178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>
        <f>GrossMargin!J14-[3]GrossMargin!J14</f>
        <v>0</v>
      </c>
      <c r="J13" s="36">
        <f>+GrossMargin!K14-[3]GrossMargin!K14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53">
        <f>+GrossMargin!D15-[3]GrossMargin!D15</f>
        <v>-209</v>
      </c>
      <c r="D14" s="254">
        <f>+GrossMargin!E15-[3]GrossMargin!E15</f>
        <v>0</v>
      </c>
      <c r="E14" s="254">
        <f>+GrossMargin!F15-[3]GrossMargin!F15</f>
        <v>0</v>
      </c>
      <c r="F14" s="254">
        <f>+GrossMargin!G15-[3]GrossMargin!G15</f>
        <v>0</v>
      </c>
      <c r="G14" s="255">
        <f>+GrossMargin!H15-[3]GrossMargin!H15</f>
        <v>0</v>
      </c>
      <c r="H14" s="258">
        <f t="shared" si="0"/>
        <v>-209</v>
      </c>
      <c r="I14" s="253">
        <f>GrossMargin!J15-[3]GrossMargin!J15</f>
        <v>0</v>
      </c>
      <c r="J14" s="254">
        <f>+GrossMargin!K15-[3]GrossMargin!K15</f>
        <v>0</v>
      </c>
      <c r="K14" s="259">
        <f t="shared" si="1"/>
        <v>-209</v>
      </c>
    </row>
    <row r="15" spans="1:11" ht="13.5" hidden="1" customHeight="1">
      <c r="A15" s="242" t="s">
        <v>84</v>
      </c>
      <c r="B15" s="249"/>
      <c r="C15" s="253">
        <f>+GrossMargin!D16-[3]GrossMargin!D16</f>
        <v>-317</v>
      </c>
      <c r="D15" s="254">
        <f>+GrossMargin!E16-[3]GrossMargin!E16</f>
        <v>0</v>
      </c>
      <c r="E15" s="254">
        <f>+GrossMargin!F16-[3]GrossMargin!F16</f>
        <v>0</v>
      </c>
      <c r="F15" s="254">
        <f>+GrossMargin!G16-[3]GrossMargin!G16</f>
        <v>0</v>
      </c>
      <c r="G15" s="255">
        <f>+GrossMargin!H16-[3]GrossMargin!H16</f>
        <v>0</v>
      </c>
      <c r="H15" s="258">
        <f t="shared" si="0"/>
        <v>-317</v>
      </c>
      <c r="I15" s="253">
        <f>GrossMargin!J16-[3]GrossMargin!J16</f>
        <v>0</v>
      </c>
      <c r="J15" s="254">
        <f>+GrossMargin!K16-[3]GrossMargin!K16</f>
        <v>0</v>
      </c>
      <c r="K15" s="259">
        <f t="shared" si="1"/>
        <v>-317</v>
      </c>
    </row>
    <row r="16" spans="1:11" ht="13.5" hidden="1" customHeight="1">
      <c r="A16" s="242" t="s">
        <v>82</v>
      </c>
      <c r="B16" s="249"/>
      <c r="C16" s="253">
        <f>+GrossMargin!D17-[3]GrossMargin!D17</f>
        <v>-120</v>
      </c>
      <c r="D16" s="254">
        <f>+GrossMargin!E17-[3]GrossMargin!E17</f>
        <v>0</v>
      </c>
      <c r="E16" s="254">
        <f>+GrossMargin!F17-[3]GrossMargin!F17</f>
        <v>0</v>
      </c>
      <c r="F16" s="254">
        <f>+GrossMargin!G17-[3]GrossMargin!G17</f>
        <v>0</v>
      </c>
      <c r="G16" s="255">
        <f>+GrossMargin!H17-[3]GrossMargin!H17</f>
        <v>0</v>
      </c>
      <c r="H16" s="258">
        <f t="shared" si="0"/>
        <v>-120</v>
      </c>
      <c r="I16" s="253">
        <f>GrossMargin!J17-[3]GrossMargin!J17</f>
        <v>0</v>
      </c>
      <c r="J16" s="254">
        <f>+GrossMargin!K17-[3]GrossMargin!K17</f>
        <v>0</v>
      </c>
      <c r="K16" s="259">
        <f t="shared" si="1"/>
        <v>-120</v>
      </c>
    </row>
    <row r="17" spans="1:11" ht="13.5" hidden="1" customHeight="1">
      <c r="A17" s="242" t="s">
        <v>83</v>
      </c>
      <c r="B17" s="249"/>
      <c r="C17" s="253">
        <f>+GrossMargin!D18-[3]GrossMargin!D18</f>
        <v>-8</v>
      </c>
      <c r="D17" s="254">
        <f>+GrossMargin!E18-[3]GrossMargin!E18</f>
        <v>0</v>
      </c>
      <c r="E17" s="254">
        <f>+GrossMargin!F18-[3]GrossMargin!F18</f>
        <v>0</v>
      </c>
      <c r="F17" s="254">
        <f>+GrossMargin!G18-[3]GrossMargin!G18</f>
        <v>0</v>
      </c>
      <c r="G17" s="255">
        <f>+GrossMargin!H18-[3]GrossMargin!H18</f>
        <v>0</v>
      </c>
      <c r="H17" s="258">
        <f t="shared" si="0"/>
        <v>-8</v>
      </c>
      <c r="I17" s="253">
        <f>GrossMargin!J18-[3]GrossMargin!J18</f>
        <v>0</v>
      </c>
      <c r="J17" s="254">
        <f>+GrossMargin!K18-[3]GrossMargin!K18</f>
        <v>0</v>
      </c>
      <c r="K17" s="259">
        <f t="shared" si="1"/>
        <v>-8</v>
      </c>
    </row>
    <row r="18" spans="1:11" ht="13.5" hidden="1" customHeight="1">
      <c r="A18" s="242" t="s">
        <v>85</v>
      </c>
      <c r="B18" s="249"/>
      <c r="C18" s="256">
        <f>+GrossMargin!D19-[3]GrossMargin!D19</f>
        <v>4</v>
      </c>
      <c r="D18" s="260">
        <f>+GrossMargin!E19-[3]GrossMargin!E19</f>
        <v>0</v>
      </c>
      <c r="E18" s="260">
        <f>+GrossMargin!F19-[3]GrossMargin!F19</f>
        <v>0</v>
      </c>
      <c r="F18" s="260">
        <f>+GrossMargin!G19-[3]GrossMargin!G19</f>
        <v>0</v>
      </c>
      <c r="G18" s="261">
        <f>+GrossMargin!H19-[3]GrossMargin!H19</f>
        <v>0</v>
      </c>
      <c r="H18" s="262">
        <f t="shared" si="0"/>
        <v>4</v>
      </c>
      <c r="I18" s="256">
        <f>GrossMargin!J19-[3]GrossMargin!J19</f>
        <v>0</v>
      </c>
      <c r="J18" s="260">
        <f>+GrossMargin!K19-[3]GrossMargin!K19</f>
        <v>0</v>
      </c>
      <c r="K18" s="263">
        <f t="shared" si="1"/>
        <v>4</v>
      </c>
    </row>
    <row r="19" spans="1:11" s="190" customFormat="1" ht="13.5" customHeight="1">
      <c r="A19" s="107" t="s">
        <v>50</v>
      </c>
      <c r="B19" s="34"/>
      <c r="C19" s="133">
        <f t="shared" ref="C19:K19" si="2">SUM(C14:C18)</f>
        <v>-650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-650</v>
      </c>
      <c r="I19" s="133">
        <f t="shared" si="2"/>
        <v>0</v>
      </c>
      <c r="J19" s="36">
        <f t="shared" si="2"/>
        <v>0</v>
      </c>
      <c r="K19" s="135">
        <f t="shared" si="2"/>
        <v>-650</v>
      </c>
    </row>
    <row r="20" spans="1:11" s="190" customFormat="1" ht="13.5" customHeight="1">
      <c r="A20" s="107" t="s">
        <v>98</v>
      </c>
      <c r="B20" s="34"/>
      <c r="C20" s="133">
        <f>+GrossMargin!D21-[3]GrossMargin!D21</f>
        <v>0</v>
      </c>
      <c r="D20" s="36">
        <f>+GrossMargin!E21-[3]GrossMargin!E21</f>
        <v>0</v>
      </c>
      <c r="E20" s="36">
        <f>+GrossMargin!F21-[3]GrossMargin!F21</f>
        <v>0</v>
      </c>
      <c r="F20" s="36">
        <f>+GrossMargin!G21-[3]GrossMargin!G21</f>
        <v>0</v>
      </c>
      <c r="G20" s="138">
        <f>+GrossMargin!H21-[3]GrossMargin!H21</f>
        <v>0</v>
      </c>
      <c r="H20" s="134">
        <f>SUM(C20:G20)</f>
        <v>0</v>
      </c>
      <c r="I20" s="133">
        <f>GrossMargin!J21-[3]GrossMargin!J21</f>
        <v>0</v>
      </c>
      <c r="J20" s="36">
        <f>+GrossMargin!K21-[3]GrossMargin!K21</f>
        <v>0</v>
      </c>
      <c r="K20" s="135">
        <f>SUM(H20:J20)</f>
        <v>0</v>
      </c>
    </row>
    <row r="21" spans="1:11" ht="13.5" customHeight="1">
      <c r="A21" s="107" t="s">
        <v>2</v>
      </c>
      <c r="B21" s="168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>
        <f>GrossMargin!J22-[3]GrossMargin!J26</f>
        <v>0</v>
      </c>
      <c r="J21" s="36">
        <f>+GrossMargin!K22-[3]GrossMargin!K26</f>
        <v>0</v>
      </c>
      <c r="K21" s="135">
        <f>SUM(H21:J21)</f>
        <v>0</v>
      </c>
    </row>
    <row r="22" spans="1:11" ht="13.5" customHeight="1">
      <c r="A22" s="107" t="s">
        <v>11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>
        <f>GrossMargin!J23-[3]GrossMargin!J27</f>
        <v>0</v>
      </c>
      <c r="J22" s="36">
        <f>+GrossMargin!K23-[3]GrossMargin!K27</f>
        <v>0</v>
      </c>
      <c r="K22" s="135">
        <f>SUM(H22:J22)</f>
        <v>0</v>
      </c>
    </row>
    <row r="23" spans="1:11" ht="3" customHeight="1">
      <c r="A23" s="107"/>
      <c r="B23" s="34"/>
      <c r="C23" s="133"/>
      <c r="D23" s="36"/>
      <c r="E23" s="36"/>
      <c r="F23" s="36"/>
      <c r="G23" s="138"/>
      <c r="H23" s="134"/>
      <c r="I23" s="133"/>
      <c r="J23" s="36"/>
      <c r="K23" s="138"/>
    </row>
    <row r="24" spans="1:11" ht="13.5" customHeight="1">
      <c r="A24" s="38" t="s">
        <v>109</v>
      </c>
      <c r="B24" s="34"/>
      <c r="C24" s="43">
        <f t="shared" ref="C24:K24" si="3">+C9+C10+C11+C12+C13+C19+C20+C21+C22</f>
        <v>5527</v>
      </c>
      <c r="D24" s="44">
        <f t="shared" si="3"/>
        <v>6.9074099999999703</v>
      </c>
      <c r="E24" s="44">
        <f t="shared" si="3"/>
        <v>0</v>
      </c>
      <c r="F24" s="44">
        <f t="shared" si="3"/>
        <v>0</v>
      </c>
      <c r="G24" s="45">
        <f t="shared" si="3"/>
        <v>0</v>
      </c>
      <c r="H24" s="46">
        <f t="shared" si="3"/>
        <v>5533.9074099999998</v>
      </c>
      <c r="I24" s="44">
        <f t="shared" si="3"/>
        <v>0</v>
      </c>
      <c r="J24" s="44">
        <f t="shared" si="3"/>
        <v>0</v>
      </c>
      <c r="K24" s="45">
        <f t="shared" si="3"/>
        <v>5533.9074099999998</v>
      </c>
    </row>
    <row r="25" spans="1:11" ht="3" customHeight="1">
      <c r="A25" s="107"/>
      <c r="B25" s="34"/>
      <c r="C25" s="133"/>
      <c r="D25" s="36"/>
      <c r="E25" s="36"/>
      <c r="F25" s="36"/>
      <c r="G25" s="138"/>
      <c r="H25" s="134"/>
      <c r="I25" s="133"/>
      <c r="J25" s="36"/>
      <c r="K25" s="138"/>
    </row>
    <row r="26" spans="1:11" s="190" customFormat="1" ht="13.5" customHeight="1">
      <c r="A26" s="107" t="s">
        <v>99</v>
      </c>
      <c r="B26" s="34"/>
      <c r="C26" s="133">
        <f>+GrossMargin!D27-[3]GrossMargin!D27</f>
        <v>0</v>
      </c>
      <c r="D26" s="36">
        <f>+GrossMargin!E27-[3]GrossMargin!E27</f>
        <v>0</v>
      </c>
      <c r="E26" s="36">
        <f>+GrossMargin!F27-[3]GrossMargin!F27</f>
        <v>0</v>
      </c>
      <c r="F26" s="36">
        <f>+GrossMargin!G27-[3]GrossMargin!G27</f>
        <v>0</v>
      </c>
      <c r="G26" s="138">
        <f>+GrossMargin!H27-[3]GrossMargin!H27</f>
        <v>0</v>
      </c>
      <c r="H26" s="134">
        <f>SUM(C26:G26)</f>
        <v>0</v>
      </c>
      <c r="I26" s="133">
        <f>GrossMargin!J27-[3]GrossMargin!J22</f>
        <v>0</v>
      </c>
      <c r="J26" s="36">
        <f>+GrossMargin!K27-[3]GrossMargin!K22</f>
        <v>0</v>
      </c>
      <c r="K26" s="135">
        <f>SUM(H26:J26)</f>
        <v>0</v>
      </c>
    </row>
    <row r="27" spans="1:11" s="190" customFormat="1" ht="13.5" customHeight="1">
      <c r="A27" s="107" t="s">
        <v>100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-135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-135</v>
      </c>
      <c r="I27" s="133">
        <f>GrossMargin!J28-[3]GrossMargin!J23</f>
        <v>0</v>
      </c>
      <c r="J27" s="36">
        <f>+GrossMargin!K28-[3]GrossMargin!K23</f>
        <v>0</v>
      </c>
      <c r="K27" s="135">
        <f>SUM(H27:J27)</f>
        <v>-135</v>
      </c>
    </row>
    <row r="28" spans="1:11" s="190" customFormat="1" ht="13.5" customHeight="1">
      <c r="A28" s="107" t="s">
        <v>101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-530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-530</v>
      </c>
      <c r="I28" s="133">
        <f>GrossMargin!J29-[3]GrossMargin!J24</f>
        <v>0</v>
      </c>
      <c r="J28" s="36">
        <f>+GrossMargin!K29-[3]GrossMargin!K24</f>
        <v>0</v>
      </c>
      <c r="K28" s="135">
        <f>SUM(H28:J28)</f>
        <v>-530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38" t="s">
        <v>116</v>
      </c>
      <c r="B30" s="34"/>
      <c r="C30" s="43">
        <f>SUM(C26:C29)</f>
        <v>0</v>
      </c>
      <c r="D30" s="44">
        <f t="shared" ref="D30:K30" si="4">SUM(D26:D29)</f>
        <v>0</v>
      </c>
      <c r="E30" s="44">
        <f t="shared" si="4"/>
        <v>-665</v>
      </c>
      <c r="F30" s="44">
        <f t="shared" si="4"/>
        <v>0</v>
      </c>
      <c r="G30" s="45">
        <f t="shared" si="4"/>
        <v>0</v>
      </c>
      <c r="H30" s="46">
        <f t="shared" si="4"/>
        <v>-665</v>
      </c>
      <c r="I30" s="44">
        <f t="shared" si="4"/>
        <v>0</v>
      </c>
      <c r="J30" s="44">
        <f t="shared" si="4"/>
        <v>0</v>
      </c>
      <c r="K30" s="45">
        <f t="shared" si="4"/>
        <v>-665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13.5" customHeight="1">
      <c r="A33" s="38" t="s">
        <v>110</v>
      </c>
      <c r="B33" s="34"/>
      <c r="C33" s="43">
        <f>+C24+C30</f>
        <v>5527</v>
      </c>
      <c r="D33" s="44">
        <f t="shared" ref="D33:K33" si="5">+D24+D30</f>
        <v>6.9074099999999703</v>
      </c>
      <c r="E33" s="44">
        <f t="shared" si="5"/>
        <v>-665</v>
      </c>
      <c r="F33" s="44">
        <f t="shared" si="5"/>
        <v>0</v>
      </c>
      <c r="G33" s="45">
        <f t="shared" si="5"/>
        <v>0</v>
      </c>
      <c r="H33" s="46">
        <f t="shared" si="5"/>
        <v>4868.9074099999998</v>
      </c>
      <c r="I33" s="44">
        <f t="shared" si="5"/>
        <v>0</v>
      </c>
      <c r="J33" s="44">
        <f t="shared" si="5"/>
        <v>0</v>
      </c>
      <c r="K33" s="45">
        <f t="shared" si="5"/>
        <v>4868.9074099999998</v>
      </c>
    </row>
    <row r="34" spans="1:11" ht="3" customHeight="1">
      <c r="A34" s="107"/>
      <c r="B34" s="34"/>
      <c r="C34" s="133"/>
      <c r="D34" s="36"/>
      <c r="E34" s="36"/>
      <c r="F34" s="36"/>
      <c r="G34" s="138"/>
      <c r="H34" s="134"/>
      <c r="I34" s="133"/>
      <c r="J34" s="36"/>
      <c r="K34" s="138"/>
    </row>
    <row r="35" spans="1:11" ht="13.5" customHeight="1">
      <c r="A35" s="107" t="s">
        <v>10</v>
      </c>
      <c r="B35" s="34"/>
      <c r="C35" s="133">
        <f>+GrossMargin!D36-[3]GrossMargin!D36</f>
        <v>0</v>
      </c>
      <c r="D35" s="36">
        <f>+GrossMargin!E36-[3]GrossMargin!E36</f>
        <v>0</v>
      </c>
      <c r="E35" s="36">
        <f>+GrossMargin!F36-[3]GrossMargin!F36</f>
        <v>0</v>
      </c>
      <c r="F35" s="36">
        <f>+GrossMargin!G36-[3]GrossMargin!G36</f>
        <v>0</v>
      </c>
      <c r="G35" s="138">
        <f>+GrossMargin!H36-[3]GrossMargin!H36</f>
        <v>0</v>
      </c>
      <c r="H35" s="134">
        <f>SUM(C35:G35)</f>
        <v>0</v>
      </c>
      <c r="I35" s="133">
        <f>GrossMargin!J36-[3]GrossMargin!J31</f>
        <v>0</v>
      </c>
      <c r="J35" s="36">
        <f>+GrossMargin!K36-[3]GrossMargin!K31</f>
        <v>0</v>
      </c>
      <c r="K35" s="135">
        <f>SUM(H35:J35)</f>
        <v>0</v>
      </c>
    </row>
    <row r="36" spans="1:11" ht="3" customHeight="1">
      <c r="A36" s="107"/>
      <c r="B36" s="34"/>
      <c r="C36" s="133"/>
      <c r="D36" s="36"/>
      <c r="E36" s="36"/>
      <c r="F36" s="36"/>
      <c r="G36" s="138"/>
      <c r="H36" s="134"/>
      <c r="I36" s="133"/>
      <c r="J36" s="36"/>
      <c r="K36" s="138"/>
    </row>
    <row r="37" spans="1:11" ht="13.5" customHeight="1">
      <c r="A37" s="38" t="s">
        <v>108</v>
      </c>
      <c r="B37" s="34"/>
      <c r="C37" s="39">
        <f>SUM(C33:C35)</f>
        <v>5527</v>
      </c>
      <c r="D37" s="40">
        <f>SUM(D33:D35)</f>
        <v>6.9074099999999703</v>
      </c>
      <c r="E37" s="40">
        <f>SUM(E33:E36)</f>
        <v>-665</v>
      </c>
      <c r="F37" s="40">
        <f>SUM(F33:F35)</f>
        <v>0</v>
      </c>
      <c r="G37" s="41">
        <f>SUM(G33:G35)</f>
        <v>0</v>
      </c>
      <c r="H37" s="39">
        <f>SUM(C37:G37)</f>
        <v>4868.9074099999998</v>
      </c>
      <c r="I37" s="39">
        <f>SUM(I33:I35)</f>
        <v>0</v>
      </c>
      <c r="J37" s="40">
        <f>SUM(J33:J35)</f>
        <v>0</v>
      </c>
      <c r="K37" s="41">
        <f>SUM(H37:J37)</f>
        <v>4868.9074099999998</v>
      </c>
    </row>
    <row r="38" spans="1:11" ht="3" customHeight="1">
      <c r="A38" s="103"/>
      <c r="B38" s="32"/>
      <c r="C38" s="104"/>
      <c r="D38" s="105"/>
      <c r="E38" s="105"/>
      <c r="F38" s="105"/>
      <c r="G38" s="182"/>
      <c r="H38" s="104"/>
      <c r="I38" s="104"/>
      <c r="J38" s="105"/>
      <c r="K38" s="182"/>
    </row>
    <row r="39" spans="1:11" ht="13.5">
      <c r="A39" s="163" t="s">
        <v>60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E40" s="187"/>
    </row>
    <row r="42" spans="1:11">
      <c r="G42" s="166"/>
    </row>
    <row r="43" spans="1:11" ht="15.75">
      <c r="D43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65"/>
  <sheetViews>
    <sheetView topLeftCell="B1" zoomScaleNormal="100" workbookViewId="0">
      <selection activeCell="P6" sqref="P6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November 9,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7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-22106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19" si="0">SUM(D10:H10)</f>
        <v>-22106</v>
      </c>
      <c r="J10" s="137"/>
      <c r="K10" s="36">
        <v>0</v>
      </c>
      <c r="L10" s="36">
        <f>+I10+K10</f>
        <v>-22106</v>
      </c>
      <c r="M10" s="257">
        <v>30000</v>
      </c>
      <c r="N10" s="135">
        <f t="shared" ref="N10:N29" si="1">L10-M10</f>
        <v>-52106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1897</v>
      </c>
      <c r="E11" s="140">
        <f>354.79553-262.70853</f>
        <v>92.086999999999989</v>
      </c>
      <c r="F11" s="140">
        <v>79.724000000000004</v>
      </c>
      <c r="G11" s="140">
        <v>0</v>
      </c>
      <c r="H11" s="138">
        <v>0</v>
      </c>
      <c r="I11" s="136">
        <f t="shared" si="0"/>
        <v>2068.8110000000001</v>
      </c>
      <c r="J11" s="137"/>
      <c r="K11" s="36">
        <v>0</v>
      </c>
      <c r="L11" s="36">
        <f t="shared" ref="L11:L29" si="2">+I11+K11</f>
        <v>2068.8110000000001</v>
      </c>
      <c r="M11" s="257" t="e">
        <f ca="1">ROUND(_xll.HPVAL($A11,$A$1,$A$2,$A$3,$A$4,$A$6)/1000,1)</f>
        <v>#NAME?</v>
      </c>
      <c r="N11" s="135" t="e">
        <f t="shared" ca="1" si="1"/>
        <v>#NAME?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849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849</v>
      </c>
      <c r="J12" s="137"/>
      <c r="K12" s="36">
        <v>0</v>
      </c>
      <c r="L12" s="36">
        <f t="shared" si="2"/>
        <v>849</v>
      </c>
      <c r="M12" s="257" t="e">
        <f ca="1">ROUND(_xll.HPVAL($A12,$A$1,$A$2,$A$3,$A$4,$A$6)/1000,1)</f>
        <v>#NAME?</v>
      </c>
      <c r="N12" s="135" t="e">
        <f t="shared" ca="1" si="1"/>
        <v>#NAME?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-201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-201</v>
      </c>
      <c r="J13" s="137"/>
      <c r="K13" s="36">
        <v>0</v>
      </c>
      <c r="L13" s="36">
        <f t="shared" si="2"/>
        <v>-201</v>
      </c>
      <c r="M13" s="257" t="e">
        <f ca="1">ROUND(_xll.HPVAL($A13,$A$1,$A$2,$A$3,$A$4,$A$6)/1000,1)</f>
        <v>#NAME?</v>
      </c>
      <c r="N13" s="135" t="e">
        <f t="shared" ca="1" si="1"/>
        <v>#NAME?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7" t="e">
        <f ca="1">ROUND(_xll.HPVAL($A14,$A$1,$A$2,$A$3,$A$4,$A$6)/1000,0)</f>
        <v>#NAME?</v>
      </c>
      <c r="N14" s="135" t="e">
        <f t="shared" ca="1" si="1"/>
        <v>#NAME?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-3085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-3085</v>
      </c>
      <c r="J15" s="246"/>
      <c r="K15" s="246">
        <v>0</v>
      </c>
      <c r="L15" s="36">
        <f t="shared" si="2"/>
        <v>-3085</v>
      </c>
      <c r="M15" s="257">
        <v>0</v>
      </c>
      <c r="N15" s="247">
        <f>L15-M15</f>
        <v>-3085</v>
      </c>
    </row>
    <row r="16" spans="1:16" ht="13.5" hidden="1" customHeight="1">
      <c r="B16" s="242" t="s">
        <v>84</v>
      </c>
      <c r="C16" s="243"/>
      <c r="D16" s="244">
        <v>498</v>
      </c>
      <c r="E16" s="245">
        <v>0</v>
      </c>
      <c r="F16" s="245">
        <v>0</v>
      </c>
      <c r="G16" s="245">
        <v>0</v>
      </c>
      <c r="H16" s="247">
        <v>0</v>
      </c>
      <c r="I16" s="248">
        <f t="shared" si="0"/>
        <v>498</v>
      </c>
      <c r="J16" s="246"/>
      <c r="K16" s="246">
        <v>0</v>
      </c>
      <c r="L16" s="36">
        <f t="shared" si="2"/>
        <v>498</v>
      </c>
      <c r="M16" s="265">
        <v>0</v>
      </c>
      <c r="N16" s="247">
        <f>L16-M16</f>
        <v>498</v>
      </c>
    </row>
    <row r="17" spans="1:15" ht="13.5" hidden="1" customHeight="1">
      <c r="B17" s="242" t="s">
        <v>82</v>
      </c>
      <c r="C17" s="243"/>
      <c r="D17" s="244">
        <v>-87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-87</v>
      </c>
      <c r="J17" s="246"/>
      <c r="K17" s="246">
        <v>0</v>
      </c>
      <c r="L17" s="36">
        <f t="shared" si="2"/>
        <v>-87</v>
      </c>
      <c r="M17" s="265">
        <v>0</v>
      </c>
      <c r="N17" s="247">
        <f t="shared" si="1"/>
        <v>-87</v>
      </c>
      <c r="O17" s="166"/>
    </row>
    <row r="18" spans="1:15" ht="13.5" hidden="1" customHeight="1">
      <c r="B18" s="242" t="s">
        <v>83</v>
      </c>
      <c r="C18" s="243"/>
      <c r="D18" s="244">
        <v>38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38</v>
      </c>
      <c r="J18" s="246"/>
      <c r="K18" s="246">
        <v>0</v>
      </c>
      <c r="L18" s="36">
        <f t="shared" si="2"/>
        <v>38</v>
      </c>
      <c r="M18" s="265">
        <v>0</v>
      </c>
      <c r="N18" s="247">
        <f t="shared" si="1"/>
        <v>38</v>
      </c>
    </row>
    <row r="19" spans="1:15" ht="13.5" hidden="1" customHeight="1">
      <c r="B19" s="242" t="s">
        <v>85</v>
      </c>
      <c r="C19" s="243"/>
      <c r="D19" s="252">
        <v>-21</v>
      </c>
      <c r="E19" s="264">
        <v>0</v>
      </c>
      <c r="F19" s="264">
        <v>0</v>
      </c>
      <c r="G19" s="264">
        <v>0</v>
      </c>
      <c r="H19" s="267">
        <v>0</v>
      </c>
      <c r="I19" s="276">
        <f t="shared" si="0"/>
        <v>-21</v>
      </c>
      <c r="J19" s="266"/>
      <c r="K19" s="266">
        <v>0</v>
      </c>
      <c r="L19" s="277">
        <f t="shared" si="2"/>
        <v>-21</v>
      </c>
      <c r="M19" s="278">
        <v>0</v>
      </c>
      <c r="N19" s="267">
        <f>L19-M19</f>
        <v>-21</v>
      </c>
    </row>
    <row r="20" spans="1:15" s="190" customFormat="1" ht="13.5" customHeight="1">
      <c r="A20" s="12"/>
      <c r="B20" s="107" t="s">
        <v>50</v>
      </c>
      <c r="C20" s="189"/>
      <c r="D20" s="139">
        <f t="shared" ref="D20:I20" si="3">SUM(D15:D19)</f>
        <v>-2657</v>
      </c>
      <c r="E20" s="140">
        <f t="shared" si="3"/>
        <v>0</v>
      </c>
      <c r="F20" s="140">
        <f t="shared" si="3"/>
        <v>0</v>
      </c>
      <c r="G20" s="140">
        <f t="shared" si="3"/>
        <v>0</v>
      </c>
      <c r="H20" s="138">
        <f t="shared" si="3"/>
        <v>0</v>
      </c>
      <c r="I20" s="136">
        <f t="shared" si="3"/>
        <v>-2657</v>
      </c>
      <c r="J20" s="137"/>
      <c r="K20" s="36">
        <f>SUM(K15:K19)</f>
        <v>0</v>
      </c>
      <c r="L20" s="36">
        <f t="shared" si="2"/>
        <v>-2657</v>
      </c>
      <c r="M20" s="257">
        <f>33848.881-22365.668-2500.002</f>
        <v>8983.2109999999993</v>
      </c>
      <c r="N20" s="135">
        <f>L20-M20</f>
        <v>-11640.210999999999</v>
      </c>
    </row>
    <row r="21" spans="1:15" s="190" customFormat="1" ht="13.5" customHeight="1">
      <c r="A21" s="12"/>
      <c r="B21" s="107" t="s">
        <v>98</v>
      </c>
      <c r="C21" s="189"/>
      <c r="D21" s="139">
        <v>0</v>
      </c>
      <c r="E21" s="140">
        <v>0</v>
      </c>
      <c r="F21" s="140">
        <v>0</v>
      </c>
      <c r="G21" s="140">
        <v>0</v>
      </c>
      <c r="H21" s="138">
        <v>0</v>
      </c>
      <c r="I21" s="136">
        <f>SUM(D21:H21)</f>
        <v>0</v>
      </c>
      <c r="J21" s="137"/>
      <c r="K21" s="36">
        <v>0</v>
      </c>
      <c r="L21" s="36">
        <f t="shared" si="2"/>
        <v>0</v>
      </c>
      <c r="M21" s="138">
        <v>0</v>
      </c>
      <c r="N21" s="135">
        <f t="shared" si="1"/>
        <v>0</v>
      </c>
    </row>
    <row r="22" spans="1:15" s="190" customFormat="1" ht="12" customHeight="1">
      <c r="A22" s="188"/>
      <c r="B22" s="107" t="s">
        <v>2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>SUM(D22:H22)</f>
        <v>0</v>
      </c>
      <c r="J22" s="137"/>
      <c r="K22" s="133">
        <v>0</v>
      </c>
      <c r="L22" s="36">
        <f>+I22+K22</f>
        <v>0</v>
      </c>
      <c r="M22" s="138">
        <v>0</v>
      </c>
      <c r="N22" s="135">
        <f>L22-M22</f>
        <v>0</v>
      </c>
    </row>
    <row r="23" spans="1:15" s="190" customFormat="1" ht="12" customHeight="1">
      <c r="A23" s="188"/>
      <c r="B23" s="107" t="s">
        <v>11</v>
      </c>
      <c r="C23" s="189"/>
      <c r="D23" s="139">
        <v>0</v>
      </c>
      <c r="E23" s="140">
        <v>0</v>
      </c>
      <c r="F23" s="140">
        <v>0</v>
      </c>
      <c r="G23" s="140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10100</v>
      </c>
      <c r="N23" s="135">
        <f>L23-M23</f>
        <v>-10100</v>
      </c>
    </row>
    <row r="24" spans="1:15" ht="3" customHeight="1">
      <c r="B24" s="107"/>
      <c r="C24" s="34"/>
      <c r="D24" s="139"/>
      <c r="E24" s="140"/>
      <c r="F24" s="140"/>
      <c r="G24" s="140"/>
      <c r="H24" s="138"/>
      <c r="I24" s="136"/>
      <c r="J24" s="36"/>
      <c r="K24" s="133"/>
      <c r="L24" s="36"/>
      <c r="M24" s="138"/>
      <c r="N24" s="135"/>
    </row>
    <row r="25" spans="1:15" ht="12" customHeight="1">
      <c r="B25" s="273" t="s">
        <v>107</v>
      </c>
      <c r="C25" s="34"/>
      <c r="D25" s="43">
        <f>+D10+D11+D12+D13+D14+D20+D21+D22+D23</f>
        <v>-22218</v>
      </c>
      <c r="E25" s="44">
        <f t="shared" ref="E25:N25" si="4">+E10+E11+E12+E13+E14+E20+E21+E22+E23</f>
        <v>92.086999999999989</v>
      </c>
      <c r="F25" s="44">
        <f t="shared" si="4"/>
        <v>79.724000000000004</v>
      </c>
      <c r="G25" s="44">
        <f t="shared" si="4"/>
        <v>0</v>
      </c>
      <c r="H25" s="45">
        <f t="shared" si="4"/>
        <v>0</v>
      </c>
      <c r="I25" s="46">
        <f t="shared" si="4"/>
        <v>-22046.188999999998</v>
      </c>
      <c r="J25" s="44">
        <f t="shared" si="4"/>
        <v>0</v>
      </c>
      <c r="K25" s="44">
        <f t="shared" si="4"/>
        <v>0</v>
      </c>
      <c r="L25" s="44">
        <f t="shared" si="4"/>
        <v>-22046.188999999998</v>
      </c>
      <c r="M25" s="45" t="e">
        <f t="shared" ca="1" si="4"/>
        <v>#NAME?</v>
      </c>
      <c r="N25" s="45" t="e">
        <f t="shared" ca="1" si="4"/>
        <v>#NAME?</v>
      </c>
    </row>
    <row r="26" spans="1:15" ht="3" customHeight="1">
      <c r="B26" s="107"/>
      <c r="C26" s="34"/>
      <c r="D26" s="139"/>
      <c r="E26" s="140"/>
      <c r="F26" s="140"/>
      <c r="G26" s="140"/>
      <c r="H26" s="138"/>
      <c r="I26" s="136"/>
      <c r="J26" s="36"/>
      <c r="K26" s="133"/>
      <c r="L26" s="36"/>
      <c r="M26" s="138"/>
      <c r="N26" s="135"/>
    </row>
    <row r="27" spans="1:15" s="190" customFormat="1" ht="13.5" customHeight="1">
      <c r="A27" s="12"/>
      <c r="B27" s="107" t="s">
        <v>99</v>
      </c>
      <c r="C27" s="189"/>
      <c r="D27" s="139">
        <v>0</v>
      </c>
      <c r="E27" s="140">
        <v>0</v>
      </c>
      <c r="F27" s="140">
        <f>674-188-100-300</f>
        <v>86</v>
      </c>
      <c r="G27" s="140">
        <v>0</v>
      </c>
      <c r="H27" s="138">
        <v>0</v>
      </c>
      <c r="I27" s="136">
        <f>SUM(D27:H27)</f>
        <v>86</v>
      </c>
      <c r="J27" s="137"/>
      <c r="K27" s="36">
        <v>0</v>
      </c>
      <c r="L27" s="36">
        <f t="shared" si="2"/>
        <v>86</v>
      </c>
      <c r="M27" s="257">
        <f>1159-15</f>
        <v>1144</v>
      </c>
      <c r="N27" s="135">
        <f t="shared" si="1"/>
        <v>-1058</v>
      </c>
      <c r="O27" s="14"/>
    </row>
    <row r="28" spans="1:15" s="190" customFormat="1" ht="13.5" customHeight="1">
      <c r="A28" s="12"/>
      <c r="B28" s="107" t="s">
        <v>100</v>
      </c>
      <c r="C28" s="189"/>
      <c r="D28" s="139">
        <v>0</v>
      </c>
      <c r="E28" s="140">
        <v>0</v>
      </c>
      <c r="F28" s="140">
        <v>0</v>
      </c>
      <c r="G28" s="140">
        <v>0</v>
      </c>
      <c r="H28" s="138">
        <v>0</v>
      </c>
      <c r="I28" s="136">
        <f>SUM(D28:H28)</f>
        <v>0</v>
      </c>
      <c r="J28" s="137"/>
      <c r="K28" s="36">
        <v>0</v>
      </c>
      <c r="L28" s="36">
        <f t="shared" si="2"/>
        <v>0</v>
      </c>
      <c r="M28" s="138">
        <v>4617</v>
      </c>
      <c r="N28" s="135">
        <f t="shared" si="1"/>
        <v>-4617</v>
      </c>
      <c r="O28" s="14"/>
    </row>
    <row r="29" spans="1:15" s="190" customFormat="1" ht="13.5" customHeight="1">
      <c r="A29" s="12"/>
      <c r="B29" s="107" t="s">
        <v>101</v>
      </c>
      <c r="C29" s="189"/>
      <c r="D29" s="139">
        <v>0</v>
      </c>
      <c r="E29" s="140">
        <v>0</v>
      </c>
      <c r="F29" s="140">
        <f>-2195+265</f>
        <v>-1930</v>
      </c>
      <c r="G29" s="140">
        <v>0</v>
      </c>
      <c r="H29" s="138">
        <v>0</v>
      </c>
      <c r="I29" s="136">
        <f>SUM(D29:H29)</f>
        <v>-1930</v>
      </c>
      <c r="J29" s="137"/>
      <c r="K29" s="36">
        <v>0</v>
      </c>
      <c r="L29" s="36">
        <f t="shared" si="2"/>
        <v>-1930</v>
      </c>
      <c r="M29" s="257">
        <v>530</v>
      </c>
      <c r="N29" s="135">
        <f t="shared" si="1"/>
        <v>-2460</v>
      </c>
    </row>
    <row r="30" spans="1:15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5" ht="12" customHeight="1">
      <c r="B31" s="273" t="s">
        <v>115</v>
      </c>
      <c r="C31" s="34"/>
      <c r="D31" s="43">
        <f>SUM(D27:D30)</f>
        <v>0</v>
      </c>
      <c r="E31" s="44">
        <f t="shared" ref="E31:N31" si="5">SUM(E27:E30)</f>
        <v>0</v>
      </c>
      <c r="F31" s="44">
        <f t="shared" si="5"/>
        <v>-1844</v>
      </c>
      <c r="G31" s="44">
        <f t="shared" si="5"/>
        <v>0</v>
      </c>
      <c r="H31" s="45">
        <f t="shared" si="5"/>
        <v>0</v>
      </c>
      <c r="I31" s="46">
        <f t="shared" si="5"/>
        <v>-1844</v>
      </c>
      <c r="J31" s="44">
        <f t="shared" si="5"/>
        <v>0</v>
      </c>
      <c r="K31" s="44">
        <f t="shared" si="5"/>
        <v>0</v>
      </c>
      <c r="L31" s="44">
        <f t="shared" si="5"/>
        <v>-1844</v>
      </c>
      <c r="M31" s="45">
        <f t="shared" si="5"/>
        <v>6291</v>
      </c>
      <c r="N31" s="45">
        <f t="shared" si="5"/>
        <v>-8135</v>
      </c>
    </row>
    <row r="32" spans="1:15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12" customHeight="1">
      <c r="B34" s="273" t="s">
        <v>76</v>
      </c>
      <c r="C34" s="34"/>
      <c r="D34" s="43">
        <f>+D25+D31</f>
        <v>-22218</v>
      </c>
      <c r="E34" s="44">
        <f t="shared" ref="E34:N34" si="6">+E25+E31</f>
        <v>92.086999999999989</v>
      </c>
      <c r="F34" s="44">
        <f t="shared" si="6"/>
        <v>-1764.2760000000001</v>
      </c>
      <c r="G34" s="44">
        <f t="shared" si="6"/>
        <v>0</v>
      </c>
      <c r="H34" s="45">
        <f t="shared" si="6"/>
        <v>0</v>
      </c>
      <c r="I34" s="46">
        <f t="shared" si="6"/>
        <v>-23890.188999999998</v>
      </c>
      <c r="J34" s="44">
        <f t="shared" si="6"/>
        <v>0</v>
      </c>
      <c r="K34" s="44">
        <f t="shared" si="6"/>
        <v>0</v>
      </c>
      <c r="L34" s="44">
        <f t="shared" si="6"/>
        <v>-23890.188999999998</v>
      </c>
      <c r="M34" s="45" t="e">
        <f t="shared" ca="1" si="6"/>
        <v>#NAME?</v>
      </c>
      <c r="N34" s="45" t="e">
        <f t="shared" ca="1" si="6"/>
        <v>#NAME?</v>
      </c>
    </row>
    <row r="35" spans="2:14" ht="3" customHeight="1">
      <c r="B35" s="107"/>
      <c r="C35" s="34"/>
      <c r="D35" s="133"/>
      <c r="E35" s="36"/>
      <c r="F35" s="36"/>
      <c r="G35" s="36"/>
      <c r="H35" s="138"/>
      <c r="I35" s="136"/>
      <c r="J35" s="36"/>
      <c r="K35" s="133"/>
      <c r="L35" s="36"/>
      <c r="M35" s="138"/>
      <c r="N35" s="135"/>
    </row>
    <row r="36" spans="2:14" ht="13.5" customHeight="1">
      <c r="B36" s="107" t="s">
        <v>10</v>
      </c>
      <c r="C36" s="34"/>
      <c r="D36" s="133">
        <v>0</v>
      </c>
      <c r="E36" s="140">
        <v>0</v>
      </c>
      <c r="F36" s="140">
        <v>0</v>
      </c>
      <c r="G36" s="140">
        <v>-520</v>
      </c>
      <c r="H36" s="138">
        <v>0</v>
      </c>
      <c r="I36" s="136">
        <f>SUM(D36:H36)</f>
        <v>-520</v>
      </c>
      <c r="J36" s="36"/>
      <c r="K36" s="133">
        <v>0</v>
      </c>
      <c r="L36" s="36">
        <f>SUM(I36:K36)</f>
        <v>-520</v>
      </c>
      <c r="M36" s="138">
        <f>+G36</f>
        <v>-520</v>
      </c>
      <c r="N36" s="135">
        <f>L36-M36</f>
        <v>0</v>
      </c>
    </row>
    <row r="37" spans="2:14" ht="3" customHeight="1">
      <c r="B37" s="107"/>
      <c r="C37" s="34"/>
      <c r="D37" s="133"/>
      <c r="E37" s="36"/>
      <c r="F37" s="36"/>
      <c r="G37" s="36"/>
      <c r="H37" s="138"/>
      <c r="I37" s="136"/>
      <c r="J37" s="36"/>
      <c r="K37" s="133"/>
      <c r="L37" s="36"/>
      <c r="M37" s="138"/>
      <c r="N37" s="135"/>
    </row>
    <row r="38" spans="2:14" ht="12" customHeight="1">
      <c r="B38" s="38" t="s">
        <v>77</v>
      </c>
      <c r="C38" s="34"/>
      <c r="D38" s="39">
        <f>+D34+D36</f>
        <v>-22218</v>
      </c>
      <c r="E38" s="40">
        <f>+E34+E36</f>
        <v>92.086999999999989</v>
      </c>
      <c r="F38" s="40">
        <f>+F34+F36</f>
        <v>-1764.2760000000001</v>
      </c>
      <c r="G38" s="40">
        <f>+G34+G36</f>
        <v>-520</v>
      </c>
      <c r="H38" s="41">
        <f>+H34+H36</f>
        <v>0</v>
      </c>
      <c r="I38" s="42">
        <f>SUM(I34:I36)</f>
        <v>-24410.188999999998</v>
      </c>
      <c r="J38" s="40">
        <f>SUM(J34:J36)</f>
        <v>0</v>
      </c>
      <c r="K38" s="39">
        <f>+K34+K36</f>
        <v>0</v>
      </c>
      <c r="L38" s="40">
        <f>+L34+L36</f>
        <v>-24410.188999999998</v>
      </c>
      <c r="M38" s="41" t="e">
        <f ca="1">+M34+M36</f>
        <v>#NAME?</v>
      </c>
      <c r="N38" s="41" t="e">
        <f ca="1">SUM(N34:N36)</f>
        <v>#NAME?</v>
      </c>
    </row>
    <row r="39" spans="2:14" ht="3" customHeight="1">
      <c r="B39" s="24"/>
      <c r="D39" s="25"/>
      <c r="E39" s="26"/>
      <c r="F39" s="26"/>
      <c r="G39" s="26"/>
      <c r="H39" s="27"/>
      <c r="I39" s="170"/>
      <c r="J39" s="26"/>
      <c r="K39" s="25"/>
      <c r="L39" s="26"/>
      <c r="M39" s="27"/>
      <c r="N39" s="27"/>
    </row>
    <row r="40" spans="2:14">
      <c r="B40" s="163" t="s">
        <v>60</v>
      </c>
      <c r="C40" s="5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 t="s">
        <v>63</v>
      </c>
      <c r="M45" s="23"/>
      <c r="N45" s="23"/>
    </row>
    <row r="46" spans="2:14">
      <c r="D46" s="23"/>
    </row>
    <row r="47" spans="2:14">
      <c r="D47" s="23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H20" sqref="H20:H21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7" t="s">
        <v>70</v>
      </c>
      <c r="C2" s="327"/>
      <c r="D2" s="327"/>
      <c r="E2" s="327"/>
      <c r="F2" s="327"/>
      <c r="G2" s="327"/>
      <c r="H2" s="327"/>
      <c r="I2" s="327"/>
      <c r="J2" s="327"/>
      <c r="K2" s="327"/>
      <c r="Q2" t="s">
        <v>59</v>
      </c>
    </row>
    <row r="3" spans="1:37" ht="15">
      <c r="A3" s="11">
        <v>36861</v>
      </c>
      <c r="B3" s="328" t="s">
        <v>95</v>
      </c>
      <c r="C3" s="328"/>
      <c r="D3" s="328"/>
      <c r="E3" s="328"/>
      <c r="F3" s="328"/>
      <c r="G3" s="328"/>
      <c r="H3" s="328"/>
      <c r="I3" s="328"/>
      <c r="J3" s="328"/>
      <c r="K3" s="328"/>
    </row>
    <row r="4" spans="1:37">
      <c r="A4" s="10" t="s">
        <v>22</v>
      </c>
      <c r="B4" s="329" t="str">
        <f>+GrossMargin!B4</f>
        <v>Results based on activity through November 9, 2000</v>
      </c>
      <c r="C4" s="329"/>
      <c r="D4" s="329"/>
      <c r="E4" s="329"/>
      <c r="F4" s="329"/>
      <c r="G4" s="329"/>
      <c r="H4" s="329"/>
      <c r="I4" s="329"/>
      <c r="J4" s="329"/>
      <c r="K4" s="329"/>
    </row>
    <row r="5" spans="1:37" ht="3" customHeight="1"/>
    <row r="6" spans="1:37" s="50" customFormat="1" ht="12">
      <c r="A6" s="10" t="s">
        <v>47</v>
      </c>
      <c r="B6" s="124"/>
      <c r="D6" s="321" t="s">
        <v>26</v>
      </c>
      <c r="E6" s="322"/>
      <c r="F6" s="323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4" t="s">
        <v>39</v>
      </c>
      <c r="I7" s="325"/>
      <c r="J7" s="325"/>
      <c r="K7" s="326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 t="e">
        <f ca="1">ROUND(_xll.HPVAL($A10,$A$1,$A$2,$A$3,$A$4,$A$6)/1000,1)</f>
        <v>#NAME?</v>
      </c>
      <c r="F10" s="143" t="e">
        <f t="shared" ca="1" si="0"/>
        <v>#NAME?</v>
      </c>
      <c r="G10" s="52"/>
      <c r="H10" s="251" t="s">
        <v>112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 t="e">
        <f ca="1">+E11+1000+120</f>
        <v>#NAME?</v>
      </c>
      <c r="E11" s="173" t="e">
        <f ca="1">ROUND(_xll.HPVAL($A11,$A$1,$A$2,$A$3,$A$4,$A$6)/1000,1)</f>
        <v>#NAME?</v>
      </c>
      <c r="F11" s="143" t="e">
        <f t="shared" ca="1" si="0"/>
        <v>#NAME?</v>
      </c>
      <c r="G11" s="52"/>
      <c r="H11" s="251" t="s">
        <v>106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 t="e">
        <f ca="1">+E12</f>
        <v>#NAME?</v>
      </c>
      <c r="E12" s="173" t="e">
        <f ca="1">ROUND(_xll.HPVAL($A12,$A$1,$A$2,$A$3,$A$4,$A$6)/1000,1)</f>
        <v>#NAME?</v>
      </c>
      <c r="F12" s="143" t="e">
        <f t="shared" ca="1" si="0"/>
        <v>#NAME?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 t="e">
        <f ca="1">+E13</f>
        <v>#NAME?</v>
      </c>
      <c r="E13" s="173" t="e">
        <f ca="1">ROUND(_xll.HPVAL($A13,$A$1,$A$2,$A$3,$A$4,$A$6)/1000,1)</f>
        <v>#NAME?</v>
      </c>
      <c r="F13" s="143" t="e">
        <f t="shared" ca="1" si="0"/>
        <v>#NAME?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1513.1770000000001</v>
      </c>
      <c r="E14" s="173">
        <f>2000.4-487.223</f>
        <v>1513.1770000000001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f>500+380+100</f>
        <v>980</v>
      </c>
      <c r="E15" s="173">
        <v>0</v>
      </c>
      <c r="F15" s="177">
        <f t="shared" si="0"/>
        <v>-980</v>
      </c>
      <c r="G15" s="52"/>
      <c r="H15" s="251" t="s">
        <v>103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750</v>
      </c>
      <c r="E16" s="142">
        <v>0</v>
      </c>
      <c r="F16" s="143">
        <f>E16-D16</f>
        <v>-750</v>
      </c>
      <c r="G16" s="52"/>
      <c r="H16" s="251" t="s">
        <v>150</v>
      </c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117</v>
      </c>
      <c r="C18" s="50"/>
      <c r="D18" s="56" t="e">
        <f ca="1">SUM(D9:D17)</f>
        <v>#NAME?</v>
      </c>
      <c r="E18" s="57" t="e">
        <f ca="1">SUM(E9:E17)</f>
        <v>#NAME?</v>
      </c>
      <c r="F18" s="183" t="e">
        <f ca="1">SUM(F9:F17)</f>
        <v>#NAME?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f>2873</f>
        <v>2873</v>
      </c>
      <c r="E20" s="173">
        <v>1385</v>
      </c>
      <c r="F20" s="177">
        <f>E20-D20</f>
        <v>-1488</v>
      </c>
      <c r="G20" s="52"/>
      <c r="H20" s="251" t="s">
        <v>151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v>2044</v>
      </c>
      <c r="E21" s="173">
        <v>1536</v>
      </c>
      <c r="F21" s="177">
        <f>E21-D21</f>
        <v>-508</v>
      </c>
      <c r="G21" s="52"/>
      <c r="H21" s="251" t="s">
        <v>152</v>
      </c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1056</v>
      </c>
      <c r="E22" s="173">
        <f>1601</f>
        <v>1601</v>
      </c>
      <c r="F22" s="177">
        <f>E22-D22</f>
        <v>545</v>
      </c>
      <c r="G22" s="52"/>
      <c r="H22" s="251" t="s">
        <v>113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107</v>
      </c>
      <c r="C24" s="50"/>
      <c r="D24" s="56">
        <f>SUM(D20:D23)</f>
        <v>5973</v>
      </c>
      <c r="E24" s="57">
        <f>SUM(E20:E23)</f>
        <v>4522</v>
      </c>
      <c r="F24" s="183">
        <f>SUM(F20:F23)</f>
        <v>-1451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 t="e">
        <f ca="1">+D18+D24</f>
        <v>#NAME?</v>
      </c>
      <c r="E27" s="57" t="e">
        <f ca="1">+E18+E24</f>
        <v>#NAME?</v>
      </c>
      <c r="F27" s="183" t="e">
        <f ca="1">+F18+F24</f>
        <v>#NAME?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 t="e">
        <f ca="1">26030+'CapChrg-AllocExp'!M29+1188</f>
        <v>#NAME?</v>
      </c>
      <c r="E29" s="142">
        <f>26030+1188</f>
        <v>27218</v>
      </c>
      <c r="F29" s="143" t="e">
        <f ca="1">E29-D29</f>
        <v>#NAME?</v>
      </c>
      <c r="G29" s="52"/>
      <c r="H29" s="251" t="s">
        <v>111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 t="e">
        <f ca="1">SUM(D27:D30)</f>
        <v>#NAME?</v>
      </c>
      <c r="E32" s="48" t="e">
        <f ca="1">SUM(E27:E30)</f>
        <v>#NAME?</v>
      </c>
      <c r="F32" s="49" t="e">
        <f ca="1">SUM(F27:F30)</f>
        <v>#NAME?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30" t="s">
        <v>49</v>
      </c>
      <c r="E35" s="331"/>
      <c r="F35" s="332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318" t="s">
        <v>39</v>
      </c>
      <c r="I36" s="319"/>
      <c r="J36" s="319"/>
      <c r="K36" s="320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6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69"/>
      <c r="E42" s="1"/>
      <c r="F42" s="27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6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K34" sqref="K34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7" t="s">
        <v>70</v>
      </c>
      <c r="B2" s="327"/>
      <c r="C2" s="327"/>
      <c r="D2" s="327"/>
      <c r="E2" s="327"/>
      <c r="F2" s="327"/>
      <c r="G2" s="327"/>
      <c r="H2" s="327"/>
      <c r="I2" s="327"/>
      <c r="J2" s="327"/>
    </row>
    <row r="3" spans="1:33" ht="15">
      <c r="A3" s="328" t="s">
        <v>96</v>
      </c>
      <c r="B3" s="328"/>
      <c r="C3" s="328"/>
      <c r="D3" s="328"/>
      <c r="E3" s="328"/>
      <c r="F3" s="328"/>
      <c r="G3" s="328"/>
      <c r="H3" s="328"/>
      <c r="I3" s="328"/>
      <c r="J3" s="328"/>
    </row>
    <row r="4" spans="1:33">
      <c r="A4" s="329" t="str">
        <f>+Expenses!B4</f>
        <v>Results based on activity through November 9, 2000</v>
      </c>
      <c r="B4" s="329"/>
      <c r="C4" s="329"/>
      <c r="D4" s="329"/>
      <c r="E4" s="329"/>
      <c r="F4" s="329"/>
      <c r="G4" s="329"/>
      <c r="H4" s="329"/>
      <c r="I4" s="329"/>
      <c r="J4" s="329"/>
    </row>
    <row r="5" spans="1:33" ht="3" customHeight="1"/>
    <row r="6" spans="1:33" s="31" customFormat="1">
      <c r="A6" s="124"/>
      <c r="B6" s="50"/>
      <c r="C6" s="321" t="s">
        <v>26</v>
      </c>
      <c r="D6" s="322"/>
      <c r="E6" s="323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4" t="s">
        <v>39</v>
      </c>
      <c r="H7" s="325"/>
      <c r="I7" s="325"/>
      <c r="J7" s="326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 t="e">
        <f ca="1">+Expenses!E10-[3]Expenses!E10</f>
        <v>#NAME?</v>
      </c>
      <c r="E10" s="143" t="e">
        <f t="shared" ca="1" si="0"/>
        <v>#NAME?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 t="e">
        <f ca="1">+Expenses!D11-[3]Expenses!D11</f>
        <v>#NAME?</v>
      </c>
      <c r="D11" s="142" t="e">
        <f ca="1">+Expenses!E11-[3]Expenses!E11</f>
        <v>#NAME?</v>
      </c>
      <c r="E11" s="143" t="e">
        <f t="shared" ca="1" si="0"/>
        <v>#NAME?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 t="e">
        <f ca="1">+Expenses!D12-[3]Expenses!D12</f>
        <v>#NAME?</v>
      </c>
      <c r="D12" s="142" t="e">
        <f ca="1">+Expenses!E12-[3]Expenses!E12</f>
        <v>#NAME?</v>
      </c>
      <c r="E12" s="143" t="e">
        <f t="shared" ca="1" si="0"/>
        <v>#NAME?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 t="e">
        <f ca="1">+Expenses!D13-[3]Expenses!D13</f>
        <v>#NAME?</v>
      </c>
      <c r="D13" s="142" t="e">
        <f ca="1">+Expenses!E13-[3]Expenses!E13</f>
        <v>#NAME?</v>
      </c>
      <c r="E13" s="143" t="e">
        <f t="shared" ca="1" si="0"/>
        <v>#NAME?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0</v>
      </c>
      <c r="D15" s="142">
        <f>+Expenses!E15-[3]Expenses!E15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400</v>
      </c>
      <c r="D16" s="142">
        <f>+Expenses!E16-[3]Expenses!E16</f>
        <v>0</v>
      </c>
      <c r="E16" s="143">
        <f>D16-C16</f>
        <v>-400</v>
      </c>
      <c r="F16" s="52"/>
      <c r="G16" s="251" t="s">
        <v>150</v>
      </c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72" t="s">
        <v>117</v>
      </c>
      <c r="B18" s="50"/>
      <c r="C18" s="47" t="e">
        <f ca="1">SUM(C9:C17)</f>
        <v>#NAME?</v>
      </c>
      <c r="D18" s="48" t="e">
        <f ca="1">SUM(D9:D17)</f>
        <v>#NAME?</v>
      </c>
      <c r="E18" s="49" t="e">
        <f ca="1">SUM(E9:E17)</f>
        <v>#NAME?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1488</v>
      </c>
      <c r="D20" s="142">
        <f>+Expenses!E20-[3]Expenses!E20</f>
        <v>0</v>
      </c>
      <c r="E20" s="143">
        <f>D20-C20</f>
        <v>-1488</v>
      </c>
      <c r="F20" s="52"/>
      <c r="G20" s="251" t="s">
        <v>151</v>
      </c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508</v>
      </c>
      <c r="D21" s="142">
        <f>+Expenses!E21-[3]Expenses!E21</f>
        <v>0</v>
      </c>
      <c r="E21" s="143">
        <f>D21-C21</f>
        <v>-508</v>
      </c>
      <c r="F21" s="52"/>
      <c r="G21" s="251" t="s">
        <v>152</v>
      </c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0</v>
      </c>
      <c r="D22" s="142">
        <f>+Expenses!E22-[3]Expenses!E22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72" t="s">
        <v>107</v>
      </c>
      <c r="B24" s="50"/>
      <c r="C24" s="47">
        <f>SUM(C20:C23)</f>
        <v>1996</v>
      </c>
      <c r="D24" s="48">
        <f>SUM(D20:D23)</f>
        <v>0</v>
      </c>
      <c r="E24" s="49">
        <f>SUM(E20:E23)</f>
        <v>-1996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 t="e">
        <f ca="1">+C18+C24</f>
        <v>#NAME?</v>
      </c>
      <c r="D27" s="48" t="e">
        <f ca="1">+D18+D24</f>
        <v>#NAME?</v>
      </c>
      <c r="E27" s="49" t="e">
        <f ca="1">+E18+E24</f>
        <v>#NAME?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 t="e">
        <f ca="1">+Expenses!D29-[3]Expenses!D29</f>
        <v>#NAME?</v>
      </c>
      <c r="D29" s="142">
        <f>+Expenses!E29-[3]Expenses!E29</f>
        <v>0</v>
      </c>
      <c r="E29" s="143" t="e">
        <f ca="1">D29-C29</f>
        <v>#NAME?</v>
      </c>
      <c r="F29" s="52"/>
      <c r="G29" s="144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 t="e">
        <f ca="1">SUM(C27:C30)</f>
        <v>#NAME?</v>
      </c>
      <c r="D32" s="48" t="e">
        <f ca="1">SUM(D27:D30)</f>
        <v>#NAME?</v>
      </c>
      <c r="E32" s="49" t="e">
        <f ca="1">SUM(E27:E30)</f>
        <v>#NAME?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21" t="s">
        <v>49</v>
      </c>
      <c r="D35" s="322"/>
      <c r="E35" s="323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4" t="s">
        <v>39</v>
      </c>
      <c r="H36" s="325"/>
      <c r="I36" s="325"/>
      <c r="J36" s="326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K34" sqref="K34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7" t="s">
        <v>70</v>
      </c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t="s">
        <v>59</v>
      </c>
    </row>
    <row r="3" spans="1:20" ht="15">
      <c r="A3" s="10" t="s">
        <v>31</v>
      </c>
      <c r="B3" s="328" t="s">
        <v>97</v>
      </c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</row>
    <row r="4" spans="1:20">
      <c r="A4" s="11">
        <v>36861</v>
      </c>
      <c r="B4" s="329" t="str">
        <f>'Mgmt Summary'!A3</f>
        <v>Results based on activity through November 9, 2000</v>
      </c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4" t="s">
        <v>32</v>
      </c>
      <c r="E7" s="325"/>
      <c r="F7" s="325"/>
      <c r="G7" s="325"/>
      <c r="H7" s="325"/>
      <c r="I7" s="326"/>
      <c r="J7" s="50"/>
      <c r="K7" s="324" t="s">
        <v>55</v>
      </c>
      <c r="L7" s="325"/>
      <c r="M7" s="325"/>
      <c r="N7" s="325"/>
      <c r="O7" s="325"/>
      <c r="P7" s="326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3" t="s">
        <v>33</v>
      </c>
      <c r="H8" s="334"/>
      <c r="I8" s="335"/>
      <c r="J8" s="50"/>
      <c r="K8" s="86" t="s">
        <v>6</v>
      </c>
      <c r="L8" s="87" t="s">
        <v>8</v>
      </c>
      <c r="M8" s="74" t="s">
        <v>12</v>
      </c>
      <c r="N8" s="321" t="s">
        <v>33</v>
      </c>
      <c r="O8" s="322"/>
      <c r="P8" s="323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105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 t="e">
        <f ca="1">ROUND(_xll.HPVAL($A11,$A$1,$A$2,$A$4,$A$5,$A$6)/1000,1)</f>
        <v>#NAME?</v>
      </c>
      <c r="F11" s="158" t="e">
        <f t="shared" ca="1" si="0"/>
        <v>#NAME?</v>
      </c>
      <c r="G11" s="145"/>
      <c r="H11" s="145"/>
      <c r="I11" s="146"/>
      <c r="J11" s="50"/>
      <c r="K11" s="159" t="e">
        <f ca="1">L11</f>
        <v>#NAME?</v>
      </c>
      <c r="L11" s="173" t="e">
        <f ca="1">ROUND(_xll.HPVAL($A11,$A$1,$A$3,$A$4,$A$5,$A$6)/1000,1)</f>
        <v>#NAME?</v>
      </c>
      <c r="M11" s="158" t="e">
        <f ca="1">ROUND(L11-K11,0)</f>
        <v>#NAME?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 t="e">
        <f ca="1">E12</f>
        <v>#NAME?</v>
      </c>
      <c r="E12" s="142" t="e">
        <f ca="1">ROUND(_xll.HPVAL($A12,$A$1,$A$2,$A$4,$A$5,$A$6)/1000,0)</f>
        <v>#NAME?</v>
      </c>
      <c r="F12" s="158" t="e">
        <f t="shared" ca="1" si="0"/>
        <v>#NAME?</v>
      </c>
      <c r="G12" s="145"/>
      <c r="H12" s="145"/>
      <c r="I12" s="146"/>
      <c r="J12" s="50"/>
      <c r="K12" s="159" t="e">
        <f ca="1">L12</f>
        <v>#NAME?</v>
      </c>
      <c r="L12" s="173" t="e">
        <f ca="1">ROUND(_xll.HPVAL($A12,$A$1,$A$3,$A$4,$A$5,$A$6)/1000,1)</f>
        <v>#NAME?</v>
      </c>
      <c r="M12" s="158" t="e">
        <f ca="1">ROUND(L12-K12,0)</f>
        <v>#NAME?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 t="e">
        <f ca="1">E13</f>
        <v>#NAME?</v>
      </c>
      <c r="E13" s="142" t="e">
        <f ca="1">ROUND(_xll.HPVAL($A13,$A$1,$A$2,$A$4,$A$5,$A$6)/1000,0)</f>
        <v>#NAME?</v>
      </c>
      <c r="F13" s="158" t="e">
        <f t="shared" ca="1" si="0"/>
        <v>#NAME?</v>
      </c>
      <c r="G13" s="145"/>
      <c r="H13" s="145"/>
      <c r="I13" s="146"/>
      <c r="J13" s="50"/>
      <c r="K13" s="159" t="e">
        <f ca="1">L13</f>
        <v>#NAME?</v>
      </c>
      <c r="L13" s="173" t="e">
        <f ca="1">ROUND(_xll.HPVAL($A13,$A$1,$A$3,$A$4,$A$5,$A$6)/1000,1)</f>
        <v>#NAME?</v>
      </c>
      <c r="M13" s="158" t="e">
        <f ca="1">ROUND(L13-K13,0)</f>
        <v>#NAME?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 t="e">
        <f ca="1">ROUND(_xll.HPVAL($A14,$A$1,$A$2,$A$4,$A$5,$A$6)/1000,0)</f>
        <v>#NAME?</v>
      </c>
      <c r="F14" s="158" t="e">
        <f t="shared" ca="1" si="0"/>
        <v>#NAME?</v>
      </c>
      <c r="G14" s="145"/>
      <c r="H14" s="145"/>
      <c r="I14" s="146"/>
      <c r="J14" s="50"/>
      <c r="K14" s="159" t="e">
        <f ca="1">L14</f>
        <v>#NAME?</v>
      </c>
      <c r="L14" s="173" t="e">
        <f ca="1">ROUND(_xll.HPVAL($A14,$A$1,$A$3,$A$4,$A$5,$A$6)/1000,1)</f>
        <v>#NAME?</v>
      </c>
      <c r="M14" s="158" t="e">
        <f ca="1">ROUND(L14-K14,0)</f>
        <v>#NAME?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 t="e">
        <f ca="1">E15</f>
        <v>#NAME?</v>
      </c>
      <c r="E15" s="173" t="e">
        <f ca="1">ROUND(_xll.HPVAL($A15,$A$1,$A$2,$A$4,$A$5,$A$6)/1000,0)</f>
        <v>#NAME?</v>
      </c>
      <c r="F15" s="174" t="e">
        <f t="shared" ca="1" si="0"/>
        <v>#NAME?</v>
      </c>
      <c r="G15" s="175"/>
      <c r="H15" s="175"/>
      <c r="I15" s="176"/>
      <c r="J15" s="172"/>
      <c r="K15" s="159">
        <f>L15</f>
        <v>1897.0730000000001</v>
      </c>
      <c r="L15" s="173">
        <f>2090.152-193.079</f>
        <v>1897.0730000000001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72" t="s">
        <v>117</v>
      </c>
      <c r="C17" s="50"/>
      <c r="D17" s="56" t="e">
        <f ca="1">SUM(D10:D16)</f>
        <v>#NAME?</v>
      </c>
      <c r="E17" s="57" t="e">
        <f ca="1">SUM(E10:E16)</f>
        <v>#NAME?</v>
      </c>
      <c r="F17" s="57" t="e">
        <f ca="1">SUM(F10:F16)</f>
        <v>#NAME?</v>
      </c>
      <c r="G17" s="54"/>
      <c r="H17" s="54"/>
      <c r="I17" s="55"/>
      <c r="J17" s="50"/>
      <c r="K17" s="56" t="e">
        <f ca="1">SUM(K10:K16)</f>
        <v>#NAME?</v>
      </c>
      <c r="L17" s="57" t="e">
        <f ca="1">SUM(L10:L16)</f>
        <v>#NAME?</v>
      </c>
      <c r="M17" s="57" t="e">
        <f ca="1">SUM(M10:M16)</f>
        <v>#NAME?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f>-97</f>
        <v>-97</v>
      </c>
      <c r="E18" s="173">
        <f>-10-5</f>
        <v>-15</v>
      </c>
      <c r="F18" s="174">
        <f>E18-D18</f>
        <v>82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f>+E19</f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545</v>
      </c>
      <c r="F20" s="174">
        <f>E20-D20</f>
        <v>545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72" t="s">
        <v>107</v>
      </c>
      <c r="C22" s="50"/>
      <c r="D22" s="56">
        <f>SUM(D18:D21)</f>
        <v>555</v>
      </c>
      <c r="E22" s="57">
        <f>SUM(E18:E21)</f>
        <v>1182</v>
      </c>
      <c r="F22" s="57">
        <f>SUM(F18:F21)</f>
        <v>627</v>
      </c>
      <c r="G22" s="54"/>
      <c r="H22" s="54"/>
      <c r="I22" s="55"/>
      <c r="J22" s="50"/>
      <c r="K22" s="56" t="e">
        <f ca="1">SUM(K17:K20)</f>
        <v>#NAME?</v>
      </c>
      <c r="L22" s="57" t="e">
        <f ca="1">SUM(L17:L20)</f>
        <v>#NAME?</v>
      </c>
      <c r="M22" s="57" t="e">
        <f ca="1">SUM(M17:M20)</f>
        <v>#NAME?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>
        <f>SUM(F18:F20)</f>
        <v>627</v>
      </c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 t="e">
        <f ca="1">+D17+D22</f>
        <v>#NAME?</v>
      </c>
      <c r="E26" s="57" t="e">
        <f ca="1">+E17+E22</f>
        <v>#NAME?</v>
      </c>
      <c r="F26" s="57" t="e">
        <f ca="1">+F17+F22</f>
        <v>#NAME?</v>
      </c>
      <c r="G26" s="54"/>
      <c r="H26" s="54"/>
      <c r="I26" s="55"/>
      <c r="J26" s="50"/>
      <c r="K26" s="56" t="e">
        <f ca="1">+K22+K24</f>
        <v>#NAME?</v>
      </c>
      <c r="L26" s="57" t="e">
        <f ca="1">+L22+L24</f>
        <v>#NAME?</v>
      </c>
      <c r="M26" s="57" t="e">
        <f ca="1">+M22+M24</f>
        <v>#NAME?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 t="e">
        <f ca="1">-(D26)</f>
        <v>#NAME?</v>
      </c>
      <c r="E28" s="142" t="e">
        <f ca="1">-(E26)</f>
        <v>#NAME?</v>
      </c>
      <c r="F28" s="158" t="e">
        <f ca="1">E28-D28</f>
        <v>#NAME?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 t="e">
        <f ca="1">-K26</f>
        <v>#NAME?</v>
      </c>
      <c r="L29" s="142" t="e">
        <f ca="1">-L26</f>
        <v>#NAME?</v>
      </c>
      <c r="M29" s="158" t="e">
        <f ca="1">L29-K29</f>
        <v>#NAME?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 t="e">
        <f ca="1">SUM(D26:D29)</f>
        <v>#NAME?</v>
      </c>
      <c r="E31" s="48" t="e">
        <f ca="1">SUM(E26:E29)</f>
        <v>#NAME?</v>
      </c>
      <c r="F31" s="48" t="e">
        <f ca="1">SUM(F26:F29)</f>
        <v>#NAME?</v>
      </c>
      <c r="G31" s="54"/>
      <c r="H31" s="54"/>
      <c r="I31" s="55"/>
      <c r="K31" s="47" t="e">
        <f ca="1">SUM(K26:K29)</f>
        <v>#NAME?</v>
      </c>
      <c r="L31" s="48" t="e">
        <f ca="1">SUM(L26:L29)</f>
        <v>#NAME?</v>
      </c>
      <c r="M31" s="48" t="e">
        <f ca="1">SUM(M26:M29)</f>
        <v>#NAME?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2" workbookViewId="0">
      <selection activeCell="K34" sqref="K34"/>
    </sheetView>
  </sheetViews>
  <sheetFormatPr defaultRowHeight="12.75"/>
  <cols>
    <col min="1" max="1" width="32.42578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7" width="10.7109375" customWidth="1"/>
    <col min="8" max="8" width="9.7109375" customWidth="1"/>
    <col min="9" max="9" width="9.28515625" customWidth="1"/>
  </cols>
  <sheetData>
    <row r="1" spans="1:9" ht="12.75" hidden="1" customHeight="1"/>
    <row r="2" spans="1:9" ht="15.75">
      <c r="A2" s="298" t="s">
        <v>70</v>
      </c>
      <c r="B2" s="298"/>
      <c r="C2" s="298"/>
      <c r="D2" s="298"/>
      <c r="E2" s="298"/>
      <c r="F2" s="298"/>
      <c r="G2" s="298"/>
      <c r="H2" s="298"/>
      <c r="I2" s="298"/>
    </row>
    <row r="3" spans="1:9" ht="15.75">
      <c r="A3" s="299" t="s">
        <v>144</v>
      </c>
      <c r="B3" s="298"/>
      <c r="C3" s="298"/>
      <c r="D3" s="298"/>
      <c r="E3" s="298"/>
      <c r="F3" s="298"/>
      <c r="G3" s="298"/>
      <c r="H3" s="298"/>
      <c r="I3" s="298"/>
    </row>
    <row r="4" spans="1:9" ht="15">
      <c r="A4" s="299" t="str">
        <f>+GrossMargin!B4</f>
        <v>Results based on activity through November 9, 2000</v>
      </c>
      <c r="B4" s="299"/>
      <c r="C4" s="299"/>
      <c r="D4" s="299"/>
      <c r="E4" s="299"/>
      <c r="F4" s="299"/>
      <c r="G4" s="299"/>
      <c r="H4" s="299"/>
      <c r="I4" s="299"/>
    </row>
    <row r="5" spans="1:9" ht="3" customHeight="1"/>
    <row r="6" spans="1:9" s="50" customFormat="1" ht="12">
      <c r="A6" s="124"/>
      <c r="C6" s="321" t="s">
        <v>13</v>
      </c>
      <c r="D6" s="322"/>
      <c r="E6" s="323"/>
      <c r="G6" s="321" t="s">
        <v>26</v>
      </c>
      <c r="H6" s="322"/>
      <c r="I6" s="323"/>
    </row>
    <row r="7" spans="1:9" s="50" customFormat="1" ht="12">
      <c r="A7" s="128" t="s">
        <v>9</v>
      </c>
      <c r="C7" s="86" t="s">
        <v>6</v>
      </c>
      <c r="D7" s="87" t="s">
        <v>8</v>
      </c>
      <c r="E7" s="74" t="s">
        <v>12</v>
      </c>
      <c r="G7" s="86" t="s">
        <v>6</v>
      </c>
      <c r="H7" s="87" t="s">
        <v>8</v>
      </c>
      <c r="I7" s="74" t="s">
        <v>12</v>
      </c>
    </row>
    <row r="8" spans="1:9" ht="3" customHeight="1">
      <c r="A8" s="4"/>
      <c r="C8" s="7"/>
      <c r="D8" s="8"/>
      <c r="E8" s="9"/>
      <c r="F8" s="1"/>
      <c r="G8" s="7"/>
      <c r="H8" s="8"/>
      <c r="I8" s="9"/>
    </row>
    <row r="9" spans="1:9" ht="13.5" customHeight="1">
      <c r="A9" s="171" t="s">
        <v>131</v>
      </c>
      <c r="B9" s="172"/>
      <c r="C9" s="159">
        <v>0</v>
      </c>
      <c r="D9" s="173">
        <v>0</v>
      </c>
      <c r="E9" s="177">
        <f>D9-C9</f>
        <v>0</v>
      </c>
      <c r="F9" s="52"/>
      <c r="G9" s="159">
        <v>-127</v>
      </c>
      <c r="H9" s="173">
        <v>-127</v>
      </c>
      <c r="I9" s="177">
        <f>H9-G9</f>
        <v>0</v>
      </c>
    </row>
    <row r="10" spans="1:9" ht="3" customHeight="1">
      <c r="A10" s="171"/>
      <c r="B10" s="172"/>
      <c r="C10" s="159"/>
      <c r="D10" s="173"/>
      <c r="E10" s="177"/>
      <c r="F10" s="52"/>
      <c r="G10" s="159"/>
      <c r="H10" s="173"/>
      <c r="I10" s="177"/>
    </row>
    <row r="11" spans="1:9" ht="13.5" customHeight="1">
      <c r="A11" s="302" t="s">
        <v>139</v>
      </c>
      <c r="B11" s="172"/>
      <c r="C11" s="300">
        <f>+C9</f>
        <v>0</v>
      </c>
      <c r="D11" s="301">
        <f>+D9</f>
        <v>0</v>
      </c>
      <c r="E11" s="183">
        <f>+E9</f>
        <v>0</v>
      </c>
      <c r="F11" s="52"/>
      <c r="G11" s="56">
        <f>+G9</f>
        <v>-127</v>
      </c>
      <c r="H11" s="57">
        <f>+H9</f>
        <v>-127</v>
      </c>
      <c r="I11" s="183">
        <f>+I9</f>
        <v>0</v>
      </c>
    </row>
    <row r="12" spans="1:9" ht="3" customHeight="1">
      <c r="A12" s="171"/>
      <c r="B12" s="172"/>
      <c r="C12" s="159"/>
      <c r="D12" s="173"/>
      <c r="E12" s="177"/>
      <c r="F12" s="52"/>
      <c r="G12" s="159"/>
      <c r="H12" s="173"/>
      <c r="I12" s="177"/>
    </row>
    <row r="13" spans="1:9" ht="13.5" customHeight="1">
      <c r="A13" s="171" t="s">
        <v>134</v>
      </c>
      <c r="B13" s="172"/>
      <c r="C13" s="159">
        <v>0</v>
      </c>
      <c r="D13" s="173">
        <v>0</v>
      </c>
      <c r="E13" s="177">
        <f>D13-C13</f>
        <v>0</v>
      </c>
      <c r="F13" s="52"/>
      <c r="G13" s="159" t="e">
        <f ca="1">+'CapChrg-AllocExp'!D11*0+H13</f>
        <v>#NAME?</v>
      </c>
      <c r="H13" s="173" t="e">
        <f ca="1">+'CapChrg-AllocExp'!E11</f>
        <v>#NAME?</v>
      </c>
      <c r="I13" s="177" t="e">
        <f ca="1">H13-G13</f>
        <v>#NAME?</v>
      </c>
    </row>
    <row r="14" spans="1:9" ht="3" customHeight="1">
      <c r="A14" s="171"/>
      <c r="B14" s="172"/>
      <c r="C14" s="159"/>
      <c r="D14" s="173"/>
      <c r="E14" s="177"/>
      <c r="F14" s="52"/>
      <c r="G14" s="159"/>
      <c r="H14" s="173"/>
      <c r="I14" s="177"/>
    </row>
    <row r="15" spans="1:9" ht="13.5" customHeight="1">
      <c r="A15" s="302" t="s">
        <v>140</v>
      </c>
      <c r="B15" s="172"/>
      <c r="C15" s="300">
        <f>+C13</f>
        <v>0</v>
      </c>
      <c r="D15" s="301">
        <f>+D13</f>
        <v>0</v>
      </c>
      <c r="E15" s="183">
        <f>+E13</f>
        <v>0</v>
      </c>
      <c r="F15" s="52"/>
      <c r="G15" s="56" t="e">
        <f ca="1">+G13</f>
        <v>#NAME?</v>
      </c>
      <c r="H15" s="57" t="e">
        <f ca="1">+H13</f>
        <v>#NAME?</v>
      </c>
      <c r="I15" s="183" t="e">
        <f ca="1">+I13</f>
        <v>#NAME?</v>
      </c>
    </row>
    <row r="16" spans="1:9" ht="3" customHeight="1">
      <c r="A16" s="171"/>
      <c r="B16" s="172"/>
      <c r="C16" s="159"/>
      <c r="D16" s="173"/>
      <c r="E16" s="177"/>
      <c r="F16" s="52"/>
      <c r="G16" s="159"/>
      <c r="H16" s="173"/>
      <c r="I16" s="177"/>
    </row>
    <row r="17" spans="1:9" ht="13.5" customHeight="1">
      <c r="A17" s="129" t="s">
        <v>132</v>
      </c>
      <c r="B17" s="50"/>
      <c r="C17" s="159">
        <v>0</v>
      </c>
      <c r="D17" s="173">
        <v>0</v>
      </c>
      <c r="E17" s="143">
        <f>D17-C17</f>
        <v>0</v>
      </c>
      <c r="F17" s="52"/>
      <c r="G17" s="159">
        <f>-97+82</f>
        <v>-15</v>
      </c>
      <c r="H17" s="173">
        <f>+'CapChrg-AllocExp'!E18</f>
        <v>-15</v>
      </c>
      <c r="I17" s="143">
        <f>H17-G17</f>
        <v>0</v>
      </c>
    </row>
    <row r="18" spans="1:9" ht="3" customHeight="1">
      <c r="A18" s="171"/>
      <c r="B18" s="172"/>
      <c r="C18" s="159"/>
      <c r="D18" s="173"/>
      <c r="E18" s="177"/>
      <c r="F18" s="52"/>
      <c r="G18" s="159"/>
      <c r="H18" s="173"/>
      <c r="I18" s="177"/>
    </row>
    <row r="19" spans="1:9" ht="13.5" customHeight="1">
      <c r="A19" s="302" t="s">
        <v>141</v>
      </c>
      <c r="B19" s="172"/>
      <c r="C19" s="300">
        <f>+C17</f>
        <v>0</v>
      </c>
      <c r="D19" s="301">
        <f>+D17</f>
        <v>0</v>
      </c>
      <c r="E19" s="183">
        <f>+E17</f>
        <v>0</v>
      </c>
      <c r="F19" s="52"/>
      <c r="G19" s="56">
        <f>+G17</f>
        <v>-15</v>
      </c>
      <c r="H19" s="57">
        <f>+H17</f>
        <v>-15</v>
      </c>
      <c r="I19" s="183">
        <f>+I17</f>
        <v>0</v>
      </c>
    </row>
    <row r="20" spans="1:9" ht="3" customHeight="1">
      <c r="A20" s="171"/>
      <c r="B20" s="172"/>
      <c r="C20" s="159"/>
      <c r="D20" s="173"/>
      <c r="E20" s="177"/>
      <c r="F20" s="52"/>
      <c r="G20" s="159"/>
      <c r="H20" s="173"/>
      <c r="I20" s="177"/>
    </row>
    <row r="21" spans="1:9" ht="13.5" customHeight="1">
      <c r="A21" s="129" t="s">
        <v>133</v>
      </c>
      <c r="B21" s="50"/>
      <c r="C21" s="159">
        <v>0</v>
      </c>
      <c r="D21" s="173">
        <v>0</v>
      </c>
      <c r="E21" s="143">
        <f>D21-C21</f>
        <v>0</v>
      </c>
      <c r="F21" s="52"/>
      <c r="G21" s="159">
        <f>+'CapChrg-AllocExp'!D19</f>
        <v>652</v>
      </c>
      <c r="H21" s="173">
        <f>+'CapChrg-AllocExp'!E19</f>
        <v>652</v>
      </c>
      <c r="I21" s="143">
        <f>H21-G21</f>
        <v>0</v>
      </c>
    </row>
    <row r="22" spans="1:9" ht="3" customHeight="1">
      <c r="A22" s="171"/>
      <c r="B22" s="172"/>
      <c r="C22" s="159"/>
      <c r="D22" s="173"/>
      <c r="E22" s="177"/>
      <c r="F22" s="52"/>
      <c r="G22" s="159"/>
      <c r="H22" s="173"/>
      <c r="I22" s="177"/>
    </row>
    <row r="23" spans="1:9" ht="13.5" customHeight="1">
      <c r="A23" s="302" t="s">
        <v>142</v>
      </c>
      <c r="B23" s="172"/>
      <c r="C23" s="300">
        <f>+C21</f>
        <v>0</v>
      </c>
      <c r="D23" s="301">
        <f>+D21</f>
        <v>0</v>
      </c>
      <c r="E23" s="183">
        <f>+E21</f>
        <v>0</v>
      </c>
      <c r="F23" s="52"/>
      <c r="G23" s="56">
        <f>+G21</f>
        <v>652</v>
      </c>
      <c r="H23" s="57">
        <f>+H21</f>
        <v>652</v>
      </c>
      <c r="I23" s="183">
        <f>+I21</f>
        <v>0</v>
      </c>
    </row>
    <row r="24" spans="1:9" ht="3" customHeight="1">
      <c r="A24" s="171"/>
      <c r="B24" s="172"/>
      <c r="C24" s="159"/>
      <c r="D24" s="173"/>
      <c r="E24" s="177"/>
      <c r="F24" s="52"/>
      <c r="G24" s="159"/>
      <c r="H24" s="173"/>
      <c r="I24" s="177"/>
    </row>
    <row r="25" spans="1:9" ht="13.5" customHeight="1">
      <c r="A25" s="129" t="s">
        <v>135</v>
      </c>
      <c r="B25" s="50"/>
      <c r="C25" s="159">
        <v>0</v>
      </c>
      <c r="D25" s="173">
        <v>0</v>
      </c>
      <c r="E25" s="143">
        <f>D25-C25</f>
        <v>0</v>
      </c>
      <c r="F25" s="52"/>
      <c r="G25" s="159">
        <f>240*0+H25</f>
        <v>147</v>
      </c>
      <c r="H25" s="173">
        <v>147</v>
      </c>
      <c r="I25" s="143">
        <f>H25-G25</f>
        <v>0</v>
      </c>
    </row>
    <row r="26" spans="1:9" ht="13.5" customHeight="1">
      <c r="A26" s="129" t="s">
        <v>136</v>
      </c>
      <c r="B26" s="172"/>
      <c r="C26" s="159">
        <v>0</v>
      </c>
      <c r="D26" s="173">
        <v>0</v>
      </c>
      <c r="E26" s="177">
        <f>D26-C26</f>
        <v>0</v>
      </c>
      <c r="F26" s="52"/>
      <c r="G26" s="159">
        <f>1876*0</f>
        <v>0</v>
      </c>
      <c r="H26" s="173">
        <v>0</v>
      </c>
      <c r="I26" s="177">
        <f>H26-G26</f>
        <v>0</v>
      </c>
    </row>
    <row r="27" spans="1:9" ht="13.5" customHeight="1">
      <c r="A27" s="129" t="s">
        <v>137</v>
      </c>
      <c r="B27" s="172"/>
      <c r="C27" s="159">
        <v>0</v>
      </c>
      <c r="D27" s="173">
        <v>0</v>
      </c>
      <c r="E27" s="177">
        <f>D27-C27</f>
        <v>0</v>
      </c>
      <c r="F27" s="52"/>
      <c r="G27" s="159">
        <f>-654*0</f>
        <v>0</v>
      </c>
      <c r="H27" s="173">
        <v>0</v>
      </c>
      <c r="I27" s="177">
        <f>H27-G27</f>
        <v>0</v>
      </c>
    </row>
    <row r="28" spans="1:9" ht="13.5" customHeight="1">
      <c r="A28" s="129" t="s">
        <v>138</v>
      </c>
      <c r="B28" s="50"/>
      <c r="C28" s="159">
        <v>0</v>
      </c>
      <c r="D28" s="142">
        <v>0</v>
      </c>
      <c r="E28" s="143">
        <f>D28-C28</f>
        <v>0</v>
      </c>
      <c r="F28" s="52"/>
      <c r="G28" s="159">
        <f>-1541*0</f>
        <v>0</v>
      </c>
      <c r="H28" s="142">
        <v>0</v>
      </c>
      <c r="I28" s="143">
        <f>H28-G28</f>
        <v>0</v>
      </c>
    </row>
    <row r="29" spans="1:9" ht="13.5" customHeight="1">
      <c r="A29" s="129" t="s">
        <v>146</v>
      </c>
      <c r="B29" s="50"/>
      <c r="C29" s="159">
        <v>0</v>
      </c>
      <c r="D29" s="142">
        <v>0</v>
      </c>
      <c r="E29" s="143">
        <f>D29-C29</f>
        <v>0</v>
      </c>
      <c r="F29" s="52"/>
      <c r="G29" s="159">
        <f>+'CapChrg-AllocExp'!D20*0+H29</f>
        <v>545</v>
      </c>
      <c r="H29" s="142">
        <f>+'CapChrg-AllocExp'!E20</f>
        <v>545</v>
      </c>
      <c r="I29" s="143">
        <f>H29-G29</f>
        <v>0</v>
      </c>
    </row>
    <row r="30" spans="1:9" ht="3" customHeight="1">
      <c r="A30" s="171"/>
      <c r="B30" s="172"/>
      <c r="C30" s="159"/>
      <c r="D30" s="173"/>
      <c r="E30" s="177"/>
      <c r="F30" s="52"/>
      <c r="G30" s="159"/>
      <c r="H30" s="173"/>
      <c r="I30" s="177"/>
    </row>
    <row r="31" spans="1:9" ht="13.5" customHeight="1">
      <c r="A31" s="302" t="s">
        <v>145</v>
      </c>
      <c r="B31" s="172"/>
      <c r="C31" s="300">
        <f>SUM(C25:C30)</f>
        <v>0</v>
      </c>
      <c r="D31" s="301">
        <f>SUM(D25:D30)</f>
        <v>0</v>
      </c>
      <c r="E31" s="183">
        <f>SUM(E25:E29)</f>
        <v>0</v>
      </c>
      <c r="F31" s="52"/>
      <c r="G31" s="56">
        <f>SUM(G25:G30)</f>
        <v>692</v>
      </c>
      <c r="H31" s="57">
        <f>SUM(H25:H30)</f>
        <v>692</v>
      </c>
      <c r="I31" s="183">
        <f>SUM(I25:I29)</f>
        <v>0</v>
      </c>
    </row>
    <row r="32" spans="1:9" ht="3" customHeight="1">
      <c r="A32" s="171"/>
      <c r="B32" s="172"/>
      <c r="C32" s="159"/>
      <c r="D32" s="173"/>
      <c r="E32" s="177"/>
      <c r="F32" s="52"/>
      <c r="G32" s="159"/>
      <c r="H32" s="173"/>
      <c r="I32" s="177"/>
    </row>
    <row r="33" spans="1:9" ht="3" customHeight="1">
      <c r="A33" s="129"/>
      <c r="B33" s="50"/>
      <c r="C33" s="141"/>
      <c r="D33" s="142"/>
      <c r="E33" s="143"/>
      <c r="F33" s="52"/>
      <c r="G33" s="141"/>
      <c r="H33" s="142"/>
      <c r="I33" s="143"/>
    </row>
    <row r="34" spans="1:9" s="50" customFormat="1" ht="13.5" customHeight="1">
      <c r="A34" s="51" t="s">
        <v>143</v>
      </c>
      <c r="C34" s="47">
        <f>SUM(C9:C33)</f>
        <v>0</v>
      </c>
      <c r="D34" s="48">
        <f>SUM(D9:D33)</f>
        <v>0</v>
      </c>
      <c r="E34" s="49">
        <f>SUM(C34:D34)</f>
        <v>0</v>
      </c>
      <c r="F34" s="52"/>
      <c r="G34" s="47" t="e">
        <f ca="1">+G11+G15+G19+G23+G31</f>
        <v>#NAME?</v>
      </c>
      <c r="H34" s="48" t="e">
        <f ca="1">+H11+H15+H19+H23+H31</f>
        <v>#NAME?</v>
      </c>
      <c r="I34" s="49" t="e">
        <f ca="1">+I11+I15+I19+I23+I31</f>
        <v>#NAME?</v>
      </c>
    </row>
    <row r="35" spans="1:9" ht="3" customHeight="1">
      <c r="A35" s="147"/>
      <c r="B35" s="50"/>
      <c r="C35" s="148"/>
      <c r="D35" s="149"/>
      <c r="E35" s="150"/>
      <c r="F35" s="50"/>
      <c r="G35" s="148"/>
      <c r="H35" s="149"/>
      <c r="I35" s="150"/>
    </row>
    <row r="36" spans="1:9" s="33" customFormat="1" ht="3" customHeight="1">
      <c r="A36" s="72"/>
      <c r="B36" s="72"/>
      <c r="C36" s="72"/>
      <c r="D36" s="72"/>
      <c r="E36" s="72"/>
      <c r="F36" s="72"/>
      <c r="G36" s="72"/>
      <c r="H36" s="72"/>
      <c r="I36" s="72"/>
    </row>
    <row r="37" spans="1:9" ht="12.75" hidden="1" customHeight="1">
      <c r="A37" s="85"/>
      <c r="B37" s="31"/>
      <c r="C37" s="330" t="s">
        <v>49</v>
      </c>
      <c r="D37" s="331"/>
      <c r="E37" s="332"/>
      <c r="F37" s="31"/>
      <c r="G37" s="330"/>
      <c r="H37" s="331"/>
      <c r="I37" s="332"/>
    </row>
    <row r="38" spans="1:9" ht="12.75" hidden="1" customHeight="1">
      <c r="A38" s="94" t="s">
        <v>9</v>
      </c>
      <c r="B38" s="31"/>
      <c r="C38" s="88" t="s">
        <v>6</v>
      </c>
      <c r="D38" s="89" t="s">
        <v>8</v>
      </c>
      <c r="E38" s="90" t="s">
        <v>12</v>
      </c>
      <c r="F38" s="31"/>
      <c r="G38" s="88" t="s">
        <v>39</v>
      </c>
      <c r="H38" s="89"/>
      <c r="I38" s="90"/>
    </row>
    <row r="39" spans="1:9" s="50" customFormat="1" ht="12" hidden="1" customHeight="1">
      <c r="A39" s="124"/>
      <c r="C39" s="151">
        <v>0</v>
      </c>
      <c r="D39" s="152">
        <v>0</v>
      </c>
      <c r="E39" s="153">
        <f>D39-C39</f>
        <v>0</v>
      </c>
      <c r="G39" s="151"/>
      <c r="H39" s="152"/>
      <c r="I39" s="153"/>
    </row>
    <row r="40" spans="1:9" s="50" customFormat="1" ht="12" hidden="1" customHeight="1">
      <c r="A40" s="129"/>
      <c r="C40" s="141">
        <v>0</v>
      </c>
      <c r="D40" s="142">
        <v>0</v>
      </c>
      <c r="E40" s="143">
        <f>D40-C40</f>
        <v>0</v>
      </c>
      <c r="G40" s="141"/>
      <c r="H40" s="142"/>
      <c r="I40" s="143"/>
    </row>
    <row r="41" spans="1:9" s="50" customFormat="1" ht="12" hidden="1" customHeight="1">
      <c r="A41" s="147"/>
      <c r="C41" s="154">
        <v>0</v>
      </c>
      <c r="D41" s="155">
        <v>0</v>
      </c>
      <c r="E41" s="156">
        <f>D41-C41</f>
        <v>0</v>
      </c>
      <c r="G41" s="154"/>
      <c r="H41" s="155"/>
      <c r="I41" s="156"/>
    </row>
    <row r="42" spans="1:9">
      <c r="C42" s="69"/>
      <c r="D42" s="69"/>
      <c r="E42" s="1"/>
      <c r="F42" s="1"/>
      <c r="G42" s="69"/>
      <c r="H42" s="69"/>
      <c r="I42" s="1"/>
    </row>
    <row r="43" spans="1:9">
      <c r="C43" s="1"/>
      <c r="D43" s="1"/>
      <c r="E43" s="1"/>
      <c r="F43" s="1"/>
      <c r="G43" s="1"/>
      <c r="H43" s="1"/>
      <c r="I43" s="1"/>
    </row>
    <row r="44" spans="1:9">
      <c r="C44" s="1"/>
      <c r="D44" s="1"/>
      <c r="E44" s="271"/>
      <c r="F44" s="1"/>
      <c r="G44" s="1"/>
      <c r="H44" s="1"/>
      <c r="I44" s="271"/>
    </row>
    <row r="45" spans="1:9">
      <c r="C45" s="1"/>
      <c r="D45" s="1"/>
      <c r="E45" s="1"/>
      <c r="F45" s="1"/>
      <c r="G45" s="1"/>
      <c r="H45" s="1"/>
      <c r="I45" s="1"/>
    </row>
    <row r="46" spans="1:9">
      <c r="C46" s="1"/>
      <c r="D46" s="1"/>
      <c r="E46" s="1"/>
      <c r="F46" s="1"/>
      <c r="G46" s="1"/>
      <c r="H46" s="1"/>
      <c r="I46" s="1"/>
    </row>
    <row r="47" spans="1:9">
      <c r="C47" s="1"/>
      <c r="D47" s="1"/>
      <c r="E47" s="1"/>
      <c r="F47" s="1"/>
      <c r="G47" s="1"/>
      <c r="H47" s="1"/>
      <c r="I47" s="1"/>
    </row>
    <row r="48" spans="1:9">
      <c r="C48" s="1"/>
      <c r="D48" s="1"/>
      <c r="E48" s="1"/>
      <c r="F48" s="1"/>
      <c r="G48" s="1"/>
      <c r="H48" s="1"/>
      <c r="I48" s="1"/>
    </row>
    <row r="49" spans="1:9">
      <c r="C49" s="1"/>
      <c r="D49" s="1"/>
      <c r="E49" s="1"/>
      <c r="F49" s="1"/>
      <c r="G49" s="1"/>
      <c r="H49" s="1"/>
      <c r="I49" s="1"/>
    </row>
    <row r="50" spans="1:9">
      <c r="C50" s="1"/>
      <c r="D50" s="1"/>
      <c r="E50" s="1"/>
      <c r="F50" s="1"/>
      <c r="G50" s="1"/>
      <c r="H50" s="1"/>
      <c r="I50" s="1"/>
    </row>
    <row r="51" spans="1:9">
      <c r="C51" s="1"/>
      <c r="D51" s="1"/>
      <c r="E51" s="1"/>
      <c r="F51" s="1"/>
      <c r="G51" s="1"/>
      <c r="H51" s="1"/>
      <c r="I51" s="1"/>
    </row>
    <row r="52" spans="1:9">
      <c r="C52" s="1"/>
      <c r="D52" s="1"/>
      <c r="E52" s="1"/>
      <c r="F52" s="1"/>
      <c r="G52" s="1"/>
      <c r="H52" s="1"/>
      <c r="I52" s="1"/>
    </row>
    <row r="53" spans="1:9">
      <c r="C53" s="1"/>
      <c r="D53" s="1"/>
      <c r="G53" s="1"/>
      <c r="H53" s="1"/>
    </row>
    <row r="54" spans="1:9">
      <c r="C54" s="1"/>
      <c r="D54" s="1"/>
      <c r="G54" s="1"/>
      <c r="H54" s="1"/>
    </row>
    <row r="55" spans="1:9">
      <c r="C55" s="1"/>
      <c r="D55" s="1"/>
      <c r="G55" s="1"/>
      <c r="H55" s="1"/>
    </row>
    <row r="56" spans="1:9">
      <c r="C56" s="1"/>
      <c r="D56" s="1"/>
      <c r="G56" s="1"/>
      <c r="H56" s="1"/>
    </row>
    <row r="57" spans="1:9">
      <c r="C57" s="1"/>
      <c r="D57" s="1"/>
      <c r="G57" s="1"/>
      <c r="H57" s="1"/>
    </row>
    <row r="58" spans="1:9">
      <c r="C58" s="1"/>
      <c r="D58" s="1"/>
      <c r="G58" s="1"/>
      <c r="H58" s="1"/>
    </row>
    <row r="59" spans="1:9"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C66" s="1"/>
      <c r="D66" s="1"/>
      <c r="E66" s="1"/>
      <c r="F66" s="1"/>
      <c r="G66" s="1"/>
      <c r="H66" s="1"/>
      <c r="I66" s="1"/>
    </row>
    <row r="67" spans="1:9">
      <c r="C67" s="1"/>
      <c r="D67" s="1"/>
      <c r="E67" s="1"/>
      <c r="F67" s="1"/>
      <c r="G67" s="1"/>
      <c r="H67" s="1"/>
      <c r="I67" s="1"/>
    </row>
    <row r="68" spans="1:9">
      <c r="C68" s="1"/>
      <c r="D68" s="1"/>
      <c r="E68" s="1"/>
      <c r="F68" s="1"/>
      <c r="G68" s="1"/>
      <c r="H68" s="1"/>
      <c r="I68" s="1"/>
    </row>
    <row r="69" spans="1:9">
      <c r="C69" s="1"/>
      <c r="D69" s="1"/>
      <c r="E69" s="1"/>
      <c r="F69" s="1"/>
      <c r="G69" s="1"/>
      <c r="H69" s="1"/>
      <c r="I69" s="1"/>
    </row>
    <row r="70" spans="1:9">
      <c r="C70" s="1"/>
      <c r="D70" s="1"/>
      <c r="E70" s="1"/>
      <c r="F70" s="1"/>
      <c r="G70" s="1"/>
      <c r="H70" s="1"/>
      <c r="I70" s="1"/>
    </row>
    <row r="71" spans="1:9">
      <c r="C71" s="1"/>
      <c r="D71" s="1"/>
      <c r="E71" s="1"/>
      <c r="F71" s="1"/>
      <c r="G71" s="1"/>
      <c r="H71" s="1"/>
      <c r="I71" s="1"/>
    </row>
    <row r="72" spans="1:9">
      <c r="C72" s="1"/>
      <c r="D72" s="1"/>
      <c r="E72" s="1"/>
      <c r="F72" s="1"/>
      <c r="G72" s="1"/>
      <c r="H72" s="1"/>
      <c r="I72" s="1"/>
    </row>
    <row r="73" spans="1:9">
      <c r="C73" s="1"/>
      <c r="D73" s="1"/>
      <c r="E73" s="1"/>
      <c r="F73" s="1"/>
      <c r="G73" s="1"/>
      <c r="H73" s="1"/>
      <c r="I73" s="1"/>
    </row>
    <row r="74" spans="1:9">
      <c r="C74" s="1"/>
      <c r="D74" s="1"/>
      <c r="E74" s="1"/>
      <c r="F74" s="1"/>
      <c r="G74" s="1"/>
      <c r="H74" s="1"/>
      <c r="I74" s="1"/>
    </row>
    <row r="75" spans="1:9">
      <c r="C75" s="1"/>
      <c r="D75" s="1"/>
      <c r="E75" s="1"/>
      <c r="F75" s="1"/>
      <c r="G75" s="1"/>
      <c r="H75" s="1"/>
      <c r="I75" s="1"/>
    </row>
    <row r="76" spans="1:9">
      <c r="C76" s="1"/>
      <c r="D76" s="1"/>
      <c r="E76" s="1"/>
      <c r="F76" s="1"/>
      <c r="G76" s="1"/>
      <c r="H76" s="1"/>
      <c r="I76" s="1"/>
    </row>
    <row r="77" spans="1:9">
      <c r="C77" s="1"/>
      <c r="D77" s="1"/>
      <c r="E77" s="1"/>
      <c r="F77" s="1"/>
      <c r="G77" s="1"/>
      <c r="H77" s="1"/>
      <c r="I77" s="1"/>
    </row>
    <row r="78" spans="1:9">
      <c r="C78" s="1"/>
      <c r="D78" s="1"/>
      <c r="E78" s="1"/>
      <c r="F78" s="1"/>
      <c r="G78" s="1"/>
      <c r="H78" s="1"/>
      <c r="I78" s="1"/>
    </row>
    <row r="79" spans="1:9">
      <c r="C79" s="1"/>
      <c r="D79" s="1"/>
      <c r="E79" s="1"/>
      <c r="F79" s="1"/>
      <c r="G79" s="1"/>
      <c r="H79" s="1"/>
      <c r="I79" s="1"/>
    </row>
    <row r="80" spans="1:9">
      <c r="C80" s="1"/>
      <c r="D80" s="1"/>
      <c r="E80" s="1"/>
      <c r="F80" s="1"/>
      <c r="G80" s="1"/>
      <c r="H80" s="1"/>
      <c r="I80" s="1"/>
    </row>
    <row r="81" spans="3:9">
      <c r="C81" s="1"/>
      <c r="D81" s="1"/>
      <c r="E81" s="1"/>
      <c r="F81" s="1"/>
      <c r="G81" s="1"/>
      <c r="H81" s="1"/>
      <c r="I81" s="1"/>
    </row>
    <row r="82" spans="3:9">
      <c r="C82" s="1"/>
      <c r="D82" s="1"/>
      <c r="E82" s="1"/>
      <c r="F82" s="1"/>
      <c r="G82" s="1"/>
      <c r="H82" s="1"/>
      <c r="I82" s="1"/>
    </row>
    <row r="83" spans="3:9">
      <c r="C83" s="1"/>
      <c r="D83" s="1"/>
      <c r="E83" s="1"/>
      <c r="F83" s="1"/>
      <c r="G83" s="1"/>
      <c r="H83" s="1"/>
      <c r="I83" s="1"/>
    </row>
    <row r="84" spans="3:9">
      <c r="C84" s="1"/>
      <c r="D84" s="1"/>
      <c r="E84" s="1"/>
      <c r="F84" s="1"/>
      <c r="G84" s="1"/>
      <c r="H84" s="1"/>
      <c r="I84" s="1"/>
    </row>
    <row r="85" spans="3:9">
      <c r="C85" s="1"/>
      <c r="D85" s="1"/>
      <c r="E85" s="1"/>
      <c r="F85" s="1"/>
      <c r="G85" s="1"/>
      <c r="H85" s="1"/>
      <c r="I85" s="1"/>
    </row>
    <row r="86" spans="3:9">
      <c r="C86" s="1"/>
      <c r="D86" s="1"/>
      <c r="E86" s="1"/>
      <c r="F86" s="1"/>
      <c r="G86" s="1"/>
      <c r="H86" s="1"/>
      <c r="I86" s="1"/>
    </row>
    <row r="87" spans="3:9">
      <c r="C87" s="1"/>
      <c r="D87" s="1"/>
      <c r="E87" s="1"/>
      <c r="F87" s="1"/>
      <c r="G87" s="1"/>
      <c r="H87" s="1"/>
      <c r="I87" s="1"/>
    </row>
    <row r="88" spans="3:9">
      <c r="C88" s="1"/>
      <c r="D88" s="1"/>
      <c r="E88" s="1"/>
      <c r="F88" s="1"/>
      <c r="G88" s="1"/>
      <c r="H88" s="1"/>
      <c r="I88" s="1"/>
    </row>
    <row r="89" spans="3:9">
      <c r="C89" s="1"/>
      <c r="D89" s="1"/>
      <c r="E89" s="1"/>
      <c r="F89" s="1"/>
      <c r="G89" s="1"/>
      <c r="H89" s="1"/>
      <c r="I89" s="1"/>
    </row>
    <row r="90" spans="3:9">
      <c r="C90" s="1"/>
      <c r="D90" s="1"/>
      <c r="E90" s="1"/>
      <c r="F90" s="1"/>
      <c r="G90" s="1"/>
      <c r="H90" s="1"/>
      <c r="I90" s="1"/>
    </row>
    <row r="91" spans="3:9">
      <c r="C91" s="1"/>
      <c r="D91" s="1"/>
      <c r="E91" s="1"/>
      <c r="F91" s="1"/>
      <c r="G91" s="1"/>
      <c r="H91" s="1"/>
      <c r="I91" s="1"/>
    </row>
    <row r="92" spans="3:9">
      <c r="C92" s="1"/>
      <c r="D92" s="1"/>
      <c r="E92" s="1"/>
      <c r="F92" s="1"/>
      <c r="G92" s="1"/>
      <c r="H92" s="1"/>
      <c r="I92" s="1"/>
    </row>
    <row r="93" spans="3:9">
      <c r="C93" s="1"/>
      <c r="D93" s="1"/>
      <c r="E93" s="1"/>
      <c r="F93" s="1"/>
      <c r="G93" s="1"/>
      <c r="H93" s="1"/>
      <c r="I93" s="1"/>
    </row>
    <row r="94" spans="3:9">
      <c r="C94" s="1"/>
      <c r="D94" s="1"/>
      <c r="E94" s="1"/>
      <c r="F94" s="1"/>
      <c r="G94" s="1"/>
      <c r="H94" s="1"/>
      <c r="I94" s="1"/>
    </row>
    <row r="95" spans="3:9">
      <c r="C95" s="1"/>
      <c r="D95" s="1"/>
      <c r="E95" s="1"/>
      <c r="F95" s="1"/>
      <c r="G95" s="1"/>
      <c r="H95" s="1"/>
      <c r="I95" s="1"/>
    </row>
    <row r="96" spans="3:9">
      <c r="C96" s="1"/>
      <c r="D96" s="1"/>
      <c r="E96" s="1"/>
      <c r="F96" s="1"/>
      <c r="G96" s="1"/>
      <c r="H96" s="1"/>
      <c r="I96" s="1"/>
    </row>
    <row r="97" spans="3:9">
      <c r="C97" s="1"/>
      <c r="D97" s="1"/>
      <c r="E97" s="1"/>
      <c r="F97" s="1"/>
      <c r="G97" s="1"/>
      <c r="H97" s="1"/>
      <c r="I97" s="1"/>
    </row>
    <row r="98" spans="3:9">
      <c r="C98" s="1"/>
      <c r="D98" s="1"/>
      <c r="E98" s="1"/>
      <c r="F98" s="1"/>
      <c r="G98" s="1"/>
      <c r="H98" s="1"/>
      <c r="I98" s="1"/>
    </row>
    <row r="99" spans="3:9">
      <c r="C99" s="1"/>
      <c r="D99" s="1"/>
      <c r="E99" s="1"/>
      <c r="F99" s="1"/>
      <c r="G99" s="1"/>
      <c r="H99" s="1"/>
      <c r="I99" s="1"/>
    </row>
    <row r="100" spans="3:9">
      <c r="C100" s="1"/>
      <c r="D100" s="1"/>
      <c r="E100" s="1"/>
      <c r="F100" s="1"/>
      <c r="G100" s="1"/>
      <c r="H100" s="1"/>
      <c r="I100" s="1"/>
    </row>
    <row r="101" spans="3:9">
      <c r="C101" s="1"/>
      <c r="D101" s="1"/>
      <c r="E101" s="1"/>
      <c r="F101" s="1"/>
      <c r="G101" s="1"/>
      <c r="H101" s="1"/>
      <c r="I101" s="1"/>
    </row>
    <row r="102" spans="3:9">
      <c r="C102" s="1"/>
      <c r="D102" s="1"/>
      <c r="E102" s="1"/>
      <c r="F102" s="1"/>
      <c r="G102" s="1"/>
      <c r="H102" s="1"/>
      <c r="I102" s="1"/>
    </row>
    <row r="103" spans="3:9">
      <c r="C103" s="1"/>
      <c r="D103" s="1"/>
      <c r="E103" s="1"/>
      <c r="F103" s="1"/>
      <c r="G103" s="1"/>
      <c r="H103" s="1"/>
      <c r="I103" s="1"/>
    </row>
    <row r="104" spans="3:9">
      <c r="C104" s="1"/>
      <c r="D104" s="1"/>
      <c r="E104" s="1"/>
      <c r="F104" s="1"/>
      <c r="G104" s="1"/>
      <c r="H104" s="1"/>
      <c r="I104" s="1"/>
    </row>
    <row r="105" spans="3:9">
      <c r="C105" s="1"/>
      <c r="D105" s="1"/>
      <c r="E105" s="1"/>
      <c r="F105" s="1"/>
      <c r="G105" s="1"/>
      <c r="H105" s="1"/>
      <c r="I105" s="1"/>
    </row>
    <row r="106" spans="3:9">
      <c r="C106" s="1"/>
      <c r="D106" s="1"/>
      <c r="E106" s="1"/>
      <c r="F106" s="1"/>
      <c r="G106" s="1"/>
      <c r="H106" s="1"/>
      <c r="I106" s="1"/>
    </row>
    <row r="107" spans="3:9">
      <c r="C107" s="1"/>
      <c r="D107" s="1"/>
      <c r="E107" s="1"/>
      <c r="F107" s="1"/>
      <c r="G107" s="1"/>
      <c r="H107" s="1"/>
      <c r="I107" s="1"/>
    </row>
    <row r="108" spans="3:9">
      <c r="C108" s="1"/>
      <c r="D108" s="1"/>
      <c r="E108" s="1"/>
      <c r="F108" s="1"/>
      <c r="G108" s="1"/>
      <c r="H108" s="1"/>
      <c r="I108" s="1"/>
    </row>
    <row r="109" spans="3:9">
      <c r="C109" s="1"/>
      <c r="D109" s="1"/>
      <c r="E109" s="1"/>
      <c r="F109" s="1"/>
      <c r="G109" s="1"/>
      <c r="H109" s="1"/>
      <c r="I109" s="1"/>
    </row>
    <row r="110" spans="3:9">
      <c r="C110" s="1"/>
      <c r="D110" s="1"/>
      <c r="E110" s="1"/>
      <c r="F110" s="1"/>
      <c r="G110" s="1"/>
      <c r="H110" s="1"/>
      <c r="I110" s="1"/>
    </row>
    <row r="111" spans="3:9">
      <c r="C111" s="1"/>
      <c r="D111" s="1"/>
      <c r="E111" s="1"/>
      <c r="F111" s="1"/>
      <c r="G111" s="1"/>
      <c r="H111" s="1"/>
      <c r="I111" s="1"/>
    </row>
    <row r="112" spans="3:9">
      <c r="C112" s="1"/>
      <c r="D112" s="1"/>
      <c r="E112" s="1"/>
      <c r="F112" s="1"/>
      <c r="G112" s="1"/>
      <c r="H112" s="1"/>
      <c r="I112" s="1"/>
    </row>
    <row r="113" spans="3:9">
      <c r="C113" s="1"/>
      <c r="D113" s="1"/>
      <c r="E113" s="1"/>
      <c r="F113" s="1"/>
      <c r="G113" s="1"/>
      <c r="H113" s="1"/>
      <c r="I113" s="1"/>
    </row>
    <row r="114" spans="3:9">
      <c r="C114" s="1"/>
      <c r="D114" s="1"/>
      <c r="E114" s="1"/>
      <c r="F114" s="1"/>
      <c r="G114" s="1"/>
      <c r="H114" s="1"/>
      <c r="I114" s="1"/>
    </row>
    <row r="115" spans="3:9">
      <c r="C115" s="1"/>
      <c r="D115" s="1"/>
      <c r="E115" s="1"/>
      <c r="F115" s="1"/>
      <c r="G115" s="1"/>
      <c r="H115" s="1"/>
      <c r="I115" s="1"/>
    </row>
    <row r="116" spans="3:9">
      <c r="C116" s="1"/>
      <c r="D116" s="1"/>
      <c r="E116" s="1"/>
      <c r="F116" s="1"/>
      <c r="G116" s="1"/>
      <c r="H116" s="1"/>
      <c r="I116" s="1"/>
    </row>
    <row r="117" spans="3:9">
      <c r="C117" s="1"/>
      <c r="D117" s="1"/>
      <c r="E117" s="1"/>
      <c r="F117" s="1"/>
      <c r="G117" s="1"/>
      <c r="H117" s="1"/>
      <c r="I117" s="1"/>
    </row>
    <row r="118" spans="3:9">
      <c r="C118" s="1"/>
      <c r="D118" s="1"/>
      <c r="E118" s="1"/>
      <c r="F118" s="1"/>
      <c r="G118" s="1"/>
      <c r="H118" s="1"/>
      <c r="I118" s="1"/>
    </row>
    <row r="119" spans="3:9">
      <c r="C119" s="1"/>
      <c r="D119" s="1"/>
      <c r="E119" s="1"/>
      <c r="F119" s="1"/>
      <c r="G119" s="1"/>
      <c r="H119" s="1"/>
      <c r="I119" s="1"/>
    </row>
    <row r="120" spans="3:9">
      <c r="C120" s="1"/>
      <c r="D120" s="1"/>
      <c r="E120" s="1"/>
      <c r="F120" s="1"/>
      <c r="G120" s="1"/>
      <c r="H120" s="1"/>
      <c r="I120" s="1"/>
    </row>
    <row r="121" spans="3:9">
      <c r="C121" s="1"/>
      <c r="D121" s="1"/>
      <c r="E121" s="1"/>
      <c r="F121" s="1"/>
      <c r="G121" s="1"/>
      <c r="H121" s="1"/>
      <c r="I121" s="1"/>
    </row>
    <row r="122" spans="3:9">
      <c r="C122" s="1"/>
      <c r="D122" s="1"/>
      <c r="E122" s="1"/>
      <c r="F122" s="1"/>
      <c r="G122" s="1"/>
      <c r="H122" s="1"/>
      <c r="I122" s="1"/>
    </row>
    <row r="123" spans="3:9">
      <c r="C123" s="1"/>
      <c r="D123" s="1"/>
      <c r="E123" s="1"/>
      <c r="F123" s="1"/>
      <c r="G123" s="1"/>
      <c r="H123" s="1"/>
      <c r="I123" s="1"/>
    </row>
    <row r="124" spans="3:9">
      <c r="C124" s="1"/>
      <c r="D124" s="1"/>
      <c r="E124" s="1"/>
      <c r="F124" s="1"/>
      <c r="G124" s="1"/>
      <c r="H124" s="1"/>
      <c r="I124" s="1"/>
    </row>
    <row r="125" spans="3:9">
      <c r="C125" s="1"/>
      <c r="D125" s="1"/>
      <c r="E125" s="1"/>
      <c r="F125" s="1"/>
      <c r="G125" s="1"/>
      <c r="H125" s="1"/>
      <c r="I125" s="1"/>
    </row>
    <row r="126" spans="3:9">
      <c r="C126" s="1"/>
      <c r="D126" s="1"/>
      <c r="E126" s="1"/>
      <c r="F126" s="1"/>
      <c r="G126" s="1"/>
      <c r="H126" s="1"/>
      <c r="I126" s="1"/>
    </row>
    <row r="127" spans="3:9">
      <c r="C127" s="1"/>
      <c r="D127" s="1"/>
      <c r="E127" s="1"/>
      <c r="F127" s="1"/>
      <c r="G127" s="1"/>
      <c r="H127" s="1"/>
      <c r="I127" s="1"/>
    </row>
    <row r="128" spans="3:9">
      <c r="C128" s="1"/>
      <c r="D128" s="1"/>
      <c r="E128" s="1"/>
      <c r="F128" s="1"/>
      <c r="G128" s="1"/>
      <c r="H128" s="1"/>
      <c r="I128" s="1"/>
    </row>
    <row r="129" spans="3:9">
      <c r="C129" s="1"/>
      <c r="D129" s="1"/>
      <c r="E129" s="1"/>
      <c r="F129" s="1"/>
      <c r="G129" s="1"/>
      <c r="H129" s="1"/>
      <c r="I129" s="1"/>
    </row>
    <row r="130" spans="3:9">
      <c r="C130" s="1"/>
      <c r="D130" s="1"/>
      <c r="E130" s="1"/>
      <c r="F130" s="1"/>
      <c r="G130" s="1"/>
      <c r="H130" s="1"/>
      <c r="I130" s="1"/>
    </row>
    <row r="131" spans="3:9">
      <c r="C131" s="1"/>
      <c r="D131" s="1"/>
      <c r="E131" s="1"/>
      <c r="F131" s="1"/>
      <c r="G131" s="1"/>
      <c r="H131" s="1"/>
      <c r="I131" s="1"/>
    </row>
    <row r="132" spans="3:9">
      <c r="C132" s="1"/>
      <c r="D132" s="1"/>
      <c r="E132" s="1"/>
      <c r="F132" s="1"/>
      <c r="G132" s="1"/>
      <c r="H132" s="1"/>
      <c r="I132" s="1"/>
    </row>
    <row r="133" spans="3:9">
      <c r="C133" s="1"/>
      <c r="D133" s="1"/>
      <c r="E133" s="1"/>
      <c r="F133" s="1"/>
      <c r="G133" s="1"/>
      <c r="H133" s="1"/>
      <c r="I133" s="1"/>
    </row>
    <row r="134" spans="3:9">
      <c r="C134" s="1"/>
      <c r="D134" s="1"/>
      <c r="E134" s="1"/>
      <c r="F134" s="1"/>
      <c r="G134" s="1"/>
      <c r="H134" s="1"/>
      <c r="I134" s="1"/>
    </row>
    <row r="135" spans="3:9">
      <c r="C135" s="1"/>
      <c r="D135" s="1"/>
      <c r="E135" s="1"/>
      <c r="F135" s="1"/>
      <c r="G135" s="1"/>
      <c r="H135" s="1"/>
      <c r="I135" s="1"/>
    </row>
    <row r="136" spans="3:9">
      <c r="C136" s="1"/>
      <c r="D136" s="1"/>
      <c r="E136" s="1"/>
      <c r="F136" s="1"/>
      <c r="G136" s="1"/>
      <c r="H136" s="1"/>
      <c r="I136" s="1"/>
    </row>
    <row r="137" spans="3:9">
      <c r="C137" s="1"/>
      <c r="D137" s="1"/>
      <c r="E137" s="1"/>
      <c r="F137" s="1"/>
      <c r="G137" s="1"/>
      <c r="H137" s="1"/>
      <c r="I137" s="1"/>
    </row>
  </sheetData>
  <mergeCells count="4">
    <mergeCell ref="C37:E37"/>
    <mergeCell ref="G6:I6"/>
    <mergeCell ref="G37:I37"/>
    <mergeCell ref="C6:E6"/>
  </mergeCells>
  <printOptions horizontalCentered="1"/>
  <pageMargins left="0.25" right="0.25" top="0.25" bottom="0.25" header="0.25" footer="0.25"/>
  <pageSetup scale="11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IntIncome-Expense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'IntIncome-Expense'!Print_Area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2000-11-10T19:34:41Z</cp:lastPrinted>
  <dcterms:created xsi:type="dcterms:W3CDTF">1999-10-18T12:36:30Z</dcterms:created>
  <dcterms:modified xsi:type="dcterms:W3CDTF">2014-09-05T10:50:08Z</dcterms:modified>
</cp:coreProperties>
</file>