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AllocExp" sheetId="4" r:id="rId8"/>
    <sheet name="Headcount" sheetId="8" state="hidden" r:id="rId9"/>
  </sheets>
  <externalReferences>
    <externalReference r:id="rId10"/>
    <externalReference r:id="rId11"/>
    <externalReference r:id="rId12"/>
    <externalReference r:id="rId13"/>
  </externalReferences>
  <definedNames>
    <definedName name="_xlnm.Criteria">'[2]Mgmt Summary'!$A$5:$A$6</definedName>
    <definedName name="CriteriaAll">'[2]Mgmt Summary'!$A$12:$A$14</definedName>
    <definedName name="CriteriaForUK">'[2]Mgmt Summary'!$A$17:$A$18</definedName>
    <definedName name="DealMakerTable">'[2]Mgmt Summary'!$B$2:$C$106</definedName>
    <definedName name="Hedge_Beta">'[2]Mgmt Summary'!$AS$389:$AT$741</definedName>
    <definedName name="Hedge_Daily_P_L">'[2]Mgmt Summary'!$I$93:$I$130</definedName>
    <definedName name="Hedge_QTD_P_L">'[2]Mgmt Summary'!$J$93:$J$130</definedName>
    <definedName name="HedgeNames">'[2]Mgmt Summary'!$E$93:$E$130</definedName>
    <definedName name="HedgeUsedMarketValue">'[2]Mgmt Summary'!$G$93:$G$130</definedName>
    <definedName name="IndexLivePercentChange">'[2]Mgmt Summary'!$S$61:$S$88</definedName>
    <definedName name="IndexSummaryTable">'[2]Mgmt Summary'!$A$1:$I$27</definedName>
    <definedName name="IndexTags">'[2]Mgmt Summary'!$F$61:$F$88</definedName>
    <definedName name="IndexValues">'[2]Mgmt Summary'!$E$59:$S$88</definedName>
    <definedName name="NAMEECM_Non_SLP_Total">'[2]Mgmt Summary'!$H$4:$H$19</definedName>
    <definedName name="NAMEECM_SLP_Total">'[2]Mgmt Summary'!$G$4:$G$19</definedName>
    <definedName name="NAMEEnron_Asia_Pacific_Total">'[2]Mgmt Summary'!$K$4:$K$19</definedName>
    <definedName name="NAMEEnron_Broadband_Svcs._Total">'[2]Mgmt Summary'!$O$4:$O$19</definedName>
    <definedName name="NAMEEnron_CALME_Total">'[2]Mgmt Summary'!$J$4:$J$19</definedName>
    <definedName name="NAMEEnron_Corp._Total">'[2]Mgmt Summary'!$I$4:$I$19</definedName>
    <definedName name="NAMEEnron_Europe_Total">'[2]Mgmt Summary'!$N$4:$N$19</definedName>
    <definedName name="NAMEEnron_NA_Accrual_Income">'[2]Mgmt Summary'!$F$4:$F$19</definedName>
    <definedName name="NAMEEnron_NA_Funding_Cost">'[2]Mgmt Summary'!$E$4:$E$19</definedName>
    <definedName name="NAMEEnron_NA_Int_l_Total">'[2]Mgmt Summary'!$M$4:$M$19</definedName>
    <definedName name="NAMEEnron_NA_Total">'[2]Mgmt Summary'!$C$4:$C$19</definedName>
    <definedName name="NAMEEnron_Networks_Total">'[2]Mgmt Summary'!$P$4:$P$19</definedName>
    <definedName name="NAMEEnron_South_America_Total">'[2]Mgmt Summary'!$L$4:$L$19</definedName>
    <definedName name="NAMEGrand_Total">'[2]Mgmt Summary'!$Q$4:$Q$19</definedName>
    <definedName name="NAMEPortfolio_Insurance">'[2]Mgmt Summary'!$D$4:$D$19</definedName>
    <definedName name="nr_Mgmt_Summary">'QTD Mgmt Summary'!$A$1:$M$36</definedName>
    <definedName name="PL_Date">'[2]Mgmt Summary'!$V$54</definedName>
    <definedName name="Position">'[2]Mgmt Summary'!$A$1:$AE$347</definedName>
    <definedName name="Pricing_Type_Options">'[2]Mgmt Summary'!$A$5:$B$9</definedName>
    <definedName name="PricingTypeOptions">'[2]Mgmt Summary'!$B$6:$B$10</definedName>
    <definedName name="_xlnm.Print_Area" localSheetId="7">AllocExp!$B$2:$P$29</definedName>
    <definedName name="_xlnm.Print_Area" localSheetId="6">'Expense Weekly Change'!$A$2:$J$40</definedName>
    <definedName name="_xlnm.Print_Area" localSheetId="5">Expenses!$B$2:$K$34</definedName>
    <definedName name="_xlnm.Print_Area" localSheetId="3">'GM-WeeklyChnge'!$A$1:$K$34</definedName>
    <definedName name="_xlnm.Print_Area" localSheetId="4">GrossMargin!$B$2:$N$36</definedName>
    <definedName name="_xlnm.Print_Area" localSheetId="8">Headcount!$B$1:$N$19</definedName>
    <definedName name="_xlnm.Print_Area" localSheetId="2">'Mgmt Summary'!$A$1:$V$38</definedName>
    <definedName name="_xlnm.Print_Area" localSheetId="1">'QTD Mgmt Summary'!$A$1:$Q$36</definedName>
    <definedName name="StockPriceTable">'[2]Mgmt Summary'!$F$19:$N$56</definedName>
    <definedName name="SummaryPivotPoint">'[2]Mgmt Summary'!$A$453</definedName>
    <definedName name="Z_83874C97_8BB7_11D2_9732_00104B678AA7_.wvu.Cols" hidden="1">'[2]Mgmt Summary'!$A$1:$A$65536,'[2]Mgmt Summary'!$I$1:$R$65536,'[2]Mgmt Summary'!$W$1:$Y$65536,'[2]Mgmt Summary'!$AM$1:$AO$65536</definedName>
    <definedName name="Z_83874C97_8BB7_11D2_9732_00104B678AA7_.wvu.PrintArea" hidden="1">'[2]Mgmt Summary'!$B$1:$BE$347</definedName>
    <definedName name="Z_83874C97_8BB7_11D2_9732_00104B678AA7_.wvu.PrintTitles" hidden="1">'[2]Mgmt Summary'!$A$52:$IV$54</definedName>
  </definedNames>
  <calcPr calcId="152511" fullCalcOnLoad="1" calcOnSave="0"/>
</workbook>
</file>

<file path=xl/calcChain.xml><?xml version="1.0" encoding="utf-8"?>
<calcChain xmlns="http://schemas.openxmlformats.org/spreadsheetml/2006/main">
  <c r="B4" i="4" l="1"/>
  <c r="F10" i="4"/>
  <c r="K10" i="4"/>
  <c r="D11" i="4"/>
  <c r="F11" i="4" s="1"/>
  <c r="K11" i="4"/>
  <c r="M11" i="4" s="1"/>
  <c r="U10" i="1" s="1"/>
  <c r="L11" i="4"/>
  <c r="K12" i="4"/>
  <c r="M12" i="4"/>
  <c r="U11" i="1" s="1"/>
  <c r="U11" i="36" s="1"/>
  <c r="D13" i="4"/>
  <c r="F13" i="4"/>
  <c r="K13" i="4"/>
  <c r="M13" i="4"/>
  <c r="U12" i="1" s="1"/>
  <c r="D14" i="4"/>
  <c r="F14" i="4"/>
  <c r="L14" i="4"/>
  <c r="K14" i="4" s="1"/>
  <c r="F15" i="4"/>
  <c r="K15" i="4"/>
  <c r="M15" i="4"/>
  <c r="U14" i="1" s="1"/>
  <c r="D16" i="4"/>
  <c r="F16" i="4"/>
  <c r="K16" i="4"/>
  <c r="M16" i="4"/>
  <c r="U15" i="1" s="1"/>
  <c r="F17" i="4"/>
  <c r="K17" i="4"/>
  <c r="M17" i="4" s="1"/>
  <c r="U16" i="1" s="1"/>
  <c r="U16" i="36" s="1"/>
  <c r="D18" i="4"/>
  <c r="F18" i="4" s="1"/>
  <c r="K18" i="4"/>
  <c r="M18" i="4" s="1"/>
  <c r="U17" i="1" s="1"/>
  <c r="D19" i="4"/>
  <c r="F19" i="4" s="1"/>
  <c r="K19" i="4"/>
  <c r="M19" i="4" s="1"/>
  <c r="U18" i="1" s="1"/>
  <c r="D20" i="4"/>
  <c r="F20" i="4" s="1"/>
  <c r="K20" i="4"/>
  <c r="M20" i="4" s="1"/>
  <c r="F21" i="4"/>
  <c r="K21" i="4"/>
  <c r="M21" i="4"/>
  <c r="E23" i="4"/>
  <c r="M25" i="4"/>
  <c r="F26" i="4"/>
  <c r="C9" i="19"/>
  <c r="D9" i="19"/>
  <c r="E9" i="19" s="1"/>
  <c r="D10" i="19"/>
  <c r="C11" i="19"/>
  <c r="D11" i="19"/>
  <c r="E11" i="19"/>
  <c r="D12" i="19"/>
  <c r="C13" i="19"/>
  <c r="D14" i="19"/>
  <c r="D15" i="19"/>
  <c r="D17" i="19"/>
  <c r="D18" i="19"/>
  <c r="C19" i="19"/>
  <c r="D19" i="19"/>
  <c r="E19" i="19"/>
  <c r="D20" i="19"/>
  <c r="C21" i="19"/>
  <c r="E21" i="19" s="1"/>
  <c r="D21" i="19"/>
  <c r="C25" i="19"/>
  <c r="D25" i="19"/>
  <c r="E25" i="19"/>
  <c r="C26" i="19"/>
  <c r="D26" i="19"/>
  <c r="E26" i="19" s="1"/>
  <c r="C33" i="19"/>
  <c r="D33" i="19"/>
  <c r="E33" i="19" s="1"/>
  <c r="C34" i="19"/>
  <c r="D34" i="19"/>
  <c r="E34" i="19"/>
  <c r="C35" i="19"/>
  <c r="E35" i="19" s="1"/>
  <c r="D35" i="19"/>
  <c r="B4" i="3"/>
  <c r="A4" i="19" s="1"/>
  <c r="D9" i="3"/>
  <c r="F9" i="3"/>
  <c r="E10" i="3"/>
  <c r="D10" i="3" s="1"/>
  <c r="D11" i="3"/>
  <c r="F11" i="3"/>
  <c r="D12" i="3"/>
  <c r="D13" i="3"/>
  <c r="E13" i="3"/>
  <c r="D13" i="19" s="1"/>
  <c r="E13" i="19" s="1"/>
  <c r="F13" i="3"/>
  <c r="D14" i="3"/>
  <c r="C14" i="19" s="1"/>
  <c r="D15" i="3"/>
  <c r="C15" i="19" s="1"/>
  <c r="E15" i="19" s="1"/>
  <c r="F15" i="3"/>
  <c r="E16" i="3"/>
  <c r="D16" i="19" s="1"/>
  <c r="D17" i="3"/>
  <c r="M17" i="1" s="1"/>
  <c r="E18" i="3"/>
  <c r="D18" i="3" s="1"/>
  <c r="F18" i="3"/>
  <c r="D19" i="3"/>
  <c r="F19" i="3"/>
  <c r="D20" i="3"/>
  <c r="C20" i="19" s="1"/>
  <c r="E20" i="19" s="1"/>
  <c r="F20" i="3"/>
  <c r="T20" i="1" s="1"/>
  <c r="D24" i="3"/>
  <c r="E24" i="3"/>
  <c r="F25" i="3"/>
  <c r="F32" i="3"/>
  <c r="F33" i="3"/>
  <c r="F34" i="3"/>
  <c r="A3" i="9"/>
  <c r="C9" i="9"/>
  <c r="D9" i="9"/>
  <c r="H9" i="9" s="1"/>
  <c r="F9" i="9"/>
  <c r="J9" i="9"/>
  <c r="K9" i="9"/>
  <c r="C10" i="9"/>
  <c r="D10" i="9"/>
  <c r="F10" i="9"/>
  <c r="H10" i="9"/>
  <c r="K10" i="9" s="1"/>
  <c r="J10" i="9"/>
  <c r="C11" i="9"/>
  <c r="D11" i="9"/>
  <c r="H11" i="9" s="1"/>
  <c r="K11" i="9" s="1"/>
  <c r="F11" i="9"/>
  <c r="J11" i="9"/>
  <c r="C12" i="9"/>
  <c r="C33" i="9" s="1"/>
  <c r="D12" i="9"/>
  <c r="F12" i="9"/>
  <c r="H12" i="9"/>
  <c r="K12" i="9" s="1"/>
  <c r="J12" i="9"/>
  <c r="C13" i="9"/>
  <c r="D13" i="9"/>
  <c r="H13" i="9" s="1"/>
  <c r="F13" i="9"/>
  <c r="J13" i="9"/>
  <c r="K13" i="9"/>
  <c r="C14" i="9"/>
  <c r="D14" i="9"/>
  <c r="F14" i="9"/>
  <c r="H14" i="9"/>
  <c r="K14" i="9" s="1"/>
  <c r="J14" i="9"/>
  <c r="C15" i="9"/>
  <c r="D15" i="9"/>
  <c r="F15" i="9"/>
  <c r="J15" i="9"/>
  <c r="C16" i="9"/>
  <c r="C21" i="9" s="1"/>
  <c r="D16" i="9"/>
  <c r="F16" i="9"/>
  <c r="H16" i="9"/>
  <c r="K16" i="9" s="1"/>
  <c r="J16" i="9"/>
  <c r="C17" i="9"/>
  <c r="D17" i="9"/>
  <c r="H17" i="9" s="1"/>
  <c r="K17" i="9" s="1"/>
  <c r="F17" i="9"/>
  <c r="F21" i="9" s="1"/>
  <c r="J17" i="9"/>
  <c r="C18" i="9"/>
  <c r="D18" i="9"/>
  <c r="F18" i="9"/>
  <c r="H18" i="9"/>
  <c r="K18" i="9" s="1"/>
  <c r="J18" i="9"/>
  <c r="J21" i="9" s="1"/>
  <c r="C19" i="9"/>
  <c r="D19" i="9"/>
  <c r="H19" i="9" s="1"/>
  <c r="K19" i="9" s="1"/>
  <c r="F19" i="9"/>
  <c r="J19" i="9"/>
  <c r="C20" i="9"/>
  <c r="D20" i="9"/>
  <c r="F20" i="9"/>
  <c r="H20" i="9"/>
  <c r="K20" i="9" s="1"/>
  <c r="J20" i="9"/>
  <c r="E21" i="9"/>
  <c r="E29" i="9" s="1"/>
  <c r="E33" i="9" s="1"/>
  <c r="G21" i="9"/>
  <c r="I21" i="9"/>
  <c r="C22" i="9"/>
  <c r="H22" i="9" s="1"/>
  <c r="D22" i="9"/>
  <c r="F22" i="9"/>
  <c r="J22" i="9"/>
  <c r="C23" i="9"/>
  <c r="D23" i="9"/>
  <c r="F23" i="9"/>
  <c r="H23" i="9" s="1"/>
  <c r="K23" i="9" s="1"/>
  <c r="J23" i="9"/>
  <c r="C24" i="9"/>
  <c r="H24" i="9" s="1"/>
  <c r="K24" i="9" s="1"/>
  <c r="D24" i="9"/>
  <c r="F24" i="9"/>
  <c r="J24" i="9"/>
  <c r="C25" i="9"/>
  <c r="H25" i="9" s="1"/>
  <c r="K25" i="9" s="1"/>
  <c r="D25" i="9"/>
  <c r="F25" i="9"/>
  <c r="J25" i="9"/>
  <c r="C26" i="9"/>
  <c r="H26" i="9" s="1"/>
  <c r="K26" i="9" s="1"/>
  <c r="D26" i="9"/>
  <c r="F26" i="9"/>
  <c r="J26" i="9"/>
  <c r="C27" i="9"/>
  <c r="D27" i="9"/>
  <c r="F27" i="9"/>
  <c r="H27" i="9" s="1"/>
  <c r="K27" i="9" s="1"/>
  <c r="J27" i="9"/>
  <c r="C29" i="9"/>
  <c r="G29" i="9"/>
  <c r="G33" i="9" s="1"/>
  <c r="I29" i="9"/>
  <c r="C31" i="9"/>
  <c r="D31" i="9"/>
  <c r="F31" i="9"/>
  <c r="H31" i="9"/>
  <c r="K31" i="9" s="1"/>
  <c r="J31" i="9"/>
  <c r="I33" i="9"/>
  <c r="B4" i="2"/>
  <c r="I10" i="2"/>
  <c r="L10" i="2"/>
  <c r="N10" i="2" s="1"/>
  <c r="I11" i="2"/>
  <c r="M11" i="2"/>
  <c r="I12" i="2"/>
  <c r="I13" i="2"/>
  <c r="L13" i="2"/>
  <c r="N13" i="2" s="1"/>
  <c r="I14" i="2"/>
  <c r="L14" i="2" s="1"/>
  <c r="M14" i="2"/>
  <c r="I15" i="2"/>
  <c r="L15" i="2" s="1"/>
  <c r="N15" i="2" s="1"/>
  <c r="I16" i="2"/>
  <c r="L16" i="2" s="1"/>
  <c r="N16" i="2" s="1"/>
  <c r="I17" i="2"/>
  <c r="L17" i="2" s="1"/>
  <c r="N17" i="2" s="1"/>
  <c r="I18" i="2"/>
  <c r="L18" i="2"/>
  <c r="N18" i="2" s="1"/>
  <c r="I19" i="2"/>
  <c r="L19" i="2" s="1"/>
  <c r="N19" i="2" s="1"/>
  <c r="I20" i="2"/>
  <c r="L20" i="2"/>
  <c r="N20" i="2" s="1"/>
  <c r="I21" i="2"/>
  <c r="L21" i="2" s="1"/>
  <c r="N21" i="2" s="1"/>
  <c r="D22" i="2"/>
  <c r="E22" i="2"/>
  <c r="E30" i="2" s="1"/>
  <c r="F22" i="2"/>
  <c r="G22" i="2"/>
  <c r="H22" i="2"/>
  <c r="K22" i="2"/>
  <c r="K34" i="2" s="1"/>
  <c r="I23" i="2"/>
  <c r="M23" i="2"/>
  <c r="I24" i="2"/>
  <c r="I25" i="2"/>
  <c r="L25" i="2"/>
  <c r="N25" i="2" s="1"/>
  <c r="M25" i="2"/>
  <c r="I26" i="2"/>
  <c r="L26" i="2"/>
  <c r="N26" i="2" s="1"/>
  <c r="I27" i="2"/>
  <c r="L27" i="2" s="1"/>
  <c r="N27" i="2"/>
  <c r="I28" i="2"/>
  <c r="L28" i="2"/>
  <c r="M28" i="2"/>
  <c r="N28" i="2"/>
  <c r="D30" i="2"/>
  <c r="F30" i="2"/>
  <c r="G30" i="2"/>
  <c r="H30" i="2"/>
  <c r="J30" i="2"/>
  <c r="K30" i="2"/>
  <c r="I32" i="2"/>
  <c r="D34" i="2"/>
  <c r="E34" i="2"/>
  <c r="F34" i="2"/>
  <c r="G34" i="2"/>
  <c r="H34" i="2"/>
  <c r="J34" i="2"/>
  <c r="M34" i="2"/>
  <c r="F9" i="8"/>
  <c r="J9" i="8"/>
  <c r="L9" i="8"/>
  <c r="N9" i="8" s="1"/>
  <c r="M9" i="8"/>
  <c r="F15" i="8"/>
  <c r="J15" i="8"/>
  <c r="L15" i="8"/>
  <c r="M15" i="8"/>
  <c r="N15" i="8"/>
  <c r="F16" i="8"/>
  <c r="J16" i="8"/>
  <c r="L16" i="8"/>
  <c r="M16" i="8"/>
  <c r="C9" i="1"/>
  <c r="D9" i="1"/>
  <c r="G9" i="1"/>
  <c r="H9" i="1"/>
  <c r="I9" i="1"/>
  <c r="J9" i="1" s="1"/>
  <c r="L9" i="1"/>
  <c r="M9" i="1"/>
  <c r="N9" i="1"/>
  <c r="S9" i="1"/>
  <c r="T9" i="1"/>
  <c r="C10" i="1"/>
  <c r="D10" i="1"/>
  <c r="H10" i="1"/>
  <c r="I10" i="1"/>
  <c r="I10" i="36" s="1"/>
  <c r="I23" i="36" s="1"/>
  <c r="I30" i="36" s="1"/>
  <c r="I34" i="36" s="1"/>
  <c r="L10" i="1"/>
  <c r="N10" i="1"/>
  <c r="S10" i="1"/>
  <c r="C11" i="1"/>
  <c r="D11" i="1"/>
  <c r="H11" i="1"/>
  <c r="I11" i="1"/>
  <c r="I11" i="36" s="1"/>
  <c r="L11" i="1"/>
  <c r="M11" i="1"/>
  <c r="N11" i="1"/>
  <c r="S11" i="1"/>
  <c r="T11" i="1"/>
  <c r="C12" i="1"/>
  <c r="D12" i="1"/>
  <c r="G12" i="1"/>
  <c r="H12" i="1"/>
  <c r="I12" i="1"/>
  <c r="J12" i="1" s="1"/>
  <c r="L12" i="1"/>
  <c r="N12" i="1"/>
  <c r="S12" i="1"/>
  <c r="D13" i="1"/>
  <c r="H13" i="37" s="1"/>
  <c r="G13" i="1"/>
  <c r="H13" i="1"/>
  <c r="I13" i="1"/>
  <c r="J13" i="1" s="1"/>
  <c r="L13" i="1"/>
  <c r="M13" i="1"/>
  <c r="N13" i="1"/>
  <c r="S13" i="1"/>
  <c r="T13" i="1"/>
  <c r="C14" i="1"/>
  <c r="D14" i="1"/>
  <c r="G14" i="1"/>
  <c r="H14" i="1"/>
  <c r="I14" i="1"/>
  <c r="J14" i="1" s="1"/>
  <c r="L14" i="1"/>
  <c r="M14" i="1"/>
  <c r="N14" i="1"/>
  <c r="G14" i="37" s="1"/>
  <c r="P14" i="37" s="1"/>
  <c r="S14" i="1"/>
  <c r="C15" i="1"/>
  <c r="D15" i="1"/>
  <c r="H15" i="1"/>
  <c r="I15" i="1"/>
  <c r="L15" i="1"/>
  <c r="M15" i="1"/>
  <c r="N15" i="1"/>
  <c r="N15" i="36" s="1"/>
  <c r="S15" i="1"/>
  <c r="T15" i="1"/>
  <c r="C16" i="1"/>
  <c r="D16" i="1"/>
  <c r="H16" i="1"/>
  <c r="I16" i="1"/>
  <c r="L16" i="1"/>
  <c r="N16" i="1"/>
  <c r="S16" i="1"/>
  <c r="C17" i="1"/>
  <c r="D17" i="1"/>
  <c r="H17" i="1"/>
  <c r="I17" i="1"/>
  <c r="L17" i="1"/>
  <c r="N17" i="1"/>
  <c r="N17" i="36" s="1"/>
  <c r="S17" i="1"/>
  <c r="C18" i="1"/>
  <c r="D18" i="1"/>
  <c r="G18" i="1"/>
  <c r="H18" i="1"/>
  <c r="I18" i="1"/>
  <c r="J18" i="1" s="1"/>
  <c r="L18" i="1"/>
  <c r="N18" i="1"/>
  <c r="S18" i="1"/>
  <c r="T18" i="1"/>
  <c r="C19" i="1"/>
  <c r="D19" i="1"/>
  <c r="G19" i="1"/>
  <c r="H19" i="1"/>
  <c r="I19" i="1"/>
  <c r="I20" i="36" s="1"/>
  <c r="J20" i="36" s="1"/>
  <c r="O20" i="36" s="1"/>
  <c r="L19" i="1"/>
  <c r="M19" i="1"/>
  <c r="N19" i="1"/>
  <c r="T19" i="1"/>
  <c r="U19" i="1"/>
  <c r="C20" i="1"/>
  <c r="D20" i="1"/>
  <c r="E20" i="1"/>
  <c r="G20" i="1"/>
  <c r="H20" i="1"/>
  <c r="I20" i="1"/>
  <c r="J20" i="1"/>
  <c r="L20" i="1"/>
  <c r="M20" i="1"/>
  <c r="N20" i="1"/>
  <c r="O20" i="1"/>
  <c r="S20" i="1"/>
  <c r="U20" i="1"/>
  <c r="C21" i="1"/>
  <c r="E21" i="1" s="1"/>
  <c r="G21" i="1"/>
  <c r="J21" i="1" s="1"/>
  <c r="U21" i="1"/>
  <c r="D23" i="1"/>
  <c r="H23" i="1"/>
  <c r="K23" i="1"/>
  <c r="L23" i="1"/>
  <c r="R23" i="1"/>
  <c r="R30" i="1" s="1"/>
  <c r="R34" i="1" s="1"/>
  <c r="S23" i="1"/>
  <c r="D25" i="1"/>
  <c r="E25" i="1" s="1"/>
  <c r="J25" i="1"/>
  <c r="L25" i="1"/>
  <c r="J26" i="1"/>
  <c r="C27" i="1"/>
  <c r="E27" i="1"/>
  <c r="H27" i="1"/>
  <c r="I27" i="1"/>
  <c r="T27" i="1"/>
  <c r="D28" i="1"/>
  <c r="E28" i="1" s="1"/>
  <c r="J28" i="1"/>
  <c r="Q28" i="1" s="1"/>
  <c r="V28" i="1" s="1"/>
  <c r="L28" i="1"/>
  <c r="O28" i="1" s="1"/>
  <c r="S28" i="1"/>
  <c r="V29" i="1"/>
  <c r="H30" i="1"/>
  <c r="K30" i="1"/>
  <c r="S30" i="1"/>
  <c r="S34" i="1" s="1"/>
  <c r="E32" i="1"/>
  <c r="G32" i="1"/>
  <c r="H32" i="1"/>
  <c r="I32" i="1"/>
  <c r="J32" i="1"/>
  <c r="T32" i="1"/>
  <c r="H34" i="1"/>
  <c r="K34" i="1"/>
  <c r="G36" i="1"/>
  <c r="Q4" i="37"/>
  <c r="D9" i="37"/>
  <c r="G9" i="37"/>
  <c r="P9" i="37" s="1"/>
  <c r="D10" i="37"/>
  <c r="D11" i="37"/>
  <c r="G11" i="37"/>
  <c r="P11" i="37" s="1"/>
  <c r="D12" i="37"/>
  <c r="G13" i="37"/>
  <c r="P13" i="37" s="1"/>
  <c r="D14" i="37"/>
  <c r="D15" i="37"/>
  <c r="D16" i="37"/>
  <c r="D17" i="37"/>
  <c r="D18" i="37"/>
  <c r="D19" i="37"/>
  <c r="G19" i="37"/>
  <c r="P19" i="37" s="1"/>
  <c r="D20" i="37"/>
  <c r="G20" i="37"/>
  <c r="P20" i="37" s="1"/>
  <c r="H20" i="37"/>
  <c r="I20" i="37" s="1"/>
  <c r="L20" i="37"/>
  <c r="D21" i="37"/>
  <c r="G21" i="37"/>
  <c r="P21" i="37" s="1"/>
  <c r="H21" i="37"/>
  <c r="L21" i="37"/>
  <c r="C25" i="37"/>
  <c r="O25" i="37" s="1"/>
  <c r="D25" i="37"/>
  <c r="E25" i="37" s="1"/>
  <c r="H25" i="37"/>
  <c r="L25" i="37"/>
  <c r="C26" i="37"/>
  <c r="D26" i="37"/>
  <c r="E26" i="37" s="1"/>
  <c r="D27" i="37"/>
  <c r="G27" i="37"/>
  <c r="P27" i="37" s="1"/>
  <c r="H27" i="37"/>
  <c r="I27" i="37" s="1"/>
  <c r="C28" i="37"/>
  <c r="O28" i="37" s="1"/>
  <c r="Q28" i="37" s="1"/>
  <c r="D28" i="37"/>
  <c r="G28" i="37"/>
  <c r="H28" i="37"/>
  <c r="I28" i="37"/>
  <c r="L28" i="37"/>
  <c r="P28" i="37"/>
  <c r="C32" i="37"/>
  <c r="O32" i="37" s="1"/>
  <c r="Q32" i="37" s="1"/>
  <c r="D32" i="37"/>
  <c r="G32" i="37"/>
  <c r="H32" i="37"/>
  <c r="I32" i="37"/>
  <c r="L32" i="37"/>
  <c r="P32" i="37"/>
  <c r="E40" i="37"/>
  <c r="E44" i="37" s="1"/>
  <c r="I40" i="37"/>
  <c r="E41" i="37"/>
  <c r="I41" i="37"/>
  <c r="E42" i="37"/>
  <c r="I42" i="37"/>
  <c r="I44" i="37"/>
  <c r="E47" i="37"/>
  <c r="I47" i="37"/>
  <c r="C9" i="36"/>
  <c r="D9" i="36"/>
  <c r="E9" i="36"/>
  <c r="G9" i="36"/>
  <c r="H9" i="36"/>
  <c r="I9" i="36"/>
  <c r="J9" i="36"/>
  <c r="M9" i="36"/>
  <c r="N9" i="36"/>
  <c r="O9" i="36"/>
  <c r="T9" i="36"/>
  <c r="C10" i="36"/>
  <c r="E10" i="36" s="1"/>
  <c r="D10" i="36"/>
  <c r="H10" i="36"/>
  <c r="H23" i="36" s="1"/>
  <c r="H30" i="36" s="1"/>
  <c r="H34" i="36" s="1"/>
  <c r="N10" i="36"/>
  <c r="U10" i="36"/>
  <c r="C11" i="36"/>
  <c r="D11" i="36"/>
  <c r="E11" i="36"/>
  <c r="H11" i="36"/>
  <c r="M11" i="36"/>
  <c r="N11" i="36"/>
  <c r="T11" i="36"/>
  <c r="C12" i="36"/>
  <c r="E12" i="36" s="1"/>
  <c r="D12" i="36"/>
  <c r="G12" i="36"/>
  <c r="J12" i="36" s="1"/>
  <c r="H12" i="36"/>
  <c r="I12" i="36"/>
  <c r="N12" i="36"/>
  <c r="U12" i="36"/>
  <c r="D13" i="36"/>
  <c r="G13" i="36"/>
  <c r="J13" i="36" s="1"/>
  <c r="O13" i="36" s="1"/>
  <c r="H13" i="36"/>
  <c r="I13" i="36"/>
  <c r="M13" i="36"/>
  <c r="N13" i="36"/>
  <c r="T13" i="36"/>
  <c r="C14" i="36"/>
  <c r="E14" i="36" s="1"/>
  <c r="D14" i="36"/>
  <c r="G14" i="36"/>
  <c r="J14" i="36" s="1"/>
  <c r="O14" i="36" s="1"/>
  <c r="H14" i="36"/>
  <c r="I14" i="36"/>
  <c r="M14" i="36"/>
  <c r="N14" i="36"/>
  <c r="U14" i="36"/>
  <c r="C15" i="36"/>
  <c r="D15" i="36"/>
  <c r="E15" i="36" s="1"/>
  <c r="H15" i="36"/>
  <c r="I15" i="36"/>
  <c r="M15" i="36"/>
  <c r="T15" i="36"/>
  <c r="U15" i="36"/>
  <c r="C16" i="36"/>
  <c r="E16" i="36" s="1"/>
  <c r="D16" i="36"/>
  <c r="H16" i="36"/>
  <c r="I16" i="36"/>
  <c r="N16" i="36"/>
  <c r="C17" i="36"/>
  <c r="D17" i="36"/>
  <c r="E17" i="36"/>
  <c r="H17" i="36"/>
  <c r="I17" i="36"/>
  <c r="M17" i="36"/>
  <c r="U17" i="36"/>
  <c r="C18" i="36"/>
  <c r="D18" i="36"/>
  <c r="E18" i="36" s="1"/>
  <c r="G18" i="36"/>
  <c r="J18" i="36" s="1"/>
  <c r="O18" i="36" s="1"/>
  <c r="H18" i="36"/>
  <c r="I18" i="36"/>
  <c r="M18" i="36"/>
  <c r="N18" i="36"/>
  <c r="Q18" i="36"/>
  <c r="V18" i="36" s="1"/>
  <c r="T18" i="36"/>
  <c r="U18" i="36"/>
  <c r="C19" i="36"/>
  <c r="E19" i="36" s="1"/>
  <c r="D19" i="36"/>
  <c r="G19" i="36"/>
  <c r="H19" i="36"/>
  <c r="I19" i="36"/>
  <c r="J19" i="36"/>
  <c r="N19" i="36"/>
  <c r="R19" i="36"/>
  <c r="S19" i="36"/>
  <c r="T19" i="36"/>
  <c r="U19" i="36"/>
  <c r="C20" i="36"/>
  <c r="E20" i="36" s="1"/>
  <c r="D20" i="36"/>
  <c r="G20" i="36"/>
  <c r="H20" i="36"/>
  <c r="M20" i="36"/>
  <c r="N20" i="36"/>
  <c r="R20" i="36"/>
  <c r="S20" i="36"/>
  <c r="T20" i="36"/>
  <c r="U20" i="36"/>
  <c r="C21" i="36"/>
  <c r="E21" i="36" s="1"/>
  <c r="D21" i="36"/>
  <c r="G21" i="36"/>
  <c r="H21" i="36"/>
  <c r="I21" i="36"/>
  <c r="J21" i="36"/>
  <c r="O21" i="36" s="1"/>
  <c r="M21" i="36"/>
  <c r="N21" i="36"/>
  <c r="R21" i="36"/>
  <c r="S21" i="36"/>
  <c r="T21" i="36"/>
  <c r="U21" i="36"/>
  <c r="D23" i="36"/>
  <c r="F23" i="36"/>
  <c r="K23" i="36"/>
  <c r="L23" i="36"/>
  <c r="R23" i="36"/>
  <c r="R30" i="36" s="1"/>
  <c r="R34" i="36" s="1"/>
  <c r="S23" i="36"/>
  <c r="C25" i="36"/>
  <c r="E25" i="36" s="1"/>
  <c r="D25" i="36"/>
  <c r="G25" i="36"/>
  <c r="J25" i="36" s="1"/>
  <c r="H25" i="36"/>
  <c r="I25" i="36"/>
  <c r="N25" i="36"/>
  <c r="R25" i="36"/>
  <c r="S25" i="36"/>
  <c r="U25" i="36"/>
  <c r="C26" i="36"/>
  <c r="G26" i="36"/>
  <c r="J26" i="36" s="1"/>
  <c r="H26" i="36"/>
  <c r="I26" i="36"/>
  <c r="M26" i="36"/>
  <c r="R26" i="36"/>
  <c r="S26" i="36"/>
  <c r="C27" i="36"/>
  <c r="E27" i="36" s="1"/>
  <c r="D27" i="36"/>
  <c r="H27" i="36"/>
  <c r="I27" i="36"/>
  <c r="M27" i="36"/>
  <c r="N27" i="36"/>
  <c r="R27" i="36"/>
  <c r="S27" i="36"/>
  <c r="T27" i="36"/>
  <c r="U27" i="36"/>
  <c r="E28" i="36"/>
  <c r="J28" i="36"/>
  <c r="O28" i="36"/>
  <c r="V29" i="36"/>
  <c r="K30" i="36"/>
  <c r="K34" i="36" s="1"/>
  <c r="L30" i="36"/>
  <c r="S30" i="36"/>
  <c r="C32" i="36"/>
  <c r="D32" i="36"/>
  <c r="E32" i="36"/>
  <c r="G32" i="36"/>
  <c r="H32" i="36"/>
  <c r="J32" i="36" s="1"/>
  <c r="O32" i="36" s="1"/>
  <c r="I32" i="36"/>
  <c r="M32" i="36"/>
  <c r="N32" i="36"/>
  <c r="R32" i="36"/>
  <c r="S32" i="36"/>
  <c r="T32" i="36"/>
  <c r="U32" i="36"/>
  <c r="L34" i="36"/>
  <c r="S34" i="36"/>
  <c r="G36" i="36"/>
  <c r="I13" i="8"/>
  <c r="H14" i="8"/>
  <c r="D10" i="8"/>
  <c r="I14" i="8"/>
  <c r="E11" i="8"/>
  <c r="D12" i="8"/>
  <c r="H10" i="8"/>
  <c r="E12" i="8"/>
  <c r="D13" i="8"/>
  <c r="I10" i="8"/>
  <c r="H11" i="8"/>
  <c r="E13" i="8"/>
  <c r="D14" i="8"/>
  <c r="I12" i="8"/>
  <c r="H13" i="8"/>
  <c r="I11" i="8"/>
  <c r="H12" i="8"/>
  <c r="E10" i="8"/>
  <c r="E14" i="8"/>
  <c r="D11" i="8"/>
  <c r="L11" i="8" l="1"/>
  <c r="N11" i="8" s="1"/>
  <c r="F11" i="8"/>
  <c r="M14" i="8"/>
  <c r="M10" i="8"/>
  <c r="M18" i="8" s="1"/>
  <c r="E18" i="8"/>
  <c r="J12" i="8"/>
  <c r="J13" i="8"/>
  <c r="L14" i="8"/>
  <c r="N14" i="8" s="1"/>
  <c r="F14" i="8"/>
  <c r="M13" i="8"/>
  <c r="J11" i="8"/>
  <c r="I18" i="8"/>
  <c r="F13" i="8"/>
  <c r="L13" i="8"/>
  <c r="N13" i="8" s="1"/>
  <c r="M12" i="8"/>
  <c r="H18" i="8"/>
  <c r="J10" i="8"/>
  <c r="J18" i="8" s="1"/>
  <c r="L12" i="8"/>
  <c r="F12" i="8"/>
  <c r="M11" i="8"/>
  <c r="D18" i="8"/>
  <c r="F10" i="8"/>
  <c r="F18" i="8" s="1"/>
  <c r="L10" i="8"/>
  <c r="J14" i="8"/>
  <c r="N23" i="36"/>
  <c r="L32" i="2"/>
  <c r="N32" i="2" s="1"/>
  <c r="G27" i="1"/>
  <c r="O26" i="37"/>
  <c r="G17" i="37"/>
  <c r="P17" i="37" s="1"/>
  <c r="G15" i="37"/>
  <c r="P15" i="37" s="1"/>
  <c r="J19" i="1"/>
  <c r="O18" i="1"/>
  <c r="C18" i="37"/>
  <c r="Q18" i="1"/>
  <c r="I13" i="37"/>
  <c r="E12" i="1"/>
  <c r="H12" i="37"/>
  <c r="O9" i="1"/>
  <c r="Q9" i="1"/>
  <c r="C9" i="37"/>
  <c r="N16" i="8"/>
  <c r="H15" i="9"/>
  <c r="D21" i="9"/>
  <c r="D33" i="9" s="1"/>
  <c r="K32" i="37"/>
  <c r="M32" i="37" s="1"/>
  <c r="K28" i="37"/>
  <c r="M28" i="37" s="1"/>
  <c r="E11" i="1"/>
  <c r="H11" i="37"/>
  <c r="E10" i="1"/>
  <c r="H10" i="37"/>
  <c r="L24" i="2"/>
  <c r="N24" i="2" s="1"/>
  <c r="G17" i="1"/>
  <c r="G11" i="1"/>
  <c r="L12" i="2"/>
  <c r="N12" i="2" s="1"/>
  <c r="K22" i="9"/>
  <c r="E14" i="19"/>
  <c r="Q32" i="1"/>
  <c r="O32" i="1"/>
  <c r="E19" i="1"/>
  <c r="H19" i="37"/>
  <c r="Q26" i="1"/>
  <c r="O21" i="1"/>
  <c r="Q21" i="1"/>
  <c r="C21" i="37"/>
  <c r="Q20" i="1"/>
  <c r="C20" i="37"/>
  <c r="E18" i="1"/>
  <c r="H18" i="37"/>
  <c r="E17" i="1"/>
  <c r="H17" i="37"/>
  <c r="E16" i="1"/>
  <c r="H16" i="37"/>
  <c r="O14" i="1"/>
  <c r="C14" i="37"/>
  <c r="Q14" i="1"/>
  <c r="E9" i="1"/>
  <c r="H9" i="37"/>
  <c r="G16" i="1"/>
  <c r="L23" i="2"/>
  <c r="N23" i="2" s="1"/>
  <c r="I30" i="2"/>
  <c r="M18" i="1"/>
  <c r="C18" i="19"/>
  <c r="M10" i="1"/>
  <c r="C10" i="19"/>
  <c r="L27" i="37"/>
  <c r="E15" i="1"/>
  <c r="H15" i="37"/>
  <c r="F33" i="9"/>
  <c r="M12" i="1"/>
  <c r="C12" i="19"/>
  <c r="E12" i="19" s="1"/>
  <c r="F12" i="3"/>
  <c r="T12" i="1" s="1"/>
  <c r="T12" i="36" s="1"/>
  <c r="K23" i="4"/>
  <c r="D23" i="19"/>
  <c r="D28" i="19" s="1"/>
  <c r="E32" i="37"/>
  <c r="E28" i="37"/>
  <c r="E20" i="37"/>
  <c r="E18" i="37"/>
  <c r="L30" i="1"/>
  <c r="L34" i="1" s="1"/>
  <c r="O13" i="1"/>
  <c r="C13" i="37"/>
  <c r="O12" i="1"/>
  <c r="C12" i="37"/>
  <c r="Q12" i="1"/>
  <c r="N23" i="1"/>
  <c r="I22" i="2"/>
  <c r="C13" i="1"/>
  <c r="Q13" i="1" s="1"/>
  <c r="M30" i="2"/>
  <c r="J33" i="9"/>
  <c r="F24" i="3"/>
  <c r="T25" i="1" s="1"/>
  <c r="M25" i="1"/>
  <c r="O25" i="1" s="1"/>
  <c r="E18" i="19"/>
  <c r="E25" i="4"/>
  <c r="E28" i="4" s="1"/>
  <c r="F23" i="4"/>
  <c r="I21" i="37"/>
  <c r="I23" i="1"/>
  <c r="I30" i="1" s="1"/>
  <c r="I34" i="1" s="1"/>
  <c r="E14" i="1"/>
  <c r="H14" i="37"/>
  <c r="N14" i="2"/>
  <c r="E17" i="19"/>
  <c r="D29" i="9"/>
  <c r="D16" i="3"/>
  <c r="D22" i="3" s="1"/>
  <c r="D27" i="3" s="1"/>
  <c r="J29" i="9"/>
  <c r="D23" i="4"/>
  <c r="G10" i="1"/>
  <c r="E22" i="3"/>
  <c r="E27" i="3" s="1"/>
  <c r="F14" i="3"/>
  <c r="T14" i="1" s="1"/>
  <c r="T14" i="36" s="1"/>
  <c r="L11" i="2"/>
  <c r="F17" i="3"/>
  <c r="T17" i="1" s="1"/>
  <c r="T17" i="36" s="1"/>
  <c r="F10" i="3"/>
  <c r="T10" i="1" s="1"/>
  <c r="T10" i="36" s="1"/>
  <c r="T23" i="36" s="1"/>
  <c r="M14" i="4"/>
  <c r="U13" i="1" s="1"/>
  <c r="U13" i="36" s="1"/>
  <c r="M10" i="4"/>
  <c r="C17" i="19"/>
  <c r="Q25" i="1"/>
  <c r="F29" i="9"/>
  <c r="F16" i="3"/>
  <c r="T16" i="1" s="1"/>
  <c r="T16" i="36" s="1"/>
  <c r="L23" i="4"/>
  <c r="V13" i="1" l="1"/>
  <c r="Q13" i="36"/>
  <c r="V13" i="36" s="1"/>
  <c r="C23" i="19"/>
  <c r="C28" i="19" s="1"/>
  <c r="L26" i="4"/>
  <c r="L28" i="4"/>
  <c r="N11" i="2"/>
  <c r="T25" i="36"/>
  <c r="T26" i="1"/>
  <c r="K12" i="37"/>
  <c r="O12" i="37"/>
  <c r="Q12" i="37" s="1"/>
  <c r="E12" i="37"/>
  <c r="G12" i="37"/>
  <c r="P12" i="37" s="1"/>
  <c r="M12" i="36"/>
  <c r="O12" i="36" s="1"/>
  <c r="J16" i="1"/>
  <c r="G16" i="36"/>
  <c r="J16" i="36" s="1"/>
  <c r="J17" i="1"/>
  <c r="G17" i="36"/>
  <c r="J17" i="36" s="1"/>
  <c r="O17" i="36" s="1"/>
  <c r="Q9" i="36"/>
  <c r="O19" i="1"/>
  <c r="Q19" i="1"/>
  <c r="C19" i="37"/>
  <c r="N10" i="8"/>
  <c r="N18" i="8" s="1"/>
  <c r="L18" i="8"/>
  <c r="I9" i="37"/>
  <c r="H23" i="37"/>
  <c r="L9" i="37"/>
  <c r="I17" i="37"/>
  <c r="L17" i="37"/>
  <c r="Q32" i="36"/>
  <c r="V32" i="36" s="1"/>
  <c r="V32" i="1"/>
  <c r="G25" i="37"/>
  <c r="M25" i="36"/>
  <c r="O25" i="36" s="1"/>
  <c r="O21" i="37"/>
  <c r="Q21" i="37" s="1"/>
  <c r="E21" i="37"/>
  <c r="K21" i="37"/>
  <c r="M21" i="37" s="1"/>
  <c r="F22" i="3"/>
  <c r="F27" i="3" s="1"/>
  <c r="V12" i="1"/>
  <c r="Q12" i="36"/>
  <c r="V12" i="36" s="1"/>
  <c r="V25" i="1"/>
  <c r="Q25" i="36"/>
  <c r="V25" i="36" s="1"/>
  <c r="O13" i="37"/>
  <c r="Q13" i="37" s="1"/>
  <c r="K13" i="37"/>
  <c r="E23" i="1"/>
  <c r="G23" i="1"/>
  <c r="G30" i="1" s="1"/>
  <c r="G34" i="1" s="1"/>
  <c r="J10" i="1"/>
  <c r="G10" i="36"/>
  <c r="E10" i="19"/>
  <c r="L18" i="37"/>
  <c r="F28" i="4"/>
  <c r="Q26" i="36"/>
  <c r="I12" i="37"/>
  <c r="L12" i="37"/>
  <c r="D25" i="4"/>
  <c r="D28" i="4"/>
  <c r="F25" i="4"/>
  <c r="D13" i="37"/>
  <c r="C23" i="1"/>
  <c r="C30" i="1" s="1"/>
  <c r="C34" i="1" s="1"/>
  <c r="E13" i="1"/>
  <c r="C13" i="36"/>
  <c r="V14" i="1"/>
  <c r="Q14" i="36"/>
  <c r="V14" i="36" s="1"/>
  <c r="I11" i="37"/>
  <c r="L11" i="37"/>
  <c r="K15" i="9"/>
  <c r="K21" i="9" s="1"/>
  <c r="H21" i="9"/>
  <c r="H29" i="9" s="1"/>
  <c r="H33" i="9" s="1"/>
  <c r="V20" i="1"/>
  <c r="Q21" i="36"/>
  <c r="V21" i="36" s="1"/>
  <c r="M16" i="1"/>
  <c r="C16" i="19"/>
  <c r="E16" i="19" s="1"/>
  <c r="L16" i="37"/>
  <c r="J11" i="1"/>
  <c r="G11" i="36"/>
  <c r="J11" i="36" s="1"/>
  <c r="O11" i="36" s="1"/>
  <c r="M10" i="36"/>
  <c r="M23" i="1"/>
  <c r="M30" i="1" s="1"/>
  <c r="M34" i="1" s="1"/>
  <c r="G10" i="37"/>
  <c r="I10" i="37"/>
  <c r="L10" i="37"/>
  <c r="M23" i="4"/>
  <c r="U9" i="1"/>
  <c r="I14" i="37"/>
  <c r="L14" i="37"/>
  <c r="L22" i="2"/>
  <c r="N22" i="2" s="1"/>
  <c r="G15" i="1"/>
  <c r="I34" i="2"/>
  <c r="E48" i="37" s="1"/>
  <c r="E50" i="37" s="1"/>
  <c r="K26" i="4"/>
  <c r="N26" i="1" s="1"/>
  <c r="K28" i="4"/>
  <c r="I15" i="37"/>
  <c r="L15" i="37"/>
  <c r="M19" i="36"/>
  <c r="O19" i="36" s="1"/>
  <c r="G18" i="37"/>
  <c r="P18" i="37" s="1"/>
  <c r="K14" i="37"/>
  <c r="O14" i="37"/>
  <c r="Q14" i="37" s="1"/>
  <c r="E14" i="37"/>
  <c r="K20" i="37"/>
  <c r="M20" i="37" s="1"/>
  <c r="O20" i="37"/>
  <c r="Q20" i="37" s="1"/>
  <c r="V18" i="1"/>
  <c r="Q19" i="36"/>
  <c r="V19" i="36" s="1"/>
  <c r="N12" i="8"/>
  <c r="I19" i="37"/>
  <c r="L19" i="37"/>
  <c r="O9" i="37"/>
  <c r="E9" i="37"/>
  <c r="K9" i="37"/>
  <c r="O18" i="37"/>
  <c r="Q18" i="37" s="1"/>
  <c r="J27" i="1"/>
  <c r="G27" i="36"/>
  <c r="J27" i="36" s="1"/>
  <c r="O27" i="36" s="1"/>
  <c r="G26" i="37" l="1"/>
  <c r="N26" i="36"/>
  <c r="O26" i="1"/>
  <c r="N30" i="1"/>
  <c r="N34" i="1" s="1"/>
  <c r="O17" i="1"/>
  <c r="Q17" i="1"/>
  <c r="C17" i="37"/>
  <c r="M12" i="37"/>
  <c r="O19" i="37"/>
  <c r="Q19" i="37" s="1"/>
  <c r="E19" i="37"/>
  <c r="K19" i="37"/>
  <c r="M19" i="37" s="1"/>
  <c r="O27" i="1"/>
  <c r="Q27" i="1"/>
  <c r="C27" i="37"/>
  <c r="M14" i="37"/>
  <c r="J15" i="1"/>
  <c r="G15" i="36"/>
  <c r="J15" i="36" s="1"/>
  <c r="O15" i="36" s="1"/>
  <c r="P10" i="37"/>
  <c r="G16" i="37"/>
  <c r="M16" i="36"/>
  <c r="M23" i="36" s="1"/>
  <c r="M30" i="36" s="1"/>
  <c r="M34" i="36" s="1"/>
  <c r="I18" i="37"/>
  <c r="V19" i="1"/>
  <c r="Q20" i="36"/>
  <c r="V20" i="36" s="1"/>
  <c r="O16" i="36"/>
  <c r="E13" i="37"/>
  <c r="D23" i="37"/>
  <c r="D30" i="37" s="1"/>
  <c r="D34" i="37" s="1"/>
  <c r="L13" i="37"/>
  <c r="L23" i="37"/>
  <c r="E13" i="36"/>
  <c r="E23" i="36" s="1"/>
  <c r="C23" i="36"/>
  <c r="C30" i="36" s="1"/>
  <c r="C34" i="36" s="1"/>
  <c r="E23" i="19"/>
  <c r="E28" i="19" s="1"/>
  <c r="P25" i="37"/>
  <c r="Q25" i="37" s="1"/>
  <c r="K25" i="37"/>
  <c r="M25" i="37" s="1"/>
  <c r="I25" i="37"/>
  <c r="L30" i="2"/>
  <c r="O16" i="1"/>
  <c r="C16" i="37"/>
  <c r="Q16" i="1"/>
  <c r="J10" i="36"/>
  <c r="N30" i="2"/>
  <c r="N34" i="2"/>
  <c r="K18" i="37"/>
  <c r="M18" i="37" s="1"/>
  <c r="M9" i="37"/>
  <c r="U23" i="1"/>
  <c r="U9" i="36"/>
  <c r="U23" i="36" s="1"/>
  <c r="O11" i="1"/>
  <c r="Q11" i="1"/>
  <c r="C11" i="37"/>
  <c r="O10" i="1"/>
  <c r="C10" i="37"/>
  <c r="Q10" i="1"/>
  <c r="L34" i="2"/>
  <c r="V9" i="1"/>
  <c r="M26" i="4"/>
  <c r="U26" i="1" s="1"/>
  <c r="U26" i="36" s="1"/>
  <c r="D26" i="1"/>
  <c r="Q9" i="37"/>
  <c r="K33" i="9"/>
  <c r="K29" i="9"/>
  <c r="M13" i="37"/>
  <c r="T26" i="36"/>
  <c r="T30" i="36" s="1"/>
  <c r="T34" i="36" s="1"/>
  <c r="T21" i="1"/>
  <c r="V11" i="1" l="1"/>
  <c r="Q11" i="36"/>
  <c r="V11" i="36" s="1"/>
  <c r="P26" i="37"/>
  <c r="Q26" i="37" s="1"/>
  <c r="K26" i="37"/>
  <c r="U30" i="36"/>
  <c r="U34" i="36" s="1"/>
  <c r="O15" i="1"/>
  <c r="Q15" i="1"/>
  <c r="Q23" i="1" s="1"/>
  <c r="Q30" i="1" s="1"/>
  <c r="Q34" i="1" s="1"/>
  <c r="C15" i="37"/>
  <c r="V26" i="1"/>
  <c r="J23" i="1"/>
  <c r="J30" i="1" s="1"/>
  <c r="U30" i="1"/>
  <c r="U34" i="1" s="1"/>
  <c r="M28" i="4"/>
  <c r="V9" i="36"/>
  <c r="O17" i="37"/>
  <c r="Q17" i="37" s="1"/>
  <c r="E17" i="37"/>
  <c r="K17" i="37"/>
  <c r="M17" i="37" s="1"/>
  <c r="V10" i="1"/>
  <c r="Q10" i="36"/>
  <c r="G23" i="36"/>
  <c r="G30" i="36" s="1"/>
  <c r="G34" i="36" s="1"/>
  <c r="K27" i="37"/>
  <c r="M27" i="37" s="1"/>
  <c r="O27" i="37"/>
  <c r="Q27" i="37" s="1"/>
  <c r="E27" i="37"/>
  <c r="V17" i="1"/>
  <c r="Q17" i="36"/>
  <c r="V17" i="36" s="1"/>
  <c r="K10" i="37"/>
  <c r="O10" i="37"/>
  <c r="E10" i="37"/>
  <c r="C23" i="37"/>
  <c r="C30" i="37" s="1"/>
  <c r="C34" i="37" s="1"/>
  <c r="J23" i="36"/>
  <c r="J30" i="36" s="1"/>
  <c r="O10" i="36"/>
  <c r="O23" i="36" s="1"/>
  <c r="V27" i="1"/>
  <c r="Q27" i="36"/>
  <c r="V27" i="36" s="1"/>
  <c r="O26" i="36"/>
  <c r="N30" i="36"/>
  <c r="N34" i="36" s="1"/>
  <c r="O23" i="1"/>
  <c r="V16" i="1"/>
  <c r="Q16" i="36"/>
  <c r="V16" i="36" s="1"/>
  <c r="P16" i="37"/>
  <c r="P23" i="37" s="1"/>
  <c r="P30" i="37" s="1"/>
  <c r="P34" i="37" s="1"/>
  <c r="I16" i="37"/>
  <c r="I23" i="37" s="1"/>
  <c r="V21" i="1"/>
  <c r="T23" i="1"/>
  <c r="T30" i="1" s="1"/>
  <c r="T34" i="1" s="1"/>
  <c r="E26" i="1"/>
  <c r="E30" i="1" s="1"/>
  <c r="E34" i="1" s="1"/>
  <c r="H26" i="37"/>
  <c r="D26" i="36"/>
  <c r="D30" i="1"/>
  <c r="D34" i="1" s="1"/>
  <c r="O11" i="37"/>
  <c r="Q11" i="37" s="1"/>
  <c r="E11" i="37"/>
  <c r="K11" i="37"/>
  <c r="M11" i="37" s="1"/>
  <c r="V26" i="36"/>
  <c r="K16" i="37"/>
  <c r="M16" i="37" s="1"/>
  <c r="O16" i="37"/>
  <c r="Q16" i="37" s="1"/>
  <c r="E16" i="37"/>
  <c r="G23" i="37"/>
  <c r="G30" i="37" s="1"/>
  <c r="G34" i="37" s="1"/>
  <c r="I48" i="37" s="1"/>
  <c r="I50" i="37" s="1"/>
  <c r="O15" i="37" l="1"/>
  <c r="Q15" i="37" s="1"/>
  <c r="E15" i="37"/>
  <c r="E23" i="37" s="1"/>
  <c r="E30" i="37" s="1"/>
  <c r="E34" i="37" s="1"/>
  <c r="K15" i="37"/>
  <c r="M15" i="37" s="1"/>
  <c r="Q10" i="37"/>
  <c r="Q23" i="37" s="1"/>
  <c r="Q30" i="37" s="1"/>
  <c r="Q34" i="37" s="1"/>
  <c r="O23" i="37"/>
  <c r="O30" i="37" s="1"/>
  <c r="O34" i="37" s="1"/>
  <c r="M10" i="37"/>
  <c r="I30" i="37"/>
  <c r="I34" i="37" s="1"/>
  <c r="V10" i="36"/>
  <c r="V23" i="36" s="1"/>
  <c r="V30" i="36" s="1"/>
  <c r="V34" i="36" s="1"/>
  <c r="J34" i="1"/>
  <c r="O34" i="1" s="1"/>
  <c r="O30" i="1"/>
  <c r="J34" i="36"/>
  <c r="O34" i="36" s="1"/>
  <c r="O30" i="36"/>
  <c r="D30" i="36"/>
  <c r="D34" i="36" s="1"/>
  <c r="E26" i="36"/>
  <c r="E30" i="36" s="1"/>
  <c r="E34" i="36" s="1"/>
  <c r="I26" i="37"/>
  <c r="L26" i="37"/>
  <c r="L30" i="37" s="1"/>
  <c r="L34" i="37" s="1"/>
  <c r="H30" i="37"/>
  <c r="H34" i="37" s="1"/>
  <c r="V15" i="1"/>
  <c r="V23" i="1" s="1"/>
  <c r="V30" i="1" s="1"/>
  <c r="V34" i="1" s="1"/>
  <c r="Q15" i="36"/>
  <c r="V15" i="36" s="1"/>
  <c r="K23" i="37" l="1"/>
  <c r="K30" i="37" s="1"/>
  <c r="K34" i="37" s="1"/>
  <c r="M23" i="37"/>
  <c r="M26" i="37"/>
  <c r="Q23" i="36"/>
  <c r="Q30" i="36" s="1"/>
  <c r="Q34" i="36" s="1"/>
  <c r="M30" i="37" l="1"/>
  <c r="M34" i="37" s="1"/>
</calcChain>
</file>

<file path=xl/comments1.xml><?xml version="1.0" encoding="utf-8"?>
<comments xmlns="http://schemas.openxmlformats.org/spreadsheetml/2006/main">
  <authors>
    <author>Trey Hardy</author>
  </authors>
  <commentList>
    <comment ref="G36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6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<sst xmlns="http://schemas.openxmlformats.org/spreadsheetml/2006/main" count="434" uniqueCount="138">
  <si>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</si>
  <si>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</si>
  <si>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</si>
  <si>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</si>
  <si>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</si>
  <si>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</si>
  <si>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</si>
  <si>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</si>
  <si>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</si>
  <si>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</si>
  <si>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</si>
  <si>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</si>
  <si>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</si>
  <si>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</si>
  <si>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</si>
  <si>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</si>
  <si>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</si>
  <si>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</si>
  <si>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</si>
  <si>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</si>
  <si>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</si>
  <si>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</si>
  <si>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</si>
  <si>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</si>
  <si>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</si>
  <si>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</si>
  <si>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</si>
  <si>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</si>
  <si>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</si>
  <si>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</si>
  <si>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</si>
  <si>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</si>
  <si>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</si>
  <si>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</si>
  <si>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</si>
  <si>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</si>
  <si>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</si>
  <si>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</si>
  <si>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</si>
  <si>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</si>
  <si>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</si>
  <si>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</si>
  <si>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</si>
  <si>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</si>
  <si>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</si>
  <si>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</si>
  <si>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</si>
  <si>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</si>
  <si>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</si>
  <si>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</si>
  <si>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</si>
  <si>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</si>
  <si>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</si>
  <si>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</si>
  <si>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</si>
  <si>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</si>
  <si>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</si>
  <si>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</si>
  <si>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</si>
  <si>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</si>
  <si>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</si>
  <si>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</si>
  <si>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</si>
  <si>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</si>
  <si>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</si>
  <si>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</si>
  <si>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</si>
  <si>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</si>
  <si>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</si>
  <si>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</si>
  <si>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</si>
  <si>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</si>
  <si>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</si>
  <si>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</si>
  <si>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</si>
  <si>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</si>
  <si>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</si>
  <si>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</si>
  <si>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</si>
  <si>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</si>
  <si>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</si>
  <si>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</si>
  <si>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</si>
  <si>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</si>
  <si>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</si>
  <si>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</si>
  <si>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</si>
  <si>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</si>
  <si>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</si>
  <si>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</si>
  <si>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</si>
  <si>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</si>
  <si>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</si>
  <si>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</si>
  <si>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Group Support Cost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</si>
  <si>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</si>
  <si>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</si>
  <si>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</si>
  <si>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</si>
  <si>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</si>
  <si>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</si>
  <si>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</si>
  <si>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</si>
  <si>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</si>
  <si>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</si>
  <si>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</si>
  <si>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</si>
  <si>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</si>
  <si>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</si>
  <si>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</si>
  <si>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</si>
  <si>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2nd QUARTER 2001 EARNINGS ESTIMATE</t>
  </si>
  <si>
    <t>2nd QTR 2001 EARNINGS ESTIMATE</t>
  </si>
  <si>
    <t>2nd QUARTER 2001 DETAIL OF GROSS MARGIN</t>
  </si>
  <si>
    <t>2001 EARNINGS ESTIMATE</t>
  </si>
  <si>
    <t>2nd QUARTER YTD</t>
  </si>
  <si>
    <t>2nd QUARTER 2001 DETAIL OF GROSS MARGIN - WEEKLY CHANGE</t>
  </si>
  <si>
    <t>2nd QUARTER 2001 EXPENSES - WEEKLY CHANGE</t>
  </si>
  <si>
    <t>Finance and Structuring</t>
  </si>
  <si>
    <t>Crude &amp; Products</t>
  </si>
  <si>
    <t>2nd QUARTER 2001  ALLOCATED EXPENSES</t>
  </si>
  <si>
    <t>(1) Includes direct and allocated expenses</t>
  </si>
  <si>
    <t>Vessel Trading</t>
  </si>
  <si>
    <t>PRIVATE &amp; CONFIDENTIAL</t>
  </si>
  <si>
    <t>Accrual /</t>
  </si>
  <si>
    <t>Middle East (1Q01 only)</t>
  </si>
  <si>
    <t>2nd QUARTER 2001 DIRECT EXPENSES</t>
  </si>
  <si>
    <t>Freight Markets</t>
  </si>
  <si>
    <t>Subtotal Gross Margin Change</t>
  </si>
  <si>
    <t>Overview</t>
  </si>
  <si>
    <t>Donation to Wharton School of Business</t>
  </si>
  <si>
    <t>Freight</t>
  </si>
  <si>
    <t>Group Cost</t>
  </si>
  <si>
    <t>Coal / Emissions</t>
  </si>
  <si>
    <t>Bahamas / S Florida Outside Services</t>
  </si>
  <si>
    <t>Unplanned McKinsey Petchem studies</t>
  </si>
  <si>
    <t>Noxtech activity</t>
  </si>
  <si>
    <t>Results based on activity through May 25,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</si>
</sst>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9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  <font>
      <b/>
      <sz val="16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47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0" fontId="18" fillId="0" borderId="16" xfId="0" applyFont="1" applyBorder="1" applyAlignment="1">
      <alignment horizontal="centerContinuous"/>
    </xf>
    <xf numFmtId="0" fontId="18" fillId="0" borderId="17" xfId="0" applyFont="1" applyBorder="1" applyAlignment="1">
      <alignment horizontal="centerContinuous"/>
    </xf>
    <xf numFmtId="0" fontId="18" fillId="0" borderId="15" xfId="0" applyFont="1" applyBorder="1" applyAlignment="1">
      <alignment horizontal="centerContinuous"/>
    </xf>
    <xf numFmtId="0" fontId="19" fillId="0" borderId="16" xfId="0" applyFont="1" applyBorder="1" applyAlignment="1">
      <alignment horizontal="centerContinuous"/>
    </xf>
    <xf numFmtId="0" fontId="19" fillId="0" borderId="17" xfId="0" applyFont="1" applyBorder="1" applyAlignment="1">
      <alignment horizontal="centerContinuous"/>
    </xf>
    <xf numFmtId="0" fontId="19" fillId="0" borderId="10" xfId="0" applyFont="1" applyBorder="1" applyAlignment="1">
      <alignment horizontal="centerContinuous"/>
    </xf>
    <xf numFmtId="0" fontId="19" fillId="0" borderId="11" xfId="0" applyFont="1" applyBorder="1" applyAlignment="1">
      <alignment horizontal="centerContinuous"/>
    </xf>
    <xf numFmtId="0" fontId="19" fillId="0" borderId="12" xfId="0" applyFont="1" applyBorder="1" applyAlignment="1">
      <alignment horizontal="centerContinuous"/>
    </xf>
    <xf numFmtId="0" fontId="48" fillId="0" borderId="0" xfId="0" applyFont="1" applyFill="1" applyAlignment="1">
      <alignment horizontal="right" vertical="center"/>
    </xf>
    <xf numFmtId="166" fontId="38" fillId="0" borderId="0" xfId="0" applyNumberFormat="1" applyFont="1" applyFill="1" applyAlignment="1">
      <alignment horizontal="right"/>
    </xf>
    <xf numFmtId="0" fontId="45" fillId="0" borderId="4" xfId="0" applyFont="1" applyBorder="1" applyAlignment="1">
      <alignment horizontal="left" indent="1"/>
    </xf>
    <xf numFmtId="165" fontId="47" fillId="0" borderId="4" xfId="1" applyNumberFormat="1" applyFont="1" applyBorder="1"/>
    <xf numFmtId="165" fontId="47" fillId="0" borderId="9" xfId="1" applyNumberFormat="1" applyFont="1" applyBorder="1"/>
    <xf numFmtId="165" fontId="16" fillId="0" borderId="9" xfId="1" applyNumberFormat="1" applyFont="1" applyBorder="1"/>
    <xf numFmtId="0" fontId="2" fillId="0" borderId="8" xfId="0" applyFont="1" applyFill="1" applyBorder="1"/>
    <xf numFmtId="165" fontId="17" fillId="0" borderId="5" xfId="1" applyNumberFormat="1" applyFont="1" applyBorder="1"/>
    <xf numFmtId="165" fontId="17" fillId="0" borderId="6" xfId="1" applyNumberFormat="1" applyFont="1" applyBorder="1"/>
    <xf numFmtId="165" fontId="17" fillId="0" borderId="7" xfId="1" applyNumberFormat="1" applyFont="1" applyBorder="1"/>
    <xf numFmtId="165" fontId="18" fillId="0" borderId="3" xfId="1" applyNumberFormat="1" applyFont="1" applyBorder="1"/>
    <xf numFmtId="165" fontId="20" fillId="0" borderId="12" xfId="1" applyNumberFormat="1" applyFont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14375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7" name="Text Box 3"/>
        <xdr:cNvSpPr txBox="1">
          <a:spLocks noChangeArrowheads="1"/>
        </xdr:cNvSpPr>
      </xdr:nvSpPr>
      <xdr:spPr bwMode="auto">
        <a:xfrm>
          <a:off x="714375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9" name="Text Box 5"/>
        <xdr:cNvSpPr txBox="1">
          <a:spLocks noChangeArrowheads="1"/>
        </xdr:cNvSpPr>
      </xdr:nvSpPr>
      <xdr:spPr bwMode="auto">
        <a:xfrm>
          <a:off x="714375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15</xdr:col>
      <xdr:colOff>9525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0" name="Text Box 6"/>
        <xdr:cNvSpPr txBox="1">
          <a:spLocks noChangeArrowheads="1"/>
        </xdr:cNvSpPr>
      </xdr:nvSpPr>
      <xdr:spPr bwMode="auto">
        <a:xfrm>
          <a:off x="66294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4</xdr:row>
      <xdr:rowOff>104775</xdr:rowOff>
    </xdr:from>
    <xdr:to>
      <xdr:col>16</xdr:col>
      <xdr:colOff>314325</xdr:colOff>
      <xdr:row>4</xdr:row>
      <xdr:rowOff>104775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667000" y="1000125"/>
          <a:ext cx="6477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6" name="Text Box 8"/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7" name="Line 9"/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4</xdr:row>
      <xdr:rowOff>104775</xdr:rowOff>
    </xdr:from>
    <xdr:to>
      <xdr:col>16</xdr:col>
      <xdr:colOff>314325</xdr:colOff>
      <xdr:row>4</xdr:row>
      <xdr:rowOff>104775</xdr:rowOff>
    </xdr:to>
    <xdr:sp macro="" textlink="">
      <xdr:nvSpPr>
        <xdr:cNvPr id="53258" name="Line 10"/>
        <xdr:cNvSpPr>
          <a:spLocks noChangeShapeType="1"/>
        </xdr:cNvSpPr>
      </xdr:nvSpPr>
      <xdr:spPr bwMode="auto">
        <a:xfrm flipH="1">
          <a:off x="2667000" y="1000125"/>
          <a:ext cx="6477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9" name="Text Box 11"/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60" name="Line 12"/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457200</xdr:colOff>
      <xdr:row>0</xdr:row>
      <xdr:rowOff>28575</xdr:rowOff>
    </xdr:from>
    <xdr:to>
      <xdr:col>21</xdr:col>
      <xdr:colOff>523875</xdr:colOff>
      <xdr:row>2</xdr:row>
      <xdr:rowOff>142875</xdr:rowOff>
    </xdr:to>
    <xdr:sp macro="" textlink="">
      <xdr:nvSpPr>
        <xdr:cNvPr id="3166" name="Text Box 94"/>
        <xdr:cNvSpPr txBox="1">
          <a:spLocks noChangeArrowheads="1"/>
        </xdr:cNvSpPr>
      </xdr:nvSpPr>
      <xdr:spPr bwMode="auto">
        <a:xfrm>
          <a:off x="7743825" y="28575"/>
          <a:ext cx="1095375" cy="523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ctr" rtl="0">
            <a:defRPr sz="1000"/>
          </a:pPr>
          <a:r>
            <a:rPr lang="en-US" sz="10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0</xdr:row>
      <xdr:rowOff>76200</xdr:rowOff>
    </xdr:from>
    <xdr:to>
      <xdr:col>11</xdr:col>
      <xdr:colOff>0</xdr:colOff>
      <xdr:row>2</xdr:row>
      <xdr:rowOff>152400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5172075" y="76200"/>
          <a:ext cx="9715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4857750" y="238125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0" name="Text Box 20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1" name="Text Box 2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2" name="Text Box 22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3" name="Text Box 23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1</xdr:row>
      <xdr:rowOff>95250</xdr:rowOff>
    </xdr:from>
    <xdr:to>
      <xdr:col>15</xdr:col>
      <xdr:colOff>847725</xdr:colOff>
      <xdr:row>3</xdr:row>
      <xdr:rowOff>76200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5343525" y="95250"/>
          <a:ext cx="16097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gmtSum-Q201-Global-no%20cap%20charg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MgmtSum-Q101-Global-no%20cap%20charg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%20FINAL%20AD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gmtSum-Q201-Global-05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E9">
            <v>0</v>
          </cell>
        </row>
        <row r="10">
          <cell r="E10">
            <v>-380</v>
          </cell>
        </row>
        <row r="11">
          <cell r="E11">
            <v>1320</v>
          </cell>
        </row>
        <row r="12">
          <cell r="E12">
            <v>0</v>
          </cell>
        </row>
        <row r="13">
          <cell r="E13">
            <v>250</v>
          </cell>
        </row>
        <row r="14">
          <cell r="E14">
            <v>0</v>
          </cell>
        </row>
        <row r="15">
          <cell r="E15">
            <v>1525</v>
          </cell>
        </row>
        <row r="16">
          <cell r="E16">
            <v>750</v>
          </cell>
        </row>
        <row r="20">
          <cell r="E20">
            <v>1488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>
        <row r="19">
          <cell r="S19">
            <v>0</v>
          </cell>
        </row>
        <row r="20">
          <cell r="S20">
            <v>0</v>
          </cell>
        </row>
        <row r="21">
          <cell r="S21">
            <v>0</v>
          </cell>
        </row>
        <row r="25">
          <cell r="S25">
            <v>0</v>
          </cell>
        </row>
        <row r="26">
          <cell r="S26">
            <v>0</v>
          </cell>
        </row>
        <row r="27">
          <cell r="S27">
            <v>0</v>
          </cell>
        </row>
        <row r="32">
          <cell r="C32">
            <v>0</v>
          </cell>
          <cell r="D32">
            <v>308</v>
          </cell>
          <cell r="G32">
            <v>0</v>
          </cell>
          <cell r="I32">
            <v>0</v>
          </cell>
          <cell r="M32">
            <v>308</v>
          </cell>
          <cell r="N32">
            <v>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</row>
      </sheetData>
      <sheetData sheetId="1">
        <row r="27">
          <cell r="C27">
            <v>0</v>
          </cell>
          <cell r="G27">
            <v>0</v>
          </cell>
        </row>
        <row r="39">
          <cell r="G39" t="str">
            <v>Operating Expense</v>
          </cell>
        </row>
      </sheetData>
      <sheetData sheetId="2">
        <row r="1">
          <cell r="A1" t="str">
            <v>ENRON GLOBAL MARKETS</v>
          </cell>
        </row>
        <row r="2">
          <cell r="A2" t="str">
            <v>1st QUARTER 2001 EARNINGS ESTIMATE</v>
          </cell>
        </row>
        <row r="3">
          <cell r="A3" t="str">
            <v>Results based on activity through March 31, 2001</v>
          </cell>
        </row>
        <row r="5">
          <cell r="C5" t="str">
            <v>Plan</v>
          </cell>
          <cell r="G5" t="str">
            <v>Components of Earnings Before Interest and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EBIT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Crude &amp; Products</v>
          </cell>
          <cell r="C9">
            <v>40000</v>
          </cell>
          <cell r="D9">
            <v>16750.212</v>
          </cell>
          <cell r="E9">
            <v>23249.788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L9">
            <v>0</v>
          </cell>
          <cell r="M9">
            <v>6767.77</v>
          </cell>
          <cell r="N9">
            <v>9982.4419999999991</v>
          </cell>
          <cell r="O9">
            <v>-16750.212</v>
          </cell>
          <cell r="Q9">
            <v>-40000</v>
          </cell>
          <cell r="S9">
            <v>0</v>
          </cell>
          <cell r="T9">
            <v>0</v>
          </cell>
          <cell r="U9">
            <v>0</v>
          </cell>
          <cell r="V9">
            <v>-40000</v>
          </cell>
        </row>
        <row r="10">
          <cell r="A10" t="str">
            <v>Coal</v>
          </cell>
          <cell r="C10">
            <v>13750</v>
          </cell>
          <cell r="D10">
            <v>7412.7459999999992</v>
          </cell>
          <cell r="E10">
            <v>6337.2540000000008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L10">
            <v>0</v>
          </cell>
          <cell r="M10">
            <v>4013.0929999999998</v>
          </cell>
          <cell r="N10">
            <v>3399.6529999999998</v>
          </cell>
          <cell r="O10">
            <v>-7412.7459999999992</v>
          </cell>
          <cell r="Q10">
            <v>-13750</v>
          </cell>
          <cell r="S10">
            <v>0</v>
          </cell>
          <cell r="T10">
            <v>0</v>
          </cell>
          <cell r="U10">
            <v>0</v>
          </cell>
          <cell r="V10">
            <v>-13750</v>
          </cell>
        </row>
        <row r="11">
          <cell r="A11" t="str">
            <v>Vessel Trading</v>
          </cell>
          <cell r="C11">
            <v>0</v>
          </cell>
          <cell r="D11">
            <v>0</v>
          </cell>
          <cell r="E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Q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 t="str">
            <v>Emissions</v>
          </cell>
          <cell r="C12">
            <v>5000</v>
          </cell>
          <cell r="D12">
            <v>2084.3759999999997</v>
          </cell>
          <cell r="E12">
            <v>2915.6240000000003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L12">
            <v>0</v>
          </cell>
          <cell r="M12">
            <v>1213.6189999999999</v>
          </cell>
          <cell r="N12">
            <v>870.75699999999995</v>
          </cell>
          <cell r="O12">
            <v>-2084.3759999999997</v>
          </cell>
          <cell r="Q12">
            <v>-5000</v>
          </cell>
          <cell r="S12">
            <v>0</v>
          </cell>
          <cell r="T12">
            <v>0</v>
          </cell>
          <cell r="U12">
            <v>0</v>
          </cell>
          <cell r="V12">
            <v>-5000</v>
          </cell>
        </row>
        <row r="13">
          <cell r="A13" t="str">
            <v>Weather</v>
          </cell>
          <cell r="C13">
            <v>8509.2510000000002</v>
          </cell>
          <cell r="D13">
            <v>4048.2690000000002</v>
          </cell>
          <cell r="E13">
            <v>4460.982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1808.5229999999999</v>
          </cell>
          <cell r="N13">
            <v>2239.7460000000001</v>
          </cell>
          <cell r="O13">
            <v>-4048.2690000000002</v>
          </cell>
          <cell r="Q13">
            <v>-8509.2510000000002</v>
          </cell>
          <cell r="S13">
            <v>0</v>
          </cell>
          <cell r="T13">
            <v>0</v>
          </cell>
          <cell r="U13">
            <v>0</v>
          </cell>
          <cell r="V13">
            <v>-8509</v>
          </cell>
        </row>
        <row r="14">
          <cell r="A14" t="str">
            <v>Global Risk Markets</v>
          </cell>
          <cell r="C14">
            <v>4875</v>
          </cell>
          <cell r="D14">
            <v>2615.9789999999998</v>
          </cell>
          <cell r="E14">
            <v>2259.0210000000002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L14">
            <v>0</v>
          </cell>
          <cell r="M14">
            <v>1802.6479999999999</v>
          </cell>
          <cell r="N14">
            <v>813.33100000000002</v>
          </cell>
          <cell r="O14">
            <v>-2615.9789999999998</v>
          </cell>
          <cell r="Q14">
            <v>-4875</v>
          </cell>
          <cell r="S14">
            <v>0</v>
          </cell>
          <cell r="T14">
            <v>0</v>
          </cell>
          <cell r="U14">
            <v>0</v>
          </cell>
          <cell r="V14">
            <v>-4875</v>
          </cell>
        </row>
        <row r="15">
          <cell r="A15" t="str">
            <v>Financial Trading</v>
          </cell>
          <cell r="C15">
            <v>20000</v>
          </cell>
          <cell r="D15">
            <v>5545.3940000000002</v>
          </cell>
          <cell r="E15">
            <v>14454.606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3467.386</v>
          </cell>
          <cell r="N15">
            <v>2078.0079999999998</v>
          </cell>
          <cell r="O15">
            <v>-5545.3940000000002</v>
          </cell>
          <cell r="Q15">
            <v>-20000</v>
          </cell>
          <cell r="S15">
            <v>0</v>
          </cell>
          <cell r="T15">
            <v>0</v>
          </cell>
          <cell r="U15">
            <v>0</v>
          </cell>
          <cell r="V15">
            <v>-20000</v>
          </cell>
        </row>
        <row r="16">
          <cell r="A16" t="str">
            <v>Freight</v>
          </cell>
          <cell r="C16">
            <v>500</v>
          </cell>
          <cell r="D16">
            <v>633.803</v>
          </cell>
          <cell r="E16">
            <v>-133.803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461.70699999999999</v>
          </cell>
          <cell r="N16">
            <v>172.096</v>
          </cell>
          <cell r="O16">
            <v>-633.803</v>
          </cell>
          <cell r="Q16">
            <v>-500</v>
          </cell>
          <cell r="S16">
            <v>0</v>
          </cell>
          <cell r="T16">
            <v>0</v>
          </cell>
          <cell r="U16">
            <v>0</v>
          </cell>
          <cell r="V16">
            <v>-500</v>
          </cell>
        </row>
        <row r="17">
          <cell r="A17" t="str">
            <v>LNG</v>
          </cell>
          <cell r="C17">
            <v>3000</v>
          </cell>
          <cell r="D17">
            <v>2634.0640000000003</v>
          </cell>
          <cell r="E17">
            <v>365.93599999999969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1430.25</v>
          </cell>
          <cell r="N17">
            <v>1203.8140000000001</v>
          </cell>
          <cell r="O17">
            <v>-2634.0640000000003</v>
          </cell>
          <cell r="Q17">
            <v>-3000</v>
          </cell>
          <cell r="S17">
            <v>0</v>
          </cell>
          <cell r="T17">
            <v>0</v>
          </cell>
          <cell r="U17">
            <v>0</v>
          </cell>
          <cell r="V17">
            <v>-3000</v>
          </cell>
        </row>
        <row r="18">
          <cell r="A18" t="str">
            <v>Middle East</v>
          </cell>
          <cell r="C18">
            <v>1413</v>
          </cell>
          <cell r="D18">
            <v>1600.847</v>
          </cell>
          <cell r="E18">
            <v>-187.84699999999998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809.42399999999998</v>
          </cell>
          <cell r="N18">
            <v>791.423</v>
          </cell>
          <cell r="O18">
            <v>-1600.847</v>
          </cell>
          <cell r="Q18">
            <v>-1413</v>
          </cell>
          <cell r="S18">
            <v>0</v>
          </cell>
          <cell r="T18">
            <v>0</v>
          </cell>
          <cell r="U18">
            <v>0</v>
          </cell>
          <cell r="V18">
            <v>-1413</v>
          </cell>
        </row>
        <row r="19">
          <cell r="A19" t="str">
            <v>Puerto Rico</v>
          </cell>
          <cell r="C19">
            <v>-858.5010000000002</v>
          </cell>
          <cell r="D19">
            <v>842.06600000000003</v>
          </cell>
          <cell r="E19">
            <v>-1700.5670000000002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272.54199999999997</v>
          </cell>
          <cell r="N19">
            <v>569.524</v>
          </cell>
          <cell r="O19">
            <v>-842.06600000000003</v>
          </cell>
          <cell r="Q19">
            <v>858.5010000000002</v>
          </cell>
          <cell r="S19">
            <v>0</v>
          </cell>
          <cell r="T19">
            <v>0</v>
          </cell>
          <cell r="U19">
            <v>0</v>
          </cell>
          <cell r="V19">
            <v>859</v>
          </cell>
        </row>
        <row r="20">
          <cell r="A20" t="str">
            <v>Finance and Structuring</v>
          </cell>
          <cell r="C20">
            <v>0</v>
          </cell>
          <cell r="D20">
            <v>783.779</v>
          </cell>
          <cell r="E20">
            <v>-783.779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  <cell r="M20">
            <v>712.17</v>
          </cell>
          <cell r="N20">
            <v>71.608999999999995</v>
          </cell>
          <cell r="O20">
            <v>-783.779</v>
          </cell>
          <cell r="Q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Office of the Chairman</v>
          </cell>
          <cell r="C21">
            <v>0</v>
          </cell>
          <cell r="D21">
            <v>1008.636</v>
          </cell>
          <cell r="E21">
            <v>-1008.636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533.36900000000003</v>
          </cell>
          <cell r="N21">
            <v>475.267</v>
          </cell>
          <cell r="O21">
            <v>-1008.636</v>
          </cell>
          <cell r="Q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3">
          <cell r="A23" t="str">
            <v>Total Commercial</v>
          </cell>
          <cell r="C23">
            <v>96188.75</v>
          </cell>
          <cell r="D23">
            <v>45960.171000000002</v>
          </cell>
          <cell r="E23">
            <v>50228.578999999998</v>
          </cell>
          <cell r="F23" t="e">
            <v>#REF!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23292.500999999997</v>
          </cell>
          <cell r="N23">
            <v>22667.67</v>
          </cell>
          <cell r="O23">
            <v>-45960.171000000002</v>
          </cell>
          <cell r="Q23">
            <v>-96188.75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-96188</v>
          </cell>
        </row>
        <row r="25">
          <cell r="A25" t="str">
            <v>Group Support Cost</v>
          </cell>
          <cell r="C25">
            <v>0</v>
          </cell>
          <cell r="D25">
            <v>27406.815999999999</v>
          </cell>
          <cell r="E25">
            <v>-27406.815999999999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27406.815999999999</v>
          </cell>
          <cell r="N25">
            <v>0</v>
          </cell>
          <cell r="O25">
            <v>-27406.815999999999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Support Cost Allocated to Teams</v>
          </cell>
          <cell r="C26">
            <v>0</v>
          </cell>
          <cell r="D26">
            <v>-22667.67</v>
          </cell>
          <cell r="E26">
            <v>22667.67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-22667.67</v>
          </cell>
          <cell r="O26">
            <v>22667.67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str">
            <v>Other Interest Related Charges</v>
          </cell>
          <cell r="C27">
            <v>-500</v>
          </cell>
          <cell r="D27">
            <v>0</v>
          </cell>
          <cell r="E27">
            <v>-500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Q27">
            <v>500</v>
          </cell>
          <cell r="S27">
            <v>0</v>
          </cell>
          <cell r="T27">
            <v>0</v>
          </cell>
          <cell r="U27">
            <v>0</v>
          </cell>
          <cell r="V27">
            <v>500</v>
          </cell>
        </row>
        <row r="28">
          <cell r="A28" t="str">
            <v>Capital Charge Offset</v>
          </cell>
          <cell r="C28">
            <v>0</v>
          </cell>
          <cell r="D28">
            <v>0</v>
          </cell>
          <cell r="E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Q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V29">
            <v>0</v>
          </cell>
        </row>
        <row r="30">
          <cell r="A30" t="str">
            <v>Global Markets EBIT</v>
          </cell>
          <cell r="C30">
            <v>95688.75</v>
          </cell>
          <cell r="D30">
            <v>50699.316999999995</v>
          </cell>
          <cell r="E30">
            <v>44989.432999999997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50699.316999999995</v>
          </cell>
          <cell r="N30">
            <v>0</v>
          </cell>
          <cell r="O30">
            <v>-50699.316999999995</v>
          </cell>
          <cell r="Q30">
            <v>-95688.75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-95688</v>
          </cell>
        </row>
        <row r="31">
          <cell r="G31" t="str">
            <v>Other Expenses:</v>
          </cell>
          <cell r="M31" t="str">
            <v xml:space="preserve"> </v>
          </cell>
        </row>
        <row r="32">
          <cell r="A32" t="str">
            <v>Interest Expense/(Income)</v>
          </cell>
          <cell r="C32">
            <v>0</v>
          </cell>
          <cell r="D32">
            <v>308</v>
          </cell>
          <cell r="E32">
            <v>-308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308</v>
          </cell>
          <cell r="N32">
            <v>0</v>
          </cell>
          <cell r="O32">
            <v>-308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4">
          <cell r="A34" t="str">
            <v>Global Markets Pre-tax Income</v>
          </cell>
          <cell r="C34">
            <v>95688.75</v>
          </cell>
          <cell r="D34">
            <v>51007.316999999995</v>
          </cell>
          <cell r="E34">
            <v>44681.432999999997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51007.316999999995</v>
          </cell>
          <cell r="N34">
            <v>0</v>
          </cell>
          <cell r="O34">
            <v>-51007.316999999995</v>
          </cell>
          <cell r="Q34">
            <v>-95688.75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-95688</v>
          </cell>
        </row>
        <row r="36">
          <cell r="E36" t="str">
            <v>MPR Change:</v>
          </cell>
          <cell r="G36">
            <v>0</v>
          </cell>
        </row>
        <row r="38">
          <cell r="A38" t="str">
            <v>(1) Includes direct and allocated expenses</v>
          </cell>
        </row>
      </sheetData>
      <sheetData sheetId="3">
        <row r="38">
          <cell r="C38">
            <v>-4872.4930000000004</v>
          </cell>
          <cell r="D38">
            <v>-132.97831000000002</v>
          </cell>
          <cell r="E38">
            <v>2791.2759999999998</v>
          </cell>
          <cell r="F38">
            <v>649.61699999999996</v>
          </cell>
          <cell r="G38">
            <v>0</v>
          </cell>
        </row>
      </sheetData>
      <sheetData sheetId="4"/>
      <sheetData sheetId="5">
        <row r="26">
          <cell r="D26">
            <v>0</v>
          </cell>
          <cell r="E26">
            <v>0</v>
          </cell>
        </row>
      </sheetData>
      <sheetData sheetId="6">
        <row r="21">
          <cell r="E21">
            <v>1033</v>
          </cell>
        </row>
        <row r="22">
          <cell r="E22">
            <v>-545</v>
          </cell>
        </row>
      </sheetData>
      <sheetData sheetId="7"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</row>
        <row r="22">
          <cell r="D22">
            <v>0</v>
          </cell>
          <cell r="F22">
            <v>0</v>
          </cell>
        </row>
        <row r="26">
          <cell r="D26">
            <v>0</v>
          </cell>
          <cell r="E26">
            <v>0</v>
          </cell>
          <cell r="F26">
            <v>0</v>
          </cell>
        </row>
        <row r="27">
          <cell r="D27">
            <v>0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GlobalMgmtSum-Q101-0330 FINAL A"/>
    </sheetNames>
    <sheetDataSet>
      <sheetData sheetId="0"/>
      <sheetData sheetId="1"/>
      <sheetData sheetId="2">
        <row r="9">
          <cell r="C9">
            <v>40000</v>
          </cell>
          <cell r="D9">
            <v>16750.212</v>
          </cell>
          <cell r="G9">
            <v>61971.161</v>
          </cell>
          <cell r="I9">
            <v>0</v>
          </cell>
          <cell r="M9">
            <v>7068.2160000000003</v>
          </cell>
          <cell r="N9">
            <v>8595.8335000000006</v>
          </cell>
          <cell r="Q9">
            <v>21971.161</v>
          </cell>
          <cell r="T9">
            <v>-300.44599999999991</v>
          </cell>
          <cell r="U9">
            <v>1386.6084999999985</v>
          </cell>
        </row>
        <row r="10">
          <cell r="C10">
            <v>11250</v>
          </cell>
          <cell r="D10">
            <v>7412.7459999999992</v>
          </cell>
          <cell r="G10">
            <v>15691.583329999999</v>
          </cell>
          <cell r="I10">
            <v>0</v>
          </cell>
          <cell r="M10">
            <v>3584.9830000000002</v>
          </cell>
          <cell r="N10">
            <v>3176.8919999999998</v>
          </cell>
          <cell r="Q10">
            <v>4441.5833299999995</v>
          </cell>
          <cell r="T10">
            <v>428.10999999999967</v>
          </cell>
          <cell r="U10">
            <v>223</v>
          </cell>
        </row>
        <row r="11">
          <cell r="C11">
            <v>2500</v>
          </cell>
          <cell r="D11">
            <v>0</v>
          </cell>
          <cell r="G11">
            <v>4581</v>
          </cell>
          <cell r="I11">
            <v>0</v>
          </cell>
          <cell r="M11">
            <v>0</v>
          </cell>
          <cell r="N11">
            <v>0</v>
          </cell>
          <cell r="Q11">
            <v>2081</v>
          </cell>
          <cell r="T11">
            <v>0</v>
          </cell>
          <cell r="U11">
            <v>0</v>
          </cell>
        </row>
        <row r="12">
          <cell r="C12">
            <v>5000</v>
          </cell>
          <cell r="D12">
            <v>2084.375</v>
          </cell>
          <cell r="G12">
            <v>-6238.1530000000002</v>
          </cell>
          <cell r="I12">
            <v>0</v>
          </cell>
          <cell r="M12">
            <v>570.50299999999993</v>
          </cell>
          <cell r="N12">
            <v>751.697</v>
          </cell>
          <cell r="Q12">
            <v>-11238.153</v>
          </cell>
          <cell r="T12">
            <v>643.11500000000001</v>
          </cell>
          <cell r="U12">
            <v>119</v>
          </cell>
        </row>
        <row r="13">
          <cell r="C13">
            <v>8509.2510000000002</v>
          </cell>
          <cell r="D13">
            <v>4048.2690000000002</v>
          </cell>
          <cell r="G13">
            <v>8725</v>
          </cell>
          <cell r="I13">
            <v>0</v>
          </cell>
          <cell r="M13">
            <v>1721.3719999999998</v>
          </cell>
          <cell r="N13">
            <v>1164.559</v>
          </cell>
          <cell r="Q13">
            <v>215.7489999999998</v>
          </cell>
          <cell r="T13">
            <v>87.151000000000067</v>
          </cell>
          <cell r="U13">
            <v>1075</v>
          </cell>
        </row>
        <row r="14">
          <cell r="C14">
            <v>4875</v>
          </cell>
          <cell r="D14">
            <v>2615.9789999999998</v>
          </cell>
          <cell r="G14">
            <v>1672.0152800000001</v>
          </cell>
          <cell r="I14">
            <v>0</v>
          </cell>
          <cell r="M14">
            <v>790.13499999999999</v>
          </cell>
          <cell r="N14">
            <v>543.88400000000001</v>
          </cell>
          <cell r="Q14">
            <v>-3202.9847199999999</v>
          </cell>
          <cell r="T14">
            <v>1012.5129999999999</v>
          </cell>
          <cell r="U14">
            <v>269</v>
          </cell>
        </row>
        <row r="15">
          <cell r="C15">
            <v>20000</v>
          </cell>
          <cell r="D15">
            <v>5545.3940000000002</v>
          </cell>
          <cell r="G15">
            <v>13281.757</v>
          </cell>
          <cell r="I15">
            <v>0</v>
          </cell>
          <cell r="M15">
            <v>2364.7780000000002</v>
          </cell>
          <cell r="N15">
            <v>1452.7840000000001</v>
          </cell>
          <cell r="Q15">
            <v>-6718.2430000000004</v>
          </cell>
          <cell r="T15">
            <v>1102.6079999999997</v>
          </cell>
          <cell r="U15">
            <v>625</v>
          </cell>
        </row>
        <row r="16">
          <cell r="C16">
            <v>500</v>
          </cell>
          <cell r="D16">
            <v>633.803</v>
          </cell>
          <cell r="G16">
            <v>40.954000000000001</v>
          </cell>
          <cell r="I16">
            <v>0</v>
          </cell>
          <cell r="M16">
            <v>1615.7969999999998</v>
          </cell>
          <cell r="N16">
            <v>268.63099999999997</v>
          </cell>
          <cell r="Q16">
            <v>-459.04599999999999</v>
          </cell>
          <cell r="T16">
            <v>-1154.0899999999997</v>
          </cell>
          <cell r="U16">
            <v>-96.534999999999968</v>
          </cell>
        </row>
        <row r="17">
          <cell r="C17">
            <v>3000</v>
          </cell>
          <cell r="D17">
            <v>2634.0640000000003</v>
          </cell>
          <cell r="G17">
            <v>1679.991</v>
          </cell>
          <cell r="I17">
            <v>0</v>
          </cell>
          <cell r="M17">
            <v>2763.1289999999999</v>
          </cell>
          <cell r="N17">
            <v>1075.4269999999999</v>
          </cell>
          <cell r="Q17">
            <v>-1320.009</v>
          </cell>
          <cell r="T17">
            <v>-1332.8789999999999</v>
          </cell>
          <cell r="U17">
            <v>128.38700000000017</v>
          </cell>
        </row>
        <row r="18">
          <cell r="C18">
            <v>1413</v>
          </cell>
          <cell r="D18">
            <v>1600.923</v>
          </cell>
          <cell r="G18">
            <v>168.79400000000001</v>
          </cell>
          <cell r="I18">
            <v>0</v>
          </cell>
          <cell r="M18">
            <v>1557.3020000000001</v>
          </cell>
          <cell r="N18">
            <v>576.46900000000005</v>
          </cell>
          <cell r="Q18">
            <v>-1244.2059999999999</v>
          </cell>
          <cell r="T18">
            <v>-747.80200000000013</v>
          </cell>
          <cell r="U18">
            <v>214.95399999999995</v>
          </cell>
        </row>
        <row r="19">
          <cell r="C19">
            <v>-858.5010000000002</v>
          </cell>
          <cell r="D19">
            <v>842.06600000000003</v>
          </cell>
          <cell r="G19">
            <v>-959.67899999999997</v>
          </cell>
          <cell r="I19">
            <v>0</v>
          </cell>
          <cell r="M19">
            <v>428.86399999999998</v>
          </cell>
          <cell r="N19">
            <v>497.16199999999998</v>
          </cell>
          <cell r="Q19">
            <v>-101.17799999999977</v>
          </cell>
          <cell r="T19">
            <v>-156.322</v>
          </cell>
          <cell r="U19">
            <v>72.362000000000023</v>
          </cell>
        </row>
        <row r="20">
          <cell r="C20">
            <v>0</v>
          </cell>
          <cell r="D20">
            <v>783.779</v>
          </cell>
          <cell r="G20">
            <v>47.173999999999999</v>
          </cell>
          <cell r="I20">
            <v>0</v>
          </cell>
          <cell r="M20">
            <v>326.59699999999998</v>
          </cell>
          <cell r="N20">
            <v>97.929000000000002</v>
          </cell>
          <cell r="Q20">
            <v>47.173999999999999</v>
          </cell>
          <cell r="T20">
            <v>385.57299999999998</v>
          </cell>
          <cell r="U20">
            <v>-26.320000000000007</v>
          </cell>
        </row>
        <row r="21">
          <cell r="C21">
            <v>0</v>
          </cell>
          <cell r="D21">
            <v>1008.636</v>
          </cell>
          <cell r="G21">
            <v>0</v>
          </cell>
          <cell r="I21">
            <v>0</v>
          </cell>
          <cell r="M21">
            <v>522.07400000000007</v>
          </cell>
          <cell r="N21">
            <v>347.05</v>
          </cell>
          <cell r="Q21">
            <v>0</v>
          </cell>
          <cell r="T21">
            <v>11.294999999999959</v>
          </cell>
          <cell r="U21">
            <v>128.21699999999998</v>
          </cell>
        </row>
        <row r="25">
          <cell r="C25">
            <v>0</v>
          </cell>
          <cell r="D25">
            <v>27406.815999999999</v>
          </cell>
          <cell r="G25">
            <v>0</v>
          </cell>
          <cell r="I25">
            <v>0</v>
          </cell>
          <cell r="M25">
            <v>30751.066999999999</v>
          </cell>
          <cell r="N25">
            <v>0</v>
          </cell>
          <cell r="Q25">
            <v>0</v>
          </cell>
          <cell r="T25">
            <v>-3344.2510000000002</v>
          </cell>
          <cell r="U25">
            <v>0</v>
          </cell>
        </row>
        <row r="26">
          <cell r="C26">
            <v>0</v>
          </cell>
          <cell r="D26">
            <v>-22667.67</v>
          </cell>
          <cell r="G26">
            <v>0</v>
          </cell>
          <cell r="I26">
            <v>0</v>
          </cell>
          <cell r="M26">
            <v>0</v>
          </cell>
          <cell r="N26">
            <v>-18548.317500000001</v>
          </cell>
          <cell r="Q26">
            <v>0</v>
          </cell>
          <cell r="T26">
            <v>-4119.3524999999972</v>
          </cell>
          <cell r="U26">
            <v>0</v>
          </cell>
        </row>
        <row r="27">
          <cell r="C27">
            <v>-500</v>
          </cell>
          <cell r="D27">
            <v>0</v>
          </cell>
          <cell r="G27">
            <v>-281.11799999999999</v>
          </cell>
          <cell r="I27">
            <v>0</v>
          </cell>
          <cell r="M27">
            <v>0</v>
          </cell>
          <cell r="N27">
            <v>0</v>
          </cell>
          <cell r="Q27">
            <v>218.88200000000001</v>
          </cell>
          <cell r="T27">
            <v>0</v>
          </cell>
          <cell r="U27">
            <v>0</v>
          </cell>
        </row>
      </sheetData>
      <sheetData sheetId="3"/>
      <sheetData sheetId="4"/>
      <sheetData sheetId="5">
        <row r="31">
          <cell r="D31" t="str">
            <v>Operating Expenses</v>
          </cell>
        </row>
        <row r="33">
          <cell r="D33">
            <v>0</v>
          </cell>
          <cell r="E33">
            <v>0</v>
          </cell>
        </row>
        <row r="34">
          <cell r="D34">
            <v>0</v>
          </cell>
          <cell r="E34">
            <v>0</v>
          </cell>
        </row>
        <row r="35">
          <cell r="D35">
            <v>0</v>
          </cell>
          <cell r="E35">
            <v>0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>
        <row r="9">
          <cell r="C9">
            <v>-70758</v>
          </cell>
          <cell r="G9">
            <v>17173.484</v>
          </cell>
        </row>
        <row r="10">
          <cell r="C10">
            <v>758.90705000000003</v>
          </cell>
          <cell r="G10">
            <v>9003.0159999999996</v>
          </cell>
        </row>
        <row r="11">
          <cell r="C11">
            <v>-1370</v>
          </cell>
          <cell r="G11">
            <v>725</v>
          </cell>
        </row>
        <row r="12">
          <cell r="C12">
            <v>0</v>
          </cell>
          <cell r="G12">
            <v>0</v>
          </cell>
        </row>
        <row r="13">
          <cell r="C13">
            <v>224</v>
          </cell>
          <cell r="G13">
            <v>3240.6319999999996</v>
          </cell>
        </row>
        <row r="14">
          <cell r="C14">
            <v>648</v>
          </cell>
          <cell r="G14">
            <v>3259.8140000000003</v>
          </cell>
        </row>
        <row r="15">
          <cell r="C15">
            <v>-10261</v>
          </cell>
          <cell r="G15">
            <v>6013.2449999999999</v>
          </cell>
        </row>
        <row r="16">
          <cell r="C16">
            <v>87.371319999999997</v>
          </cell>
          <cell r="G16">
            <v>4934.7109999999993</v>
          </cell>
        </row>
        <row r="17">
          <cell r="C17">
            <v>414</v>
          </cell>
          <cell r="G17">
            <v>4122.0959999999995</v>
          </cell>
        </row>
        <row r="18">
          <cell r="C18">
            <v>-1445</v>
          </cell>
          <cell r="G18">
            <v>875.346</v>
          </cell>
        </row>
        <row r="19">
          <cell r="C19">
            <v>0</v>
          </cell>
          <cell r="G19">
            <v>766.23199999999997</v>
          </cell>
        </row>
        <row r="20">
          <cell r="C20">
            <v>0</v>
          </cell>
          <cell r="G20">
            <v>1261.2240000000002</v>
          </cell>
        </row>
        <row r="21">
          <cell r="C21">
            <v>0</v>
          </cell>
          <cell r="G21">
            <v>0</v>
          </cell>
        </row>
        <row r="25">
          <cell r="C25">
            <v>0</v>
          </cell>
          <cell r="G25">
            <v>28242.490999999998</v>
          </cell>
        </row>
        <row r="26">
          <cell r="C26">
            <v>0</v>
          </cell>
          <cell r="G26">
            <v>-22036.860000000008</v>
          </cell>
        </row>
        <row r="27">
          <cell r="C27">
            <v>0</v>
          </cell>
          <cell r="G27">
            <v>0</v>
          </cell>
        </row>
        <row r="32">
          <cell r="C32">
            <v>0</v>
          </cell>
          <cell r="G32">
            <v>9400</v>
          </cell>
        </row>
      </sheetData>
      <sheetData sheetId="2"/>
      <sheetData sheetId="3"/>
      <sheetData sheetId="4">
        <row r="10">
          <cell r="D10">
            <v>-70758</v>
          </cell>
          <cell r="E10">
            <v>0</v>
          </cell>
          <cell r="G10">
            <v>0</v>
          </cell>
          <cell r="K10">
            <v>0</v>
          </cell>
        </row>
        <row r="11">
          <cell r="D11">
            <v>600</v>
          </cell>
          <cell r="E11">
            <v>232.47763</v>
          </cell>
          <cell r="G11">
            <v>-73.570580000000007</v>
          </cell>
          <cell r="K11">
            <v>0</v>
          </cell>
        </row>
        <row r="12">
          <cell r="D12">
            <v>-1370</v>
          </cell>
          <cell r="E12">
            <v>0</v>
          </cell>
          <cell r="G12">
            <v>0</v>
          </cell>
          <cell r="K12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K13">
            <v>0</v>
          </cell>
        </row>
        <row r="14">
          <cell r="D14">
            <v>224</v>
          </cell>
          <cell r="E14">
            <v>0</v>
          </cell>
          <cell r="G14">
            <v>0</v>
          </cell>
          <cell r="K14">
            <v>0</v>
          </cell>
        </row>
        <row r="15">
          <cell r="D15">
            <v>648</v>
          </cell>
          <cell r="E15">
            <v>0</v>
          </cell>
          <cell r="G15">
            <v>0</v>
          </cell>
          <cell r="K15">
            <v>0</v>
          </cell>
        </row>
        <row r="16">
          <cell r="D16">
            <v>-14058</v>
          </cell>
          <cell r="E16">
            <v>0</v>
          </cell>
          <cell r="G16">
            <v>0</v>
          </cell>
          <cell r="K16">
            <v>0</v>
          </cell>
        </row>
        <row r="17">
          <cell r="D17">
            <v>4005</v>
          </cell>
          <cell r="E17">
            <v>0</v>
          </cell>
          <cell r="G17">
            <v>0</v>
          </cell>
          <cell r="K17">
            <v>0</v>
          </cell>
        </row>
        <row r="18">
          <cell r="D18">
            <v>-336</v>
          </cell>
          <cell r="E18">
            <v>0</v>
          </cell>
          <cell r="G18">
            <v>0</v>
          </cell>
          <cell r="K18">
            <v>0</v>
          </cell>
        </row>
        <row r="19">
          <cell r="D19">
            <v>161</v>
          </cell>
          <cell r="E19">
            <v>0</v>
          </cell>
          <cell r="G19">
            <v>0</v>
          </cell>
          <cell r="K19">
            <v>0</v>
          </cell>
        </row>
        <row r="20">
          <cell r="D20">
            <v>-33</v>
          </cell>
          <cell r="E20">
            <v>0</v>
          </cell>
          <cell r="G20">
            <v>0</v>
          </cell>
          <cell r="K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K21">
            <v>0</v>
          </cell>
        </row>
        <row r="23">
          <cell r="D23">
            <v>67</v>
          </cell>
          <cell r="E23">
            <v>20.371320000000001</v>
          </cell>
          <cell r="G23">
            <v>0</v>
          </cell>
          <cell r="K23">
            <v>0</v>
          </cell>
        </row>
        <row r="24">
          <cell r="D24">
            <v>376</v>
          </cell>
          <cell r="E24">
            <v>0</v>
          </cell>
          <cell r="G24">
            <v>38</v>
          </cell>
          <cell r="K24">
            <v>0</v>
          </cell>
        </row>
        <row r="25">
          <cell r="D25">
            <v>0</v>
          </cell>
          <cell r="E25">
            <v>0</v>
          </cell>
          <cell r="G25">
            <v>-1445</v>
          </cell>
          <cell r="K25">
            <v>0</v>
          </cell>
        </row>
        <row r="26">
          <cell r="D26">
            <v>0</v>
          </cell>
          <cell r="E26">
            <v>0</v>
          </cell>
          <cell r="G26">
            <v>0</v>
          </cell>
          <cell r="K26">
            <v>0</v>
          </cell>
        </row>
        <row r="27">
          <cell r="D27">
            <v>0</v>
          </cell>
          <cell r="E27">
            <v>0</v>
          </cell>
          <cell r="G27">
            <v>0</v>
          </cell>
          <cell r="K27">
            <v>0</v>
          </cell>
        </row>
        <row r="28">
          <cell r="D28">
            <v>0</v>
          </cell>
          <cell r="E28">
            <v>0</v>
          </cell>
          <cell r="G28">
            <v>0</v>
          </cell>
          <cell r="K28">
            <v>0</v>
          </cell>
        </row>
      </sheetData>
      <sheetData sheetId="5">
        <row r="9">
          <cell r="D9">
            <v>7194.3119999999999</v>
          </cell>
          <cell r="E9">
            <v>6994.3119999999999</v>
          </cell>
        </row>
        <row r="10">
          <cell r="D10">
            <v>5212.9960000000001</v>
          </cell>
          <cell r="E10">
            <v>5012.9960000000001</v>
          </cell>
        </row>
        <row r="11">
          <cell r="D11">
            <v>348</v>
          </cell>
          <cell r="E11">
            <v>348</v>
          </cell>
        </row>
        <row r="12">
          <cell r="D12">
            <v>0</v>
          </cell>
          <cell r="E12">
            <v>0</v>
          </cell>
        </row>
        <row r="13">
          <cell r="D13">
            <v>1463.0070000000001</v>
          </cell>
          <cell r="E13">
            <v>1463.0070000000001</v>
          </cell>
        </row>
        <row r="14">
          <cell r="D14">
            <v>2304.1210000000001</v>
          </cell>
          <cell r="E14">
            <v>2304.1210000000001</v>
          </cell>
        </row>
        <row r="15">
          <cell r="D15">
            <v>3742.614</v>
          </cell>
          <cell r="E15">
            <v>3742.614</v>
          </cell>
        </row>
        <row r="16">
          <cell r="D16">
            <v>4357.2929999999997</v>
          </cell>
          <cell r="E16">
            <v>4357.2929999999997</v>
          </cell>
        </row>
        <row r="17">
          <cell r="D17">
            <v>2930.25</v>
          </cell>
          <cell r="E17">
            <v>1430.25</v>
          </cell>
        </row>
        <row r="18">
          <cell r="D18">
            <v>302.28100000000001</v>
          </cell>
          <cell r="E18">
            <v>302.28100000000001</v>
          </cell>
        </row>
        <row r="19">
          <cell r="D19">
            <v>695.86599999999999</v>
          </cell>
          <cell r="E19">
            <v>695.86599999999999</v>
          </cell>
        </row>
        <row r="20">
          <cell r="D20">
            <v>787.2</v>
          </cell>
          <cell r="E20">
            <v>537.20000000000005</v>
          </cell>
        </row>
        <row r="25">
          <cell r="D25">
            <v>0</v>
          </cell>
          <cell r="E25">
            <v>0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4"/>
  <sheetViews>
    <sheetView zoomScaleNormal="100" workbookViewId="0">
      <selection activeCell="I15" sqref="I15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2" width="7.7109375" style="14" hidden="1" customWidth="1"/>
    <col min="13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9" width="7.7109375" style="14" hidden="1" customWidth="1"/>
    <col min="20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181" t="s">
        <v>69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60"/>
    </row>
    <row r="2" spans="1:24" ht="16.5">
      <c r="A2" s="181" t="s">
        <v>114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61"/>
    </row>
    <row r="3" spans="1:24" ht="15.75">
      <c r="A3" s="181" t="s">
        <v>115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62"/>
    </row>
    <row r="4" spans="1:24" ht="3" customHeight="1"/>
    <row r="5" spans="1:24" s="34" customFormat="1" ht="15" customHeight="1">
      <c r="A5" s="105"/>
      <c r="C5" s="314" t="s">
        <v>8</v>
      </c>
      <c r="D5" s="315"/>
      <c r="E5" s="316"/>
      <c r="G5" s="294" t="s">
        <v>40</v>
      </c>
      <c r="H5" s="295"/>
      <c r="I5" s="295"/>
      <c r="J5" s="295"/>
      <c r="K5" s="295"/>
      <c r="L5" s="295"/>
      <c r="M5" s="295"/>
      <c r="N5" s="295"/>
      <c r="O5" s="296"/>
      <c r="Q5" s="314" t="s">
        <v>35</v>
      </c>
      <c r="R5" s="315"/>
      <c r="S5" s="315"/>
      <c r="T5" s="315"/>
      <c r="U5" s="315"/>
      <c r="V5" s="316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119</v>
      </c>
      <c r="B9" s="35"/>
      <c r="C9" s="132">
        <f>+'Mgmt Summary'!C9+'[3]Mgmt Summary'!C9</f>
        <v>72500</v>
      </c>
      <c r="D9" s="36">
        <f>+'Mgmt Summary'!D9+'[3]Mgmt Summary'!D9</f>
        <v>33723.695999999996</v>
      </c>
      <c r="E9" s="134">
        <f t="shared" ref="E9:E21" si="0">C9-D9</f>
        <v>38776.304000000004</v>
      </c>
      <c r="F9" s="36"/>
      <c r="G9" s="132">
        <f>+'Mgmt Summary'!G9+'[3]Mgmt Summary'!G9</f>
        <v>-10966.839</v>
      </c>
      <c r="H9" s="36">
        <f>GrossMargin!J10</f>
        <v>0</v>
      </c>
      <c r="I9" s="137">
        <f>+'Mgmt Summary'!I9+'[3]Mgmt Summary'!I9</f>
        <v>0</v>
      </c>
      <c r="J9" s="135">
        <f t="shared" ref="J9:J21" si="1">SUM(G9:I9)</f>
        <v>-10966.839</v>
      </c>
      <c r="K9" s="136"/>
      <c r="L9" s="132"/>
      <c r="M9" s="139">
        <f>+'Mgmt Summary'!M9+'[3]Mgmt Summary'!M9</f>
        <v>14262.528</v>
      </c>
      <c r="N9" s="139">
        <f>+'Mgmt Summary'!N9+'[3]Mgmt Summary'!N9</f>
        <v>18575.005499999999</v>
      </c>
      <c r="O9" s="135">
        <f t="shared" ref="O9:O21" si="2">J9-K9-M9-N9-L9</f>
        <v>-43804.372499999998</v>
      </c>
      <c r="P9" s="37"/>
      <c r="Q9" s="132">
        <f>+'Mgmt Summary'!Q9+'[3]Mgmt Summary'!Q9</f>
        <v>-83466.839000000007</v>
      </c>
      <c r="R9" s="36"/>
      <c r="S9" s="139"/>
      <c r="T9" s="139">
        <f>+'Mgmt Summary'!T9+'[3]Mgmt Summary'!T9</f>
        <v>-500.44599999999991</v>
      </c>
      <c r="U9" s="139">
        <f>+'Mgmt Summary'!U9+'[3]Mgmt Summary'!U9</f>
        <v>1386.6084999999985</v>
      </c>
      <c r="V9" s="134">
        <f>ROUND(SUM(Q9:U9),0)</f>
        <v>-82581</v>
      </c>
      <c r="W9" s="32"/>
    </row>
    <row r="10" spans="1:24" ht="13.5" customHeight="1">
      <c r="A10" s="106" t="s">
        <v>1</v>
      </c>
      <c r="B10" s="35"/>
      <c r="C10" s="132">
        <f>+'Mgmt Summary'!C10+'[3]Mgmt Summary'!C10</f>
        <v>27500</v>
      </c>
      <c r="D10" s="36">
        <f>+'Mgmt Summary'!D10+'[3]Mgmt Summary'!D10</f>
        <v>16215.761999999999</v>
      </c>
      <c r="E10" s="134">
        <f t="shared" si="0"/>
        <v>11284.238000000001</v>
      </c>
      <c r="F10" s="36"/>
      <c r="G10" s="132">
        <f>+'Mgmt Summary'!G10+'[3]Mgmt Summary'!G10</f>
        <v>13075.490379999999</v>
      </c>
      <c r="H10" s="36">
        <f>GrossMargin!J11</f>
        <v>0</v>
      </c>
      <c r="I10" s="137">
        <f>+'Mgmt Summary'!I10+'[3]Mgmt Summary'!I10</f>
        <v>0</v>
      </c>
      <c r="J10" s="135">
        <f t="shared" si="1"/>
        <v>13075.490379999999</v>
      </c>
      <c r="K10" s="136"/>
      <c r="L10" s="132"/>
      <c r="M10" s="139">
        <f>+'Mgmt Summary'!M10+'[3]Mgmt Summary'!M10</f>
        <v>8797.9789999999994</v>
      </c>
      <c r="N10" s="139">
        <f>+'Mgmt Summary'!N10+'[3]Mgmt Summary'!N10</f>
        <v>6966.9120000000003</v>
      </c>
      <c r="O10" s="135">
        <f t="shared" si="2"/>
        <v>-2689.4006200000003</v>
      </c>
      <c r="P10" s="37"/>
      <c r="Q10" s="132">
        <f>+'Mgmt Summary'!Q10+'[3]Mgmt Summary'!Q10</f>
        <v>-14424.509619999999</v>
      </c>
      <c r="R10" s="36"/>
      <c r="S10" s="139"/>
      <c r="T10" s="139">
        <f>+'Mgmt Summary'!T10+'[3]Mgmt Summary'!T10</f>
        <v>228.10999999999967</v>
      </c>
      <c r="U10" s="139">
        <f>+'Mgmt Summary'!U10+'[3]Mgmt Summary'!U10</f>
        <v>223</v>
      </c>
      <c r="V10" s="134">
        <f t="shared" ref="V10:V19" si="3">ROUND(SUM(Q10:U10),0)</f>
        <v>-13973</v>
      </c>
      <c r="W10" s="32"/>
    </row>
    <row r="11" spans="1:24" ht="13.5" customHeight="1">
      <c r="A11" s="106" t="s">
        <v>122</v>
      </c>
      <c r="B11" s="35"/>
      <c r="C11" s="132">
        <f>+'Mgmt Summary'!C11+'[3]Mgmt Summary'!C11</f>
        <v>5000</v>
      </c>
      <c r="D11" s="36">
        <f>+'Mgmt Summary'!D11+'[3]Mgmt Summary'!D11</f>
        <v>725</v>
      </c>
      <c r="E11" s="134">
        <f t="shared" si="0"/>
        <v>4275</v>
      </c>
      <c r="F11" s="36"/>
      <c r="G11" s="132">
        <f>+'Mgmt Summary'!G11+'[3]Mgmt Summary'!G11</f>
        <v>1959</v>
      </c>
      <c r="H11" s="36">
        <f>GrossMargin!J12</f>
        <v>0</v>
      </c>
      <c r="I11" s="137">
        <f>+'Mgmt Summary'!I11+'[3]Mgmt Summary'!I11</f>
        <v>0</v>
      </c>
      <c r="J11" s="135">
        <f t="shared" si="1"/>
        <v>1959</v>
      </c>
      <c r="K11" s="136"/>
      <c r="L11" s="132"/>
      <c r="M11" s="139">
        <f>+'Mgmt Summary'!M11+'[3]Mgmt Summary'!M11</f>
        <v>348</v>
      </c>
      <c r="N11" s="139">
        <f>+'Mgmt Summary'!N11+'[3]Mgmt Summary'!N11</f>
        <v>377</v>
      </c>
      <c r="O11" s="135">
        <f t="shared" si="2"/>
        <v>1234</v>
      </c>
      <c r="P11" s="37"/>
      <c r="Q11" s="132">
        <f>+'Mgmt Summary'!Q11+'[3]Mgmt Summary'!Q11</f>
        <v>-3041</v>
      </c>
      <c r="R11" s="36"/>
      <c r="S11" s="139"/>
      <c r="T11" s="139">
        <f>+'Mgmt Summary'!T11+'[3]Mgmt Summary'!T11</f>
        <v>0</v>
      </c>
      <c r="U11" s="139">
        <f>+'Mgmt Summary'!U11+'[3]Mgmt Summary'!U11</f>
        <v>0</v>
      </c>
      <c r="V11" s="134">
        <f t="shared" si="3"/>
        <v>-3041</v>
      </c>
      <c r="W11" s="32"/>
    </row>
    <row r="12" spans="1:24" ht="13.5" customHeight="1">
      <c r="A12" s="106" t="s">
        <v>43</v>
      </c>
      <c r="B12" s="35"/>
      <c r="C12" s="132">
        <f>+'Mgmt Summary'!C12+'[3]Mgmt Summary'!C12</f>
        <v>5000</v>
      </c>
      <c r="D12" s="36">
        <f>+'Mgmt Summary'!D12+'[3]Mgmt Summary'!D12</f>
        <v>2084.375</v>
      </c>
      <c r="E12" s="134">
        <f t="shared" si="0"/>
        <v>2915.625</v>
      </c>
      <c r="F12" s="36"/>
      <c r="G12" s="132">
        <f>+'Mgmt Summary'!G12+'[3]Mgmt Summary'!G12</f>
        <v>-6238.1530000000002</v>
      </c>
      <c r="H12" s="36">
        <f>GrossMargin!J13</f>
        <v>0</v>
      </c>
      <c r="I12" s="137">
        <f>+'Mgmt Summary'!I12+'[3]Mgmt Summary'!I12</f>
        <v>0</v>
      </c>
      <c r="J12" s="135">
        <f t="shared" si="1"/>
        <v>-6238.1530000000002</v>
      </c>
      <c r="K12" s="136"/>
      <c r="L12" s="132"/>
      <c r="M12" s="139">
        <f>+'Mgmt Summary'!M12+'[3]Mgmt Summary'!M12</f>
        <v>570.50299999999993</v>
      </c>
      <c r="N12" s="139">
        <f>+'Mgmt Summary'!N12+'[3]Mgmt Summary'!N12</f>
        <v>751.697</v>
      </c>
      <c r="O12" s="135">
        <f t="shared" si="2"/>
        <v>-7560.3530000000001</v>
      </c>
      <c r="P12" s="37"/>
      <c r="Q12" s="132">
        <f>+'Mgmt Summary'!Q12+'[3]Mgmt Summary'!Q12</f>
        <v>-11238.153</v>
      </c>
      <c r="R12" s="36"/>
      <c r="S12" s="139"/>
      <c r="T12" s="139">
        <f>+'Mgmt Summary'!T12+'[3]Mgmt Summary'!T12</f>
        <v>643.11500000000001</v>
      </c>
      <c r="U12" s="139">
        <f>+'Mgmt Summary'!U12+'[3]Mgmt Summary'!U12</f>
        <v>119</v>
      </c>
      <c r="V12" s="134">
        <f t="shared" si="3"/>
        <v>-10476</v>
      </c>
      <c r="W12" s="32"/>
    </row>
    <row r="13" spans="1:24" ht="13.5" customHeight="1">
      <c r="A13" s="106" t="s">
        <v>63</v>
      </c>
      <c r="B13" s="35"/>
      <c r="C13" s="132">
        <f>+'Mgmt Summary'!C13+'[3]Mgmt Summary'!C13</f>
        <v>15588.07</v>
      </c>
      <c r="D13" s="36">
        <f>+'Mgmt Summary'!D13+'[3]Mgmt Summary'!D13</f>
        <v>7288.9009999999998</v>
      </c>
      <c r="E13" s="134">
        <f t="shared" si="0"/>
        <v>8299.1689999999999</v>
      </c>
      <c r="F13" s="36"/>
      <c r="G13" s="132">
        <f>+'Mgmt Summary'!G13+'[3]Mgmt Summary'!G13</f>
        <v>10301</v>
      </c>
      <c r="H13" s="36">
        <f>GrossMargin!J14</f>
        <v>0</v>
      </c>
      <c r="I13" s="137">
        <f>+'Mgmt Summary'!I13+'[3]Mgmt Summary'!I13</f>
        <v>0</v>
      </c>
      <c r="J13" s="135">
        <f t="shared" si="1"/>
        <v>10301</v>
      </c>
      <c r="K13" s="136"/>
      <c r="L13" s="132"/>
      <c r="M13" s="139">
        <f>+'Mgmt Summary'!M13+'[3]Mgmt Summary'!M13</f>
        <v>3184.3789999999999</v>
      </c>
      <c r="N13" s="139">
        <f>+'Mgmt Summary'!N13+'[3]Mgmt Summary'!N13</f>
        <v>2942.1839999999997</v>
      </c>
      <c r="O13" s="135">
        <f t="shared" si="2"/>
        <v>4174.4369999999999</v>
      </c>
      <c r="P13" s="37"/>
      <c r="Q13" s="132">
        <f>+'Mgmt Summary'!Q13+'[3]Mgmt Summary'!Q13</f>
        <v>-5287.07</v>
      </c>
      <c r="R13" s="36"/>
      <c r="S13" s="139"/>
      <c r="T13" s="139">
        <f>+'Mgmt Summary'!T13+'[3]Mgmt Summary'!T13</f>
        <v>87.151000000000067</v>
      </c>
      <c r="U13" s="139">
        <f>+'Mgmt Summary'!U13+'[3]Mgmt Summary'!U13</f>
        <v>1075</v>
      </c>
      <c r="V13" s="134">
        <f t="shared" si="3"/>
        <v>-4125</v>
      </c>
      <c r="W13" s="32"/>
    </row>
    <row r="14" spans="1:24" ht="13.5" customHeight="1">
      <c r="A14" s="106" t="s">
        <v>70</v>
      </c>
      <c r="B14" s="35"/>
      <c r="C14" s="132">
        <f>+'Mgmt Summary'!C14+'[3]Mgmt Summary'!C14</f>
        <v>16750</v>
      </c>
      <c r="D14" s="36">
        <f>+'Mgmt Summary'!D14+'[3]Mgmt Summary'!D14</f>
        <v>5875.7929999999997</v>
      </c>
      <c r="E14" s="134">
        <f t="shared" si="0"/>
        <v>10874.207</v>
      </c>
      <c r="F14" s="36"/>
      <c r="G14" s="132">
        <f>+'Mgmt Summary'!G14+'[3]Mgmt Summary'!G14</f>
        <v>2579.0152800000001</v>
      </c>
      <c r="H14" s="36">
        <f>GrossMargin!J15</f>
        <v>0</v>
      </c>
      <c r="I14" s="137">
        <f>+'Mgmt Summary'!I14+'[3]Mgmt Summary'!I14</f>
        <v>0</v>
      </c>
      <c r="J14" s="135">
        <f t="shared" si="1"/>
        <v>2579.0152800000001</v>
      </c>
      <c r="K14" s="136"/>
      <c r="L14" s="132"/>
      <c r="M14" s="139">
        <f>+'Mgmt Summary'!M14+'[3]Mgmt Summary'!M14</f>
        <v>3094.2560000000003</v>
      </c>
      <c r="N14" s="139">
        <f>+'Mgmt Summary'!N14+'[3]Mgmt Summary'!N14</f>
        <v>1499.577</v>
      </c>
      <c r="O14" s="135">
        <f t="shared" si="2"/>
        <v>-2014.8177200000002</v>
      </c>
      <c r="P14" s="37"/>
      <c r="Q14" s="132">
        <f>+'Mgmt Summary'!Q14+'[3]Mgmt Summary'!Q14</f>
        <v>-14170.98472</v>
      </c>
      <c r="R14" s="36"/>
      <c r="S14" s="139"/>
      <c r="T14" s="139">
        <f>+'Mgmt Summary'!T14+'[3]Mgmt Summary'!T14</f>
        <v>1012.5129999999999</v>
      </c>
      <c r="U14" s="139">
        <f>+'Mgmt Summary'!U14+'[3]Mgmt Summary'!U14</f>
        <v>269</v>
      </c>
      <c r="V14" s="134">
        <f t="shared" si="3"/>
        <v>-12889</v>
      </c>
      <c r="W14" s="32"/>
    </row>
    <row r="15" spans="1:24" s="64" customFormat="1" ht="13.5" customHeight="1">
      <c r="A15" s="166" t="s">
        <v>49</v>
      </c>
      <c r="B15" s="177"/>
      <c r="C15" s="132">
        <f>+'Mgmt Summary'!C15+'[3]Mgmt Summary'!C15</f>
        <v>47500</v>
      </c>
      <c r="D15" s="36">
        <f>+'Mgmt Summary'!D15+'[3]Mgmt Summary'!D15</f>
        <v>11558.638999999999</v>
      </c>
      <c r="E15" s="134">
        <f t="shared" si="0"/>
        <v>35941.361000000004</v>
      </c>
      <c r="F15" s="36"/>
      <c r="G15" s="132">
        <f>+'Mgmt Summary'!G15+'[3]Mgmt Summary'!G15</f>
        <v>8507.7569999999996</v>
      </c>
      <c r="H15" s="36">
        <f>GrossMargin!J16</f>
        <v>0</v>
      </c>
      <c r="I15" s="137">
        <f>+'Mgmt Summary'!I15+'[3]Mgmt Summary'!I15</f>
        <v>0</v>
      </c>
      <c r="J15" s="135">
        <f t="shared" si="1"/>
        <v>8507.7569999999996</v>
      </c>
      <c r="K15" s="136"/>
      <c r="L15" s="132"/>
      <c r="M15" s="139">
        <f>+'Mgmt Summary'!M15+'[3]Mgmt Summary'!M15</f>
        <v>6107.3919999999998</v>
      </c>
      <c r="N15" s="139">
        <f>+'Mgmt Summary'!N15+'[3]Mgmt Summary'!N15</f>
        <v>3723.415</v>
      </c>
      <c r="O15" s="135">
        <f t="shared" si="2"/>
        <v>-1323.0500000000002</v>
      </c>
      <c r="P15" s="37"/>
      <c r="Q15" s="132">
        <f>+'Mgmt Summary'!Q15+'[3]Mgmt Summary'!Q15</f>
        <v>-38992.243000000002</v>
      </c>
      <c r="R15" s="36"/>
      <c r="S15" s="139"/>
      <c r="T15" s="139">
        <f>+'Mgmt Summary'!T15+'[3]Mgmt Summary'!T15</f>
        <v>1102.6079999999997</v>
      </c>
      <c r="U15" s="139">
        <f>+'Mgmt Summary'!U15+'[3]Mgmt Summary'!U15</f>
        <v>625</v>
      </c>
      <c r="V15" s="134">
        <f t="shared" si="3"/>
        <v>-37265</v>
      </c>
      <c r="W15" s="63"/>
      <c r="X15" s="168"/>
    </row>
    <row r="16" spans="1:24" s="64" customFormat="1" ht="13.5" customHeight="1">
      <c r="A16" s="166" t="s">
        <v>127</v>
      </c>
      <c r="B16" s="177"/>
      <c r="C16" s="132">
        <f>+'Mgmt Summary'!C16+'[3]Mgmt Summary'!C16</f>
        <v>1811</v>
      </c>
      <c r="D16" s="36">
        <f>+'Mgmt Summary'!D16+'[3]Mgmt Summary'!D16</f>
        <v>5568.5139999999992</v>
      </c>
      <c r="E16" s="134">
        <f t="shared" si="0"/>
        <v>-3757.5139999999992</v>
      </c>
      <c r="F16" s="36"/>
      <c r="G16" s="132">
        <f>+'Mgmt Summary'!G16+'[3]Mgmt Summary'!G16</f>
        <v>145.32532</v>
      </c>
      <c r="H16" s="36">
        <f>GrossMargin!J17</f>
        <v>0</v>
      </c>
      <c r="I16" s="137">
        <f>+'Mgmt Summary'!I16+'[3]Mgmt Summary'!I16</f>
        <v>0</v>
      </c>
      <c r="J16" s="135">
        <f t="shared" si="1"/>
        <v>145.32532</v>
      </c>
      <c r="K16" s="136"/>
      <c r="L16" s="132"/>
      <c r="M16" s="139">
        <f>+'Mgmt Summary'!M16+'[3]Mgmt Summary'!M16</f>
        <v>5973.0899999999992</v>
      </c>
      <c r="N16" s="139">
        <f>+'Mgmt Summary'!N16+'[3]Mgmt Summary'!N16</f>
        <v>846.04899999999998</v>
      </c>
      <c r="O16" s="135">
        <f t="shared" si="2"/>
        <v>-6673.8136799999993</v>
      </c>
      <c r="P16" s="37"/>
      <c r="Q16" s="132">
        <f>+'Mgmt Summary'!Q16+'[3]Mgmt Summary'!Q16</f>
        <v>-1665.6746800000001</v>
      </c>
      <c r="R16" s="36"/>
      <c r="S16" s="139"/>
      <c r="T16" s="139">
        <f>+'Mgmt Summary'!T16+'[3]Mgmt Summary'!T16</f>
        <v>-1154.0899999999997</v>
      </c>
      <c r="U16" s="139">
        <f>+'Mgmt Summary'!U16+'[3]Mgmt Summary'!U16</f>
        <v>-96.534999999999968</v>
      </c>
      <c r="V16" s="134">
        <f t="shared" si="3"/>
        <v>-2916</v>
      </c>
      <c r="W16" s="63"/>
      <c r="X16" s="168"/>
    </row>
    <row r="17" spans="1:24" s="64" customFormat="1" ht="13.5" customHeight="1">
      <c r="A17" s="166" t="s">
        <v>87</v>
      </c>
      <c r="B17" s="177"/>
      <c r="C17" s="132">
        <f>+'Mgmt Summary'!C17+'[3]Mgmt Summary'!C17</f>
        <v>8000</v>
      </c>
      <c r="D17" s="36">
        <f>+'Mgmt Summary'!D17+'[3]Mgmt Summary'!D17</f>
        <v>5256.16</v>
      </c>
      <c r="E17" s="134">
        <f t="shared" si="0"/>
        <v>2743.84</v>
      </c>
      <c r="F17" s="36"/>
      <c r="G17" s="132">
        <f>+'Mgmt Summary'!G17+'[3]Mgmt Summary'!G17</f>
        <v>2129.991</v>
      </c>
      <c r="H17" s="36">
        <f>GrossMargin!J18</f>
        <v>0</v>
      </c>
      <c r="I17" s="137">
        <f>+'Mgmt Summary'!I17+'[3]Mgmt Summary'!I17</f>
        <v>0</v>
      </c>
      <c r="J17" s="135">
        <f t="shared" si="1"/>
        <v>2129.991</v>
      </c>
      <c r="K17" s="136"/>
      <c r="L17" s="132"/>
      <c r="M17" s="139">
        <f>+'Mgmt Summary'!M17+'[3]Mgmt Summary'!M17</f>
        <v>5693.3789999999999</v>
      </c>
      <c r="N17" s="139">
        <f>+'Mgmt Summary'!N17+'[3]Mgmt Summary'!N17</f>
        <v>2267.2730000000001</v>
      </c>
      <c r="O17" s="135">
        <f t="shared" si="2"/>
        <v>-5830.6610000000001</v>
      </c>
      <c r="P17" s="37"/>
      <c r="Q17" s="132">
        <f>+'Mgmt Summary'!Q17+'[3]Mgmt Summary'!Q17</f>
        <v>-5870.009</v>
      </c>
      <c r="R17" s="36"/>
      <c r="S17" s="139"/>
      <c r="T17" s="139">
        <f>+'Mgmt Summary'!T17+'[3]Mgmt Summary'!T17</f>
        <v>-2832.8789999999999</v>
      </c>
      <c r="U17" s="139">
        <f>+'Mgmt Summary'!U17+'[3]Mgmt Summary'!U17</f>
        <v>128.38700000000017</v>
      </c>
      <c r="V17" s="134">
        <f t="shared" si="3"/>
        <v>-8575</v>
      </c>
      <c r="W17" s="63"/>
      <c r="X17" s="168"/>
    </row>
    <row r="18" spans="1:24" s="64" customFormat="1" ht="13.5" customHeight="1">
      <c r="A18" s="166" t="s">
        <v>125</v>
      </c>
      <c r="B18" s="177"/>
      <c r="C18" s="132">
        <f>+'[3]Mgmt Summary'!C18</f>
        <v>1413</v>
      </c>
      <c r="D18" s="36">
        <f>+'[3]Mgmt Summary'!D18</f>
        <v>1600.923</v>
      </c>
      <c r="E18" s="134">
        <f t="shared" si="0"/>
        <v>-187.923</v>
      </c>
      <c r="F18" s="36"/>
      <c r="G18" s="132">
        <f>+'[3]Mgmt Summary'!G18</f>
        <v>168.79400000000001</v>
      </c>
      <c r="H18" s="36">
        <f>GrossMargin!J19</f>
        <v>0</v>
      </c>
      <c r="I18" s="137">
        <f>+'[3]Mgmt Summary'!I18</f>
        <v>0</v>
      </c>
      <c r="J18" s="135">
        <f t="shared" si="1"/>
        <v>168.79400000000001</v>
      </c>
      <c r="K18" s="136"/>
      <c r="L18" s="132"/>
      <c r="M18" s="139">
        <f>+'[3]Mgmt Summary'!M18</f>
        <v>1557.3020000000001</v>
      </c>
      <c r="N18" s="139">
        <f>+'[3]Mgmt Summary'!N18</f>
        <v>576.46900000000005</v>
      </c>
      <c r="O18" s="135">
        <f t="shared" si="2"/>
        <v>-1964.9770000000001</v>
      </c>
      <c r="P18" s="37"/>
      <c r="Q18" s="132">
        <f>+'[3]Mgmt Summary'!Q18</f>
        <v>-1244.2059999999999</v>
      </c>
      <c r="R18" s="36"/>
      <c r="S18" s="139"/>
      <c r="T18" s="139">
        <f>+'[3]Mgmt Summary'!T18</f>
        <v>-747.80200000000013</v>
      </c>
      <c r="U18" s="139">
        <f>+'[3]Mgmt Summary'!U18</f>
        <v>214.95399999999995</v>
      </c>
      <c r="V18" s="134">
        <f t="shared" si="3"/>
        <v>-1777</v>
      </c>
      <c r="W18" s="63"/>
      <c r="X18" s="168"/>
    </row>
    <row r="19" spans="1:24" s="64" customFormat="1" ht="13.5" customHeight="1">
      <c r="A19" s="166" t="s">
        <v>89</v>
      </c>
      <c r="B19" s="177"/>
      <c r="C19" s="132">
        <f>+'Mgmt Summary'!C18+'[3]Mgmt Summary'!C19</f>
        <v>513.99799999999959</v>
      </c>
      <c r="D19" s="36">
        <f>+'Mgmt Summary'!D18+'[3]Mgmt Summary'!D19</f>
        <v>1717.412</v>
      </c>
      <c r="E19" s="134">
        <f t="shared" si="0"/>
        <v>-1203.4140000000004</v>
      </c>
      <c r="F19" s="36"/>
      <c r="G19" s="132">
        <f>+'Mgmt Summary'!G18+'[3]Mgmt Summary'!G19</f>
        <v>-2404.6790000000001</v>
      </c>
      <c r="H19" s="36">
        <f>GrossMargin!J26</f>
        <v>0</v>
      </c>
      <c r="I19" s="137">
        <f>+'Mgmt Summary'!I18+'[3]Mgmt Summary'!I19</f>
        <v>0</v>
      </c>
      <c r="J19" s="135">
        <f t="shared" si="1"/>
        <v>-2404.6790000000001</v>
      </c>
      <c r="K19" s="136"/>
      <c r="L19" s="132"/>
      <c r="M19" s="139">
        <f>+'Mgmt Summary'!M18+'[3]Mgmt Summary'!M19</f>
        <v>731.14499999999998</v>
      </c>
      <c r="N19" s="139">
        <f>+'Mgmt Summary'!N18+'[3]Mgmt Summary'!N19</f>
        <v>1070.2270000000001</v>
      </c>
      <c r="O19" s="135">
        <f t="shared" si="2"/>
        <v>-4206.0510000000004</v>
      </c>
      <c r="P19" s="37"/>
      <c r="Q19" s="132">
        <f>+'Mgmt Summary'!Q18+'[3]Mgmt Summary'!Q19</f>
        <v>-2918.6769999999997</v>
      </c>
      <c r="R19" s="36">
        <f>+'Mgmt Summary'!R18+'[2]YTD Mgmt Summary'!R19</f>
        <v>0</v>
      </c>
      <c r="S19" s="139">
        <f>+'Mgmt Summary'!S18+'[2]YTD Mgmt Summary'!S19</f>
        <v>0</v>
      </c>
      <c r="T19" s="139">
        <f>+'Mgmt Summary'!T18+'[3]Mgmt Summary'!T19</f>
        <v>-156.322</v>
      </c>
      <c r="U19" s="139">
        <f>+'Mgmt Summary'!U18+'[3]Mgmt Summary'!U19</f>
        <v>72.362000000000023</v>
      </c>
      <c r="V19" s="134">
        <f t="shared" si="3"/>
        <v>-3003</v>
      </c>
      <c r="W19" s="63"/>
      <c r="X19" s="168"/>
    </row>
    <row r="20" spans="1:24" ht="13.5" customHeight="1">
      <c r="A20" s="106" t="s">
        <v>118</v>
      </c>
      <c r="B20" s="35"/>
      <c r="C20" s="132">
        <f>+'Mgmt Summary'!C19+'[3]Mgmt Summary'!C20</f>
        <v>0</v>
      </c>
      <c r="D20" s="36">
        <f>+'Mgmt Summary'!D19+'[3]Mgmt Summary'!D20</f>
        <v>1550.011</v>
      </c>
      <c r="E20" s="134">
        <f t="shared" si="0"/>
        <v>-1550.011</v>
      </c>
      <c r="F20" s="36"/>
      <c r="G20" s="132">
        <f>+'Mgmt Summary'!G19+'[3]Mgmt Summary'!G20</f>
        <v>47.173999999999999</v>
      </c>
      <c r="H20" s="36">
        <f>GrossMargin!J28</f>
        <v>0</v>
      </c>
      <c r="I20" s="137">
        <f>+'Mgmt Summary'!I19+'[3]Mgmt Summary'!I20</f>
        <v>0</v>
      </c>
      <c r="J20" s="135">
        <f t="shared" si="1"/>
        <v>47.173999999999999</v>
      </c>
      <c r="K20" s="136"/>
      <c r="L20" s="132"/>
      <c r="M20" s="139">
        <f>+'Mgmt Summary'!M19+'[3]Mgmt Summary'!M20</f>
        <v>1022.463</v>
      </c>
      <c r="N20" s="139">
        <f>+'Mgmt Summary'!N19+'[3]Mgmt Summary'!N20</f>
        <v>168.29500000000002</v>
      </c>
      <c r="O20" s="135">
        <f t="shared" si="2"/>
        <v>-1143.5840000000001</v>
      </c>
      <c r="P20" s="37"/>
      <c r="Q20" s="132">
        <f>+'Mgmt Summary'!Q19+'[3]Mgmt Summary'!Q20</f>
        <v>47.173999999999999</v>
      </c>
      <c r="R20" s="36">
        <f>+'Mgmt Summary'!R19+'[2]YTD Mgmt Summary'!R20</f>
        <v>0</v>
      </c>
      <c r="S20" s="139">
        <f>+'Mgmt Summary'!S19+'[2]YTD Mgmt Summary'!S20</f>
        <v>0</v>
      </c>
      <c r="T20" s="139">
        <f>+'Mgmt Summary'!T19+'[3]Mgmt Summary'!T20</f>
        <v>385.57299999999998</v>
      </c>
      <c r="U20" s="139">
        <f>+'Mgmt Summary'!U19+'[3]Mgmt Summary'!U20</f>
        <v>-26.320000000000007</v>
      </c>
      <c r="V20" s="134">
        <f>ROUND(SUM(Q20:U20),0)</f>
        <v>406</v>
      </c>
      <c r="W20" s="32"/>
    </row>
    <row r="21" spans="1:24" ht="13.5" customHeight="1">
      <c r="A21" s="106" t="s">
        <v>2</v>
      </c>
      <c r="B21" s="35"/>
      <c r="C21" s="132">
        <f>+'Mgmt Summary'!C20+'[3]Mgmt Summary'!C21</f>
        <v>0</v>
      </c>
      <c r="D21" s="36">
        <f>+'Mgmt Summary'!D20+'[3]Mgmt Summary'!D21</f>
        <v>2019.8600000000001</v>
      </c>
      <c r="E21" s="134">
        <f t="shared" si="0"/>
        <v>-2019.8600000000001</v>
      </c>
      <c r="F21" s="36"/>
      <c r="G21" s="132">
        <f>+'Mgmt Summary'!G20+'[3]Mgmt Summary'!G21</f>
        <v>0</v>
      </c>
      <c r="H21" s="36">
        <f>GrossMargin!J29</f>
        <v>0</v>
      </c>
      <c r="I21" s="137">
        <f>+'Mgmt Summary'!I20+'[3]Mgmt Summary'!I21</f>
        <v>0</v>
      </c>
      <c r="J21" s="135">
        <f t="shared" si="1"/>
        <v>0</v>
      </c>
      <c r="K21" s="136"/>
      <c r="L21" s="132"/>
      <c r="M21" s="139">
        <f>+'Mgmt Summary'!M20+'[3]Mgmt Summary'!M21</f>
        <v>1309.2740000000001</v>
      </c>
      <c r="N21" s="139">
        <f>+'Mgmt Summary'!N20+'[3]Mgmt Summary'!N21</f>
        <v>821.07400000000007</v>
      </c>
      <c r="O21" s="135">
        <f t="shared" si="2"/>
        <v>-2130.348</v>
      </c>
      <c r="P21" s="37"/>
      <c r="Q21" s="132">
        <f>+'Mgmt Summary'!Q20+'[3]Mgmt Summary'!Q21</f>
        <v>0</v>
      </c>
      <c r="R21" s="36">
        <f>+'Mgmt Summary'!R20+'[2]YTD Mgmt Summary'!R21</f>
        <v>0</v>
      </c>
      <c r="S21" s="139">
        <f>+'Mgmt Summary'!S20+'[2]YTD Mgmt Summary'!S21</f>
        <v>0</v>
      </c>
      <c r="T21" s="139">
        <f>+'Mgmt Summary'!T20+'[3]Mgmt Summary'!T21</f>
        <v>-238.70500000000004</v>
      </c>
      <c r="U21" s="139">
        <f>+'Mgmt Summary'!U20+'[3]Mgmt Summary'!U21</f>
        <v>128.21699999999998</v>
      </c>
      <c r="V21" s="134">
        <f>ROUND(SUM(Q21:U21),0)</f>
        <v>-110</v>
      </c>
      <c r="W21" s="32"/>
    </row>
    <row r="22" spans="1:24" ht="3" customHeight="1">
      <c r="A22" s="106"/>
      <c r="B22" s="35"/>
      <c r="C22" s="132"/>
      <c r="D22" s="36"/>
      <c r="E22" s="134"/>
      <c r="F22" s="36"/>
      <c r="G22" s="132"/>
      <c r="H22" s="36"/>
      <c r="I22" s="36"/>
      <c r="J22" s="135"/>
      <c r="K22" s="136"/>
      <c r="L22" s="133"/>
      <c r="M22" s="36"/>
      <c r="N22" s="36"/>
      <c r="O22" s="135"/>
      <c r="P22" s="37"/>
      <c r="Q22" s="132"/>
      <c r="R22" s="36"/>
      <c r="S22" s="36"/>
      <c r="T22" s="36"/>
      <c r="U22" s="36"/>
      <c r="V22" s="134"/>
      <c r="W22" s="32"/>
    </row>
    <row r="23" spans="1:24" s="34" customFormat="1" ht="12" customHeight="1">
      <c r="A23" s="38" t="s">
        <v>3</v>
      </c>
      <c r="B23" s="35"/>
      <c r="C23" s="43">
        <f>SUM(C9:C22)</f>
        <v>201576.068</v>
      </c>
      <c r="D23" s="44">
        <f>SUM(D9:D22)</f>
        <v>95185.045999999988</v>
      </c>
      <c r="E23" s="45">
        <f>SUM(E9:E22)</f>
        <v>106391.022</v>
      </c>
      <c r="F23" s="36" t="e">
        <f>SUM(#REF!)</f>
        <v>#REF!</v>
      </c>
      <c r="G23" s="43">
        <f t="shared" ref="G23:O23" si="4">SUM(G9:G22)</f>
        <v>19303.875980000001</v>
      </c>
      <c r="H23" s="44">
        <f t="shared" si="4"/>
        <v>0</v>
      </c>
      <c r="I23" s="44">
        <f t="shared" si="4"/>
        <v>0</v>
      </c>
      <c r="J23" s="46">
        <f t="shared" si="4"/>
        <v>19303.875980000001</v>
      </c>
      <c r="K23" s="44">
        <f t="shared" si="4"/>
        <v>0</v>
      </c>
      <c r="L23" s="43">
        <f t="shared" si="4"/>
        <v>0</v>
      </c>
      <c r="M23" s="44">
        <f t="shared" si="4"/>
        <v>52651.689999999995</v>
      </c>
      <c r="N23" s="44">
        <f t="shared" si="4"/>
        <v>40585.177499999998</v>
      </c>
      <c r="O23" s="46">
        <f t="shared" si="4"/>
        <v>-73932.99152000001</v>
      </c>
      <c r="P23" s="37"/>
      <c r="Q23" s="43">
        <f t="shared" ref="Q23:V23" si="5">SUM(Q9:Q22)</f>
        <v>-182272.19202000002</v>
      </c>
      <c r="R23" s="44">
        <f t="shared" si="5"/>
        <v>0</v>
      </c>
      <c r="S23" s="44">
        <f t="shared" si="5"/>
        <v>0</v>
      </c>
      <c r="T23" s="44">
        <f t="shared" si="5"/>
        <v>-2171.1740000000004</v>
      </c>
      <c r="U23" s="44">
        <f t="shared" si="5"/>
        <v>4118.673499999999</v>
      </c>
      <c r="V23" s="45">
        <f t="shared" si="5"/>
        <v>-180325</v>
      </c>
      <c r="W23" s="32"/>
    </row>
    <row r="24" spans="1:24" ht="3" customHeight="1">
      <c r="A24" s="106"/>
      <c r="B24" s="35"/>
      <c r="C24" s="132"/>
      <c r="D24" s="36"/>
      <c r="E24" s="134"/>
      <c r="F24" s="36"/>
      <c r="G24" s="132"/>
      <c r="H24" s="36"/>
      <c r="I24" s="36"/>
      <c r="J24" s="135"/>
      <c r="K24" s="136"/>
      <c r="L24" s="133"/>
      <c r="M24" s="36"/>
      <c r="N24" s="36"/>
      <c r="O24" s="135"/>
      <c r="P24" s="37"/>
      <c r="Q24" s="132"/>
      <c r="R24" s="36"/>
      <c r="S24" s="36"/>
      <c r="T24" s="36"/>
      <c r="U24" s="36"/>
      <c r="V24" s="134"/>
      <c r="W24" s="32"/>
    </row>
    <row r="25" spans="1:24" ht="13.5" customHeight="1">
      <c r="A25" s="106" t="s">
        <v>94</v>
      </c>
      <c r="B25" s="35"/>
      <c r="C25" s="132">
        <f>+'Mgmt Summary'!C25+'[3]Mgmt Summary'!C25</f>
        <v>0</v>
      </c>
      <c r="D25" s="36">
        <f>+'Mgmt Summary'!D25+'[3]Mgmt Summary'!D25</f>
        <v>55649.307000000001</v>
      </c>
      <c r="E25" s="134">
        <f>C25-D25</f>
        <v>-55649.307000000001</v>
      </c>
      <c r="F25" s="36"/>
      <c r="G25" s="132">
        <f>+'Mgmt Summary'!G25+'[3]Mgmt Summary'!G25</f>
        <v>0</v>
      </c>
      <c r="H25" s="36">
        <f>GrossMargin!J33</f>
        <v>0</v>
      </c>
      <c r="I25" s="137">
        <f>+'Mgmt Summary'!I25+'[3]Mgmt Summary'!I25</f>
        <v>0</v>
      </c>
      <c r="J25" s="135">
        <f>SUM(G25:I25)</f>
        <v>0</v>
      </c>
      <c r="K25" s="136"/>
      <c r="L25" s="132"/>
      <c r="M25" s="139">
        <f>+'Mgmt Summary'!M25+'[3]Mgmt Summary'!M25</f>
        <v>58993.557999999997</v>
      </c>
      <c r="N25" s="139">
        <f>+'Mgmt Summary'!N25+'[3]Mgmt Summary'!N25</f>
        <v>0</v>
      </c>
      <c r="O25" s="135">
        <f>J25-K25-M25-N25-L25</f>
        <v>-58993.557999999997</v>
      </c>
      <c r="P25" s="37"/>
      <c r="Q25" s="132">
        <f>+'Mgmt Summary'!Q25+'[3]Mgmt Summary'!Q25</f>
        <v>0</v>
      </c>
      <c r="R25" s="36">
        <f>+'Mgmt Summary'!R25+'[2]YTD Mgmt Summary'!R25</f>
        <v>0</v>
      </c>
      <c r="S25" s="139">
        <f>+'Mgmt Summary'!S25+'[2]YTD Mgmt Summary'!S25</f>
        <v>0</v>
      </c>
      <c r="T25" s="139">
        <f>+'Mgmt Summary'!T25+'[3]Mgmt Summary'!T25</f>
        <v>-3344.2510000000002</v>
      </c>
      <c r="U25" s="139">
        <f>+'Mgmt Summary'!U25+'[3]Mgmt Summary'!U25</f>
        <v>0</v>
      </c>
      <c r="V25" s="134">
        <f>ROUND(SUM(Q25:U25),0)</f>
        <v>-3344</v>
      </c>
      <c r="W25" s="32"/>
    </row>
    <row r="26" spans="1:24" ht="13.5" customHeight="1">
      <c r="A26" s="106" t="s">
        <v>91</v>
      </c>
      <c r="B26" s="35"/>
      <c r="C26" s="132">
        <f>+'Mgmt Summary'!C26+'[3]Mgmt Summary'!C26</f>
        <v>0</v>
      </c>
      <c r="D26" s="36">
        <f>+'Mgmt Summary'!D26+'[3]Mgmt Summary'!D26</f>
        <v>-44704.530000000006</v>
      </c>
      <c r="E26" s="134">
        <f>C26-D26</f>
        <v>44704.530000000006</v>
      </c>
      <c r="F26" s="36"/>
      <c r="G26" s="132">
        <f>+'Mgmt Summary'!G26+'[3]Mgmt Summary'!G26</f>
        <v>0</v>
      </c>
      <c r="H26" s="36">
        <f>GrossMargin!J34</f>
        <v>0</v>
      </c>
      <c r="I26" s="137">
        <f>+'Mgmt Summary'!I26+'[3]Mgmt Summary'!I26</f>
        <v>0</v>
      </c>
      <c r="J26" s="135">
        <f>SUM(G26:I26)</f>
        <v>0</v>
      </c>
      <c r="K26" s="136"/>
      <c r="L26" s="132"/>
      <c r="M26" s="139">
        <f>+'Mgmt Summary'!M26+'[3]Mgmt Summary'!M26</f>
        <v>0</v>
      </c>
      <c r="N26" s="139">
        <f>+'Mgmt Summary'!N26+'[3]Mgmt Summary'!N26</f>
        <v>-40585.177500000005</v>
      </c>
      <c r="O26" s="135">
        <f>J26-K26-M26-N26-L26</f>
        <v>40585.177500000005</v>
      </c>
      <c r="P26" s="37"/>
      <c r="Q26" s="132">
        <f>+'Mgmt Summary'!Q26+'[3]Mgmt Summary'!Q26</f>
        <v>0</v>
      </c>
      <c r="R26" s="36">
        <f>+'Mgmt Summary'!R26+'[2]YTD Mgmt Summary'!R26</f>
        <v>0</v>
      </c>
      <c r="S26" s="139">
        <f>+'Mgmt Summary'!S26+'[2]YTD Mgmt Summary'!S26</f>
        <v>0</v>
      </c>
      <c r="T26" s="139">
        <f>+'Mgmt Summary'!T26+'[3]Mgmt Summary'!T26</f>
        <v>-4119.3524999999972</v>
      </c>
      <c r="U26" s="139">
        <f>+'Mgmt Summary'!U26+'[3]Mgmt Summary'!U26</f>
        <v>0</v>
      </c>
      <c r="V26" s="134">
        <f>ROUND(SUM(Q26:U26),0)</f>
        <v>-4119</v>
      </c>
      <c r="W26" s="32"/>
    </row>
    <row r="27" spans="1:24" ht="13.5" customHeight="1">
      <c r="A27" s="106" t="s">
        <v>10</v>
      </c>
      <c r="B27" s="35"/>
      <c r="C27" s="132">
        <f>+'Mgmt Summary'!C27+'[3]Mgmt Summary'!C27</f>
        <v>-500</v>
      </c>
      <c r="D27" s="36">
        <f>+'Mgmt Summary'!D27+'[3]Mgmt Summary'!D27</f>
        <v>0</v>
      </c>
      <c r="E27" s="134">
        <f>C27-D27</f>
        <v>-500</v>
      </c>
      <c r="F27" s="36"/>
      <c r="G27" s="132">
        <f>+'Mgmt Summary'!G27+'[3]Mgmt Summary'!G27</f>
        <v>-281.11799999999999</v>
      </c>
      <c r="H27" s="36">
        <f>GrossMargin!J35</f>
        <v>0</v>
      </c>
      <c r="I27" s="137">
        <f>+'Mgmt Summary'!I27+'[3]Mgmt Summary'!I27</f>
        <v>0</v>
      </c>
      <c r="J27" s="135">
        <f>SUM(G27:I27)</f>
        <v>-281.11799999999999</v>
      </c>
      <c r="K27" s="136"/>
      <c r="L27" s="132"/>
      <c r="M27" s="139">
        <f>+'Mgmt Summary'!M27+'[3]Mgmt Summary'!M27</f>
        <v>0</v>
      </c>
      <c r="N27" s="139">
        <f>+'Mgmt Summary'!N27+'[3]Mgmt Summary'!N27</f>
        <v>0</v>
      </c>
      <c r="O27" s="135">
        <f>J27-K27-M27-N27-L27</f>
        <v>-281.11799999999999</v>
      </c>
      <c r="P27" s="37"/>
      <c r="Q27" s="132">
        <f>+'Mgmt Summary'!Q27+'[3]Mgmt Summary'!Q27</f>
        <v>218.88200000000001</v>
      </c>
      <c r="R27" s="36">
        <f>+'Mgmt Summary'!R27+'[2]YTD Mgmt Summary'!R27</f>
        <v>0</v>
      </c>
      <c r="S27" s="139">
        <f>+'Mgmt Summary'!S27+'[2]YTD Mgmt Summary'!S27</f>
        <v>0</v>
      </c>
      <c r="T27" s="139">
        <f>+'Mgmt Summary'!T27+'[3]Mgmt Summary'!T27</f>
        <v>0</v>
      </c>
      <c r="U27" s="139">
        <f>+'Mgmt Summary'!U27+'[3]Mgmt Summary'!U27</f>
        <v>0</v>
      </c>
      <c r="V27" s="134">
        <f>ROUND(SUM(Q27:U27),0)</f>
        <v>219</v>
      </c>
      <c r="W27" s="32"/>
    </row>
    <row r="28" spans="1:24" ht="13.5" hidden="1" customHeight="1">
      <c r="A28" s="106" t="s">
        <v>34</v>
      </c>
      <c r="B28" s="35"/>
      <c r="C28" s="132"/>
      <c r="D28" s="36"/>
      <c r="E28" s="134">
        <f>C28-D28</f>
        <v>0</v>
      </c>
      <c r="F28" s="36"/>
      <c r="G28" s="132"/>
      <c r="H28" s="36"/>
      <c r="I28" s="36"/>
      <c r="J28" s="135">
        <f>SUM(G28:I28)</f>
        <v>0</v>
      </c>
      <c r="K28" s="136"/>
      <c r="L28" s="138"/>
      <c r="M28" s="139"/>
      <c r="N28" s="139"/>
      <c r="O28" s="135">
        <f>J28-K28-M28-N28-L28</f>
        <v>0</v>
      </c>
      <c r="P28" s="37"/>
      <c r="Q28" s="132"/>
      <c r="R28" s="36"/>
      <c r="S28" s="36"/>
      <c r="T28" s="36"/>
      <c r="U28" s="36"/>
      <c r="V28" s="134"/>
      <c r="W28" s="32"/>
    </row>
    <row r="29" spans="1:24" ht="3" customHeight="1">
      <c r="A29" s="106"/>
      <c r="B29" s="35"/>
      <c r="C29" s="132"/>
      <c r="D29" s="36"/>
      <c r="E29" s="134"/>
      <c r="F29" s="36"/>
      <c r="G29" s="132"/>
      <c r="H29" s="36"/>
      <c r="I29" s="36"/>
      <c r="J29" s="135"/>
      <c r="K29" s="136"/>
      <c r="L29" s="133"/>
      <c r="M29" s="36"/>
      <c r="N29" s="36"/>
      <c r="O29" s="135"/>
      <c r="P29" s="37"/>
      <c r="Q29" s="132"/>
      <c r="R29" s="36"/>
      <c r="S29" s="36"/>
      <c r="T29" s="36"/>
      <c r="U29" s="36"/>
      <c r="V29" s="134">
        <f>ROUND(SUM(Q29:U29),0)</f>
        <v>0</v>
      </c>
      <c r="W29" s="32"/>
    </row>
    <row r="30" spans="1:24" s="34" customFormat="1" ht="12" customHeight="1">
      <c r="A30" s="38" t="s">
        <v>73</v>
      </c>
      <c r="B30" s="35"/>
      <c r="C30" s="43">
        <f>SUM(C23:C29)</f>
        <v>201076.068</v>
      </c>
      <c r="D30" s="44">
        <f>SUM(D23:D29)</f>
        <v>106129.823</v>
      </c>
      <c r="E30" s="45">
        <f>SUM(E23:E29)</f>
        <v>94946.244999999995</v>
      </c>
      <c r="F30" s="36"/>
      <c r="G30" s="43">
        <f t="shared" ref="G30:N30" si="6">SUM(G23:G29)</f>
        <v>19022.757980000002</v>
      </c>
      <c r="H30" s="44">
        <f t="shared" si="6"/>
        <v>0</v>
      </c>
      <c r="I30" s="44">
        <f t="shared" si="6"/>
        <v>0</v>
      </c>
      <c r="J30" s="46">
        <f t="shared" si="6"/>
        <v>19022.757980000002</v>
      </c>
      <c r="K30" s="44">
        <f t="shared" si="6"/>
        <v>0</v>
      </c>
      <c r="L30" s="43">
        <f t="shared" si="6"/>
        <v>0</v>
      </c>
      <c r="M30" s="44">
        <f t="shared" si="6"/>
        <v>111645.24799999999</v>
      </c>
      <c r="N30" s="44">
        <f t="shared" si="6"/>
        <v>-7.2759576141834259E-12</v>
      </c>
      <c r="O30" s="46">
        <f>J30-K30-M30-N30-L30</f>
        <v>-92622.490019999997</v>
      </c>
      <c r="P30" s="37"/>
      <c r="Q30" s="43">
        <f t="shared" ref="Q30:V30" si="7">SUM(Q23:Q29)</f>
        <v>-182053.31002</v>
      </c>
      <c r="R30" s="44">
        <f t="shared" si="7"/>
        <v>0</v>
      </c>
      <c r="S30" s="44">
        <f t="shared" si="7"/>
        <v>0</v>
      </c>
      <c r="T30" s="44">
        <f t="shared" si="7"/>
        <v>-9634.7774999999983</v>
      </c>
      <c r="U30" s="44">
        <f t="shared" si="7"/>
        <v>4118.673499999999</v>
      </c>
      <c r="V30" s="45">
        <f t="shared" si="7"/>
        <v>-187569</v>
      </c>
      <c r="W30" s="32"/>
    </row>
    <row r="31" spans="1:24" ht="3" customHeight="1">
      <c r="A31" s="106"/>
      <c r="B31" s="35"/>
      <c r="C31" s="132"/>
      <c r="D31" s="36"/>
      <c r="E31" s="134"/>
      <c r="F31" s="36"/>
      <c r="G31" s="132" t="s">
        <v>61</v>
      </c>
      <c r="H31" s="36"/>
      <c r="I31" s="36"/>
      <c r="J31" s="135"/>
      <c r="K31" s="136"/>
      <c r="L31" s="133"/>
      <c r="M31" s="36" t="s">
        <v>62</v>
      </c>
      <c r="N31" s="36"/>
      <c r="O31" s="135"/>
      <c r="P31" s="37"/>
      <c r="Q31" s="132"/>
      <c r="R31" s="36"/>
      <c r="S31" s="36"/>
      <c r="T31" s="36"/>
      <c r="U31" s="36"/>
      <c r="V31" s="134"/>
      <c r="W31" s="32"/>
    </row>
    <row r="32" spans="1:24" ht="12" customHeight="1">
      <c r="A32" s="106" t="s">
        <v>56</v>
      </c>
      <c r="B32" s="35"/>
      <c r="C32" s="132">
        <f>+'Mgmt Summary'!C32+'[2]YTD Mgmt Summary'!C32</f>
        <v>0</v>
      </c>
      <c r="D32" s="36">
        <f>+'Mgmt Summary'!D32+'[2]YTD Mgmt Summary'!D32</f>
        <v>7208</v>
      </c>
      <c r="E32" s="134">
        <f>C32-D32</f>
        <v>-7208</v>
      </c>
      <c r="F32" s="36"/>
      <c r="G32" s="132">
        <f>+'Mgmt Summary'!G32+'[2]YTD Mgmt Summary'!G32</f>
        <v>0</v>
      </c>
      <c r="H32" s="36">
        <f>GrossMargin!J40</f>
        <v>0</v>
      </c>
      <c r="I32" s="137">
        <f>+'Mgmt Summary'!I32+'[2]YTD Mgmt Summary'!I32</f>
        <v>0</v>
      </c>
      <c r="J32" s="135">
        <f>SUM(G32:I32)</f>
        <v>0</v>
      </c>
      <c r="K32" s="136"/>
      <c r="L32" s="132"/>
      <c r="M32" s="139">
        <f>+'Mgmt Summary'!M32+'[2]YTD Mgmt Summary'!M32</f>
        <v>9708</v>
      </c>
      <c r="N32" s="139">
        <f>+'Mgmt Summary'!N32+'[2]YTD Mgmt Summary'!N32</f>
        <v>0</v>
      </c>
      <c r="O32" s="135">
        <f>J32-K32-M32-N32-L32</f>
        <v>-9708</v>
      </c>
      <c r="P32" s="37"/>
      <c r="Q32" s="132">
        <f>+'Mgmt Summary'!Q32+'[2]YTD Mgmt Summary'!Q32</f>
        <v>0</v>
      </c>
      <c r="R32" s="36">
        <f>+'Mgmt Summary'!R32+'[2]YTD Mgmt Summary'!R32</f>
        <v>0</v>
      </c>
      <c r="S32" s="139">
        <f>+'Mgmt Summary'!S32+'[2]YTD Mgmt Summary'!S32</f>
        <v>0</v>
      </c>
      <c r="T32" s="139">
        <f>+'Mgmt Summary'!T32+'[2]YTD Mgmt Summary'!T32</f>
        <v>-2500</v>
      </c>
      <c r="U32" s="139">
        <f>+'Mgmt Summary'!U32+'[2]YTD Mgmt Summary'!U32</f>
        <v>0</v>
      </c>
      <c r="V32" s="134">
        <f>ROUND(SUM(Q32:U32),0)</f>
        <v>-2500</v>
      </c>
      <c r="W32" s="32"/>
    </row>
    <row r="33" spans="1:23" ht="3" customHeight="1">
      <c r="A33" s="106"/>
      <c r="B33" s="35"/>
      <c r="C33" s="132"/>
      <c r="D33" s="36"/>
      <c r="E33" s="134"/>
      <c r="F33" s="36"/>
      <c r="G33" s="132"/>
      <c r="H33" s="36"/>
      <c r="I33" s="36"/>
      <c r="J33" s="135"/>
      <c r="K33" s="136"/>
      <c r="L33" s="133"/>
      <c r="M33" s="36"/>
      <c r="N33" s="36"/>
      <c r="O33" s="135"/>
      <c r="P33" s="37"/>
      <c r="Q33" s="132"/>
      <c r="R33" s="36"/>
      <c r="S33" s="36"/>
      <c r="T33" s="36"/>
      <c r="U33" s="36"/>
      <c r="V33" s="134"/>
      <c r="W33" s="32"/>
    </row>
    <row r="34" spans="1:23" s="34" customFormat="1" ht="12" customHeight="1">
      <c r="A34" s="38" t="s">
        <v>74</v>
      </c>
      <c r="B34" s="35"/>
      <c r="C34" s="39">
        <f>SUM(C30:C32)</f>
        <v>201076.068</v>
      </c>
      <c r="D34" s="40">
        <f>SUM(D30:D32)</f>
        <v>113337.823</v>
      </c>
      <c r="E34" s="41">
        <f>SUM(E30:E32)</f>
        <v>87738.244999999995</v>
      </c>
      <c r="F34" s="36"/>
      <c r="G34" s="39">
        <f t="shared" ref="G34:V34" si="8">SUM(G30:G32)</f>
        <v>19022.757980000002</v>
      </c>
      <c r="H34" s="40">
        <f t="shared" si="8"/>
        <v>0</v>
      </c>
      <c r="I34" s="40">
        <f t="shared" si="8"/>
        <v>0</v>
      </c>
      <c r="J34" s="42">
        <f t="shared" si="8"/>
        <v>19022.757980000002</v>
      </c>
      <c r="K34" s="40">
        <f t="shared" si="8"/>
        <v>0</v>
      </c>
      <c r="L34" s="39">
        <f t="shared" si="8"/>
        <v>0</v>
      </c>
      <c r="M34" s="40">
        <f t="shared" si="8"/>
        <v>121353.24799999999</v>
      </c>
      <c r="N34" s="40">
        <f t="shared" si="8"/>
        <v>-7.2759576141834259E-12</v>
      </c>
      <c r="O34" s="42">
        <f>J34-K34-M34-N34-L34</f>
        <v>-102330.49002</v>
      </c>
      <c r="P34" s="37"/>
      <c r="Q34" s="39">
        <f t="shared" si="8"/>
        <v>-182053.31002</v>
      </c>
      <c r="R34" s="40">
        <f t="shared" si="8"/>
        <v>0</v>
      </c>
      <c r="S34" s="40">
        <f t="shared" si="8"/>
        <v>0</v>
      </c>
      <c r="T34" s="40">
        <f t="shared" si="8"/>
        <v>-12134.777499999998</v>
      </c>
      <c r="U34" s="40">
        <f t="shared" si="8"/>
        <v>4118.673499999999</v>
      </c>
      <c r="V34" s="41">
        <f t="shared" si="8"/>
        <v>-190069</v>
      </c>
      <c r="W34" s="32"/>
    </row>
    <row r="35" spans="1:23" s="19" customFormat="1" ht="3" customHeight="1">
      <c r="A35" s="24"/>
      <c r="B35" s="18"/>
      <c r="C35" s="25"/>
      <c r="D35" s="26"/>
      <c r="E35" s="27"/>
      <c r="F35" s="22"/>
      <c r="G35" s="28"/>
      <c r="H35" s="29"/>
      <c r="I35" s="29"/>
      <c r="J35" s="24"/>
      <c r="K35" s="29"/>
      <c r="L35" s="28"/>
      <c r="M35" s="29"/>
      <c r="N35" s="29"/>
      <c r="O35" s="24"/>
      <c r="Q35" s="28"/>
      <c r="R35" s="29"/>
      <c r="S35" s="29"/>
      <c r="T35" s="29"/>
      <c r="U35" s="29"/>
      <c r="V35" s="30"/>
    </row>
    <row r="36" spans="1:23" ht="13.5" hidden="1">
      <c r="A36" s="66"/>
      <c r="C36" s="67"/>
      <c r="D36" s="23"/>
      <c r="E36" s="66" t="s">
        <v>52</v>
      </c>
      <c r="F36" s="23"/>
      <c r="G36" s="68">
        <f>+'GM-WeeklyChnge'!C39</f>
        <v>0</v>
      </c>
    </row>
    <row r="37" spans="1:23" ht="6" customHeight="1">
      <c r="C37" s="23"/>
      <c r="D37" s="23"/>
      <c r="E37" s="23"/>
      <c r="F37" s="23"/>
    </row>
    <row r="38" spans="1:23">
      <c r="A38" s="71" t="s">
        <v>78</v>
      </c>
      <c r="C38" s="23"/>
      <c r="D38" s="23"/>
      <c r="E38" s="23"/>
      <c r="F38" s="23"/>
      <c r="M38" s="165"/>
      <c r="T38" s="165"/>
    </row>
    <row r="39" spans="1:23">
      <c r="C39" s="23"/>
      <c r="D39" s="23"/>
      <c r="E39" s="23"/>
      <c r="F39" s="23"/>
      <c r="G39" s="165"/>
    </row>
    <row r="40" spans="1:23">
      <c r="C40" s="23"/>
      <c r="D40" s="23"/>
      <c r="E40" s="23"/>
      <c r="F40" s="23"/>
      <c r="V40" s="165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 hidden="1">
      <c r="C52" s="23"/>
      <c r="D52" s="23"/>
      <c r="E52" s="23"/>
      <c r="F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A58" s="23"/>
    </row>
    <row r="59" spans="1:6" hidden="1">
      <c r="C59" s="23"/>
      <c r="D59" s="23"/>
      <c r="E59" s="23"/>
      <c r="F59" s="23"/>
    </row>
    <row r="60" spans="1:6" hidden="1">
      <c r="C60" s="23"/>
      <c r="D60" s="23"/>
      <c r="E60" s="23"/>
      <c r="F60" s="23"/>
    </row>
    <row r="61" spans="1:6" hidden="1"/>
    <row r="62" spans="1:6" hidden="1"/>
    <row r="63" spans="1:6" hidden="1"/>
    <row r="64" spans="1:6" hidden="1"/>
  </sheetData>
  <mergeCells count="2">
    <mergeCell ref="C5:E5"/>
    <mergeCell ref="Q5:V5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51"/>
  <sheetViews>
    <sheetView tabSelected="1" topLeftCell="A2" zoomScale="95" workbookViewId="0">
      <selection activeCell="A4" sqref="A4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1" width="9.5703125" style="14" bestFit="1" customWidth="1"/>
    <col min="12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89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88"/>
    </row>
    <row r="2" spans="1:22" s="193" customFormat="1" ht="29.25" customHeight="1">
      <c r="A2" s="190" t="s">
        <v>84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2"/>
      <c r="N2" s="191"/>
      <c r="O2" s="191"/>
      <c r="P2" s="191"/>
      <c r="Q2" s="302" t="s">
        <v>123</v>
      </c>
      <c r="R2" s="191"/>
      <c r="S2" s="191"/>
      <c r="T2" s="191"/>
      <c r="V2" s="194"/>
    </row>
    <row r="3" spans="1:22" s="189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5"/>
      <c r="N3"/>
      <c r="O3"/>
      <c r="P3"/>
      <c r="Q3" s="195" t="s">
        <v>112</v>
      </c>
      <c r="R3"/>
      <c r="S3"/>
      <c r="T3"/>
      <c r="V3" s="194"/>
    </row>
    <row r="4" spans="1:22" s="189" customFormat="1" ht="15.75" customHeight="1">
      <c r="A4"/>
      <c r="B4"/>
      <c r="C4"/>
      <c r="D4"/>
      <c r="E4"/>
      <c r="F4"/>
      <c r="G4"/>
      <c r="H4"/>
      <c r="I4"/>
      <c r="J4"/>
      <c r="K4"/>
      <c r="L4"/>
      <c r="M4" s="195"/>
      <c r="N4"/>
      <c r="O4"/>
      <c r="P4"/>
      <c r="Q4" s="303" t="str">
        <f>+'Mgmt Summary'!A3</f>
        <v>Results based on activity through May 25, 2001</v>
      </c>
      <c r="R4"/>
      <c r="S4"/>
      <c r="T4"/>
      <c r="V4" s="194"/>
    </row>
    <row r="5" spans="1:22" s="189" customFormat="1" ht="15" customHeight="1" thickBot="1">
      <c r="A5"/>
      <c r="B5"/>
      <c r="C5"/>
      <c r="D5"/>
      <c r="E5"/>
      <c r="F5"/>
      <c r="G5"/>
      <c r="H5"/>
      <c r="I5"/>
      <c r="J5"/>
      <c r="K5"/>
      <c r="L5"/>
      <c r="M5"/>
      <c r="N5" s="288"/>
      <c r="O5"/>
      <c r="P5"/>
      <c r="Q5"/>
      <c r="R5"/>
      <c r="S5"/>
      <c r="T5"/>
      <c r="U5"/>
      <c r="V5" s="196"/>
    </row>
    <row r="6" spans="1:22" s="201" customFormat="1" ht="18" customHeight="1">
      <c r="A6" s="197"/>
      <c r="B6" s="198"/>
      <c r="C6" s="228" t="s">
        <v>12</v>
      </c>
      <c r="D6" s="229"/>
      <c r="E6" s="230"/>
      <c r="F6" s="199"/>
      <c r="G6" s="228" t="s">
        <v>86</v>
      </c>
      <c r="H6" s="229"/>
      <c r="I6" s="230"/>
      <c r="J6" s="200"/>
      <c r="K6" s="317" t="s">
        <v>85</v>
      </c>
      <c r="L6" s="318"/>
      <c r="M6" s="319"/>
      <c r="N6" s="284"/>
      <c r="O6" s="317" t="s">
        <v>110</v>
      </c>
      <c r="P6" s="318"/>
      <c r="Q6" s="319"/>
    </row>
    <row r="7" spans="1:22" ht="18.75" customHeight="1" thickBot="1">
      <c r="A7" s="202" t="s">
        <v>9</v>
      </c>
      <c r="B7" s="203"/>
      <c r="C7" s="204" t="s">
        <v>39</v>
      </c>
      <c r="D7" s="205" t="s">
        <v>8</v>
      </c>
      <c r="E7" s="206" t="s">
        <v>11</v>
      </c>
      <c r="F7" s="207"/>
      <c r="G7" s="204" t="s">
        <v>6</v>
      </c>
      <c r="H7" s="205" t="s">
        <v>8</v>
      </c>
      <c r="I7" s="206" t="s">
        <v>11</v>
      </c>
      <c r="J7" s="207"/>
      <c r="K7" s="204" t="s">
        <v>6</v>
      </c>
      <c r="L7" s="205" t="s">
        <v>8</v>
      </c>
      <c r="M7" s="206" t="s">
        <v>11</v>
      </c>
      <c r="N7" s="285"/>
      <c r="O7" s="204" t="s">
        <v>12</v>
      </c>
      <c r="P7" s="205" t="s">
        <v>108</v>
      </c>
      <c r="Q7" s="206" t="s">
        <v>7</v>
      </c>
    </row>
    <row r="8" spans="1:22" ht="4.5" customHeight="1">
      <c r="A8" s="208"/>
      <c r="B8" s="203"/>
      <c r="C8" s="209"/>
      <c r="D8" s="18"/>
      <c r="E8" s="210"/>
      <c r="F8" s="211"/>
      <c r="G8" s="209"/>
      <c r="H8" s="18"/>
      <c r="I8" s="210"/>
      <c r="J8" s="211"/>
      <c r="K8" s="209"/>
      <c r="L8" s="18"/>
      <c r="M8" s="210"/>
      <c r="N8" s="285"/>
      <c r="O8" s="209"/>
      <c r="P8" s="18"/>
      <c r="Q8" s="210"/>
    </row>
    <row r="9" spans="1:22" s="32" customFormat="1" ht="13.5" customHeight="1">
      <c r="A9" s="220" t="s">
        <v>119</v>
      </c>
      <c r="B9" s="221"/>
      <c r="C9" s="222">
        <f>+'Mgmt Summary'!J9</f>
        <v>-72938</v>
      </c>
      <c r="D9" s="223">
        <f>+'Mgmt Summary'!C9</f>
        <v>32500</v>
      </c>
      <c r="E9" s="224">
        <f t="shared" ref="E9:E20" si="0">-D9+C9</f>
        <v>-105438</v>
      </c>
      <c r="F9" s="225"/>
      <c r="G9" s="222">
        <f>+'Mgmt Summary'!M9+'Mgmt Summary'!N9</f>
        <v>17173.484</v>
      </c>
      <c r="H9" s="223">
        <f>+'Mgmt Summary'!D9</f>
        <v>16973.484</v>
      </c>
      <c r="I9" s="224">
        <f t="shared" ref="I9:I16" si="1">+H9-G9</f>
        <v>-200</v>
      </c>
      <c r="J9" s="225"/>
      <c r="K9" s="222">
        <f>+C9-G9</f>
        <v>-90111.483999999997</v>
      </c>
      <c r="L9" s="223">
        <f t="shared" ref="K9:L20" si="2">D9-H9</f>
        <v>15526.516</v>
      </c>
      <c r="M9" s="224">
        <f t="shared" ref="M9:M20" si="3">K9-L9</f>
        <v>-105638</v>
      </c>
      <c r="N9" s="286"/>
      <c r="O9" s="222">
        <f>+C9-'[4]QTD Mgmt Summary'!C9</f>
        <v>-2180</v>
      </c>
      <c r="P9" s="223">
        <f>+'[4]QTD Mgmt Summary'!G9-G9</f>
        <v>0</v>
      </c>
      <c r="Q9" s="224">
        <f t="shared" ref="Q9:Q14" si="4">+O9+P9</f>
        <v>-2180</v>
      </c>
    </row>
    <row r="10" spans="1:22" s="32" customFormat="1" ht="13.5" customHeight="1">
      <c r="A10" s="220" t="s">
        <v>133</v>
      </c>
      <c r="B10" s="221"/>
      <c r="C10" s="222">
        <f>+'Mgmt Summary'!J10</f>
        <v>-2616.0929500000002</v>
      </c>
      <c r="D10" s="223">
        <f>+'Mgmt Summary'!C10</f>
        <v>16250</v>
      </c>
      <c r="E10" s="224">
        <f t="shared" si="0"/>
        <v>-18866.092949999998</v>
      </c>
      <c r="F10" s="225"/>
      <c r="G10" s="222">
        <f>+'Mgmt Summary'!M10+'Mgmt Summary'!N10</f>
        <v>9003.0159999999996</v>
      </c>
      <c r="H10" s="223">
        <f>+'Mgmt Summary'!D10</f>
        <v>8803.0159999999996</v>
      </c>
      <c r="I10" s="224">
        <f t="shared" si="1"/>
        <v>-200</v>
      </c>
      <c r="J10" s="225"/>
      <c r="K10" s="222">
        <f t="shared" si="2"/>
        <v>-11619.10895</v>
      </c>
      <c r="L10" s="223">
        <f t="shared" si="2"/>
        <v>7446.9840000000004</v>
      </c>
      <c r="M10" s="224">
        <f t="shared" si="3"/>
        <v>-19066.092949999998</v>
      </c>
      <c r="N10" s="286"/>
      <c r="O10" s="222">
        <f>+C10-'[4]QTD Mgmt Summary'!C10</f>
        <v>-3375</v>
      </c>
      <c r="P10" s="223">
        <f>+'[4]QTD Mgmt Summary'!G10-G10</f>
        <v>0</v>
      </c>
      <c r="Q10" s="224">
        <f t="shared" si="4"/>
        <v>-3375</v>
      </c>
    </row>
    <row r="11" spans="1:22" s="32" customFormat="1" ht="13.5" customHeight="1">
      <c r="A11" s="220" t="s">
        <v>122</v>
      </c>
      <c r="B11" s="221"/>
      <c r="C11" s="222">
        <f>+'Mgmt Summary'!J11</f>
        <v>-2622</v>
      </c>
      <c r="D11" s="223">
        <f>+'Mgmt Summary'!C11</f>
        <v>2500</v>
      </c>
      <c r="E11" s="224">
        <f t="shared" si="0"/>
        <v>-5122</v>
      </c>
      <c r="F11" s="225"/>
      <c r="G11" s="222">
        <f>+'Mgmt Summary'!M11+'Mgmt Summary'!N11</f>
        <v>725</v>
      </c>
      <c r="H11" s="223">
        <f>+'Mgmt Summary'!D11</f>
        <v>725</v>
      </c>
      <c r="I11" s="224">
        <f t="shared" si="1"/>
        <v>0</v>
      </c>
      <c r="J11" s="225"/>
      <c r="K11" s="222">
        <f>C11-G11</f>
        <v>-3347</v>
      </c>
      <c r="L11" s="223">
        <f>D11-H11</f>
        <v>1775</v>
      </c>
      <c r="M11" s="224">
        <f t="shared" si="3"/>
        <v>-5122</v>
      </c>
      <c r="N11" s="286"/>
      <c r="O11" s="222">
        <f>+C11-'[4]QTD Mgmt Summary'!C11</f>
        <v>-1252</v>
      </c>
      <c r="P11" s="223">
        <f>+'[4]QTD Mgmt Summary'!G11-G11</f>
        <v>0</v>
      </c>
      <c r="Q11" s="224">
        <f t="shared" si="4"/>
        <v>-1252</v>
      </c>
    </row>
    <row r="12" spans="1:22" s="32" customFormat="1" ht="13.5" hidden="1" customHeight="1">
      <c r="A12" s="220" t="s">
        <v>43</v>
      </c>
      <c r="B12" s="221"/>
      <c r="C12" s="222">
        <f>+'Mgmt Summary'!J12</f>
        <v>0</v>
      </c>
      <c r="D12" s="223">
        <f>+'Mgmt Summary'!C12</f>
        <v>0</v>
      </c>
      <c r="E12" s="224">
        <f t="shared" si="0"/>
        <v>0</v>
      </c>
      <c r="F12" s="225"/>
      <c r="G12" s="222">
        <f>+'Mgmt Summary'!M12+'Mgmt Summary'!N12</f>
        <v>0</v>
      </c>
      <c r="H12" s="223">
        <f>+'Mgmt Summary'!D12</f>
        <v>0</v>
      </c>
      <c r="I12" s="224">
        <f t="shared" si="1"/>
        <v>0</v>
      </c>
      <c r="J12" s="225"/>
      <c r="K12" s="222">
        <f t="shared" si="2"/>
        <v>0</v>
      </c>
      <c r="L12" s="223">
        <f t="shared" si="2"/>
        <v>0</v>
      </c>
      <c r="M12" s="224">
        <f t="shared" si="3"/>
        <v>0</v>
      </c>
      <c r="N12" s="286"/>
      <c r="O12" s="222">
        <f>+C12-'[4]QTD Mgmt Summary'!C12</f>
        <v>0</v>
      </c>
      <c r="P12" s="223">
        <f>+'[4]QTD Mgmt Summary'!G12-G12</f>
        <v>0</v>
      </c>
      <c r="Q12" s="224">
        <f t="shared" si="4"/>
        <v>0</v>
      </c>
    </row>
    <row r="13" spans="1:22" s="32" customFormat="1" ht="13.5" customHeight="1">
      <c r="A13" s="220" t="s">
        <v>63</v>
      </c>
      <c r="B13" s="221"/>
      <c r="C13" s="222">
        <f>+'Mgmt Summary'!J13</f>
        <v>1576</v>
      </c>
      <c r="D13" s="223">
        <f>+'Mgmt Summary'!C13</f>
        <v>7078.8189999999995</v>
      </c>
      <c r="E13" s="224">
        <f t="shared" si="0"/>
        <v>-5502.8189999999995</v>
      </c>
      <c r="F13" s="225"/>
      <c r="G13" s="222">
        <f>+'Mgmt Summary'!M13+'Mgmt Summary'!N13</f>
        <v>3240.6319999999996</v>
      </c>
      <c r="H13" s="223">
        <f>+'Mgmt Summary'!D13</f>
        <v>3240.6319999999996</v>
      </c>
      <c r="I13" s="224">
        <f t="shared" si="1"/>
        <v>0</v>
      </c>
      <c r="J13" s="225"/>
      <c r="K13" s="222">
        <f t="shared" si="2"/>
        <v>-1664.6319999999996</v>
      </c>
      <c r="L13" s="223">
        <f t="shared" si="2"/>
        <v>3838.1869999999999</v>
      </c>
      <c r="M13" s="224">
        <f t="shared" si="3"/>
        <v>-5502.8189999999995</v>
      </c>
      <c r="N13" s="286"/>
      <c r="O13" s="222">
        <f>+C13-'[4]QTD Mgmt Summary'!C13</f>
        <v>1352</v>
      </c>
      <c r="P13" s="223">
        <f>+'[4]QTD Mgmt Summary'!G13-G13</f>
        <v>0</v>
      </c>
      <c r="Q13" s="224">
        <f t="shared" si="4"/>
        <v>1352</v>
      </c>
    </row>
    <row r="14" spans="1:22" s="32" customFormat="1" ht="13.5" customHeight="1">
      <c r="A14" s="220" t="s">
        <v>70</v>
      </c>
      <c r="B14" s="221"/>
      <c r="C14" s="222">
        <f>+'Mgmt Summary'!J14</f>
        <v>907</v>
      </c>
      <c r="D14" s="223">
        <f>+'Mgmt Summary'!C14</f>
        <v>11875</v>
      </c>
      <c r="E14" s="224">
        <f t="shared" si="0"/>
        <v>-10968</v>
      </c>
      <c r="F14" s="225"/>
      <c r="G14" s="222">
        <f>+'Mgmt Summary'!M14+'Mgmt Summary'!N14</f>
        <v>3259.8140000000003</v>
      </c>
      <c r="H14" s="223">
        <f>+'Mgmt Summary'!D14</f>
        <v>3259.8140000000003</v>
      </c>
      <c r="I14" s="224">
        <f t="shared" si="1"/>
        <v>0</v>
      </c>
      <c r="J14" s="225"/>
      <c r="K14" s="222">
        <f t="shared" si="2"/>
        <v>-2352.8140000000003</v>
      </c>
      <c r="L14" s="223">
        <f t="shared" si="2"/>
        <v>8615.1859999999997</v>
      </c>
      <c r="M14" s="224">
        <f t="shared" si="3"/>
        <v>-10968</v>
      </c>
      <c r="N14" s="286"/>
      <c r="O14" s="222">
        <f>+C14-'[4]QTD Mgmt Summary'!C14</f>
        <v>259</v>
      </c>
      <c r="P14" s="223">
        <f>+'[4]QTD Mgmt Summary'!G14-G14</f>
        <v>0</v>
      </c>
      <c r="Q14" s="224">
        <f t="shared" si="4"/>
        <v>259</v>
      </c>
    </row>
    <row r="15" spans="1:22" s="32" customFormat="1" ht="13.5" customHeight="1">
      <c r="A15" s="220" t="s">
        <v>49</v>
      </c>
      <c r="B15" s="221"/>
      <c r="C15" s="222">
        <f>+'Mgmt Summary'!J15</f>
        <v>-4774</v>
      </c>
      <c r="D15" s="223">
        <f>+'Mgmt Summary'!C15</f>
        <v>27500</v>
      </c>
      <c r="E15" s="224">
        <f t="shared" si="0"/>
        <v>-32274</v>
      </c>
      <c r="F15" s="225"/>
      <c r="G15" s="222">
        <f>+'Mgmt Summary'!M15+'Mgmt Summary'!N15</f>
        <v>6013.2449999999999</v>
      </c>
      <c r="H15" s="223">
        <f>+'Mgmt Summary'!D15</f>
        <v>6013.2449999999999</v>
      </c>
      <c r="I15" s="224">
        <f t="shared" si="1"/>
        <v>0</v>
      </c>
      <c r="J15" s="225"/>
      <c r="K15" s="222">
        <f t="shared" si="2"/>
        <v>-10787.244999999999</v>
      </c>
      <c r="L15" s="223">
        <f t="shared" si="2"/>
        <v>21486.755000000001</v>
      </c>
      <c r="M15" s="224">
        <f t="shared" si="3"/>
        <v>-32274</v>
      </c>
      <c r="N15" s="286"/>
      <c r="O15" s="222">
        <f>+C15-'[4]QTD Mgmt Summary'!C15</f>
        <v>5487</v>
      </c>
      <c r="P15" s="223">
        <f>+'[4]QTD Mgmt Summary'!G15-G15</f>
        <v>0</v>
      </c>
      <c r="Q15" s="224">
        <f t="shared" ref="Q15:Q20" si="5">+O15+P15</f>
        <v>5487</v>
      </c>
    </row>
    <row r="16" spans="1:22" s="32" customFormat="1" ht="13.5" customHeight="1">
      <c r="A16" s="220" t="s">
        <v>127</v>
      </c>
      <c r="B16" s="221"/>
      <c r="C16" s="222">
        <f>+'Mgmt Summary'!J16</f>
        <v>104.37132</v>
      </c>
      <c r="D16" s="223">
        <f>+'Mgmt Summary'!C16</f>
        <v>1311</v>
      </c>
      <c r="E16" s="224">
        <f t="shared" si="0"/>
        <v>-1206.62868</v>
      </c>
      <c r="F16" s="225"/>
      <c r="G16" s="222">
        <f>+'Mgmt Summary'!M16+'Mgmt Summary'!N16</f>
        <v>4934.7109999999993</v>
      </c>
      <c r="H16" s="223">
        <f>+'Mgmt Summary'!D16</f>
        <v>4934.7109999999993</v>
      </c>
      <c r="I16" s="224">
        <f t="shared" si="1"/>
        <v>0</v>
      </c>
      <c r="J16" s="225"/>
      <c r="K16" s="222">
        <f t="shared" si="2"/>
        <v>-4830.3396799999991</v>
      </c>
      <c r="L16" s="223">
        <f t="shared" si="2"/>
        <v>-3623.7109999999993</v>
      </c>
      <c r="M16" s="224">
        <f t="shared" si="3"/>
        <v>-1206.6286799999998</v>
      </c>
      <c r="N16" s="286"/>
      <c r="O16" s="222">
        <f>+C16-'[4]QTD Mgmt Summary'!C16</f>
        <v>17</v>
      </c>
      <c r="P16" s="223">
        <f>+'[4]QTD Mgmt Summary'!G16-G16</f>
        <v>0</v>
      </c>
      <c r="Q16" s="224">
        <f t="shared" si="5"/>
        <v>17</v>
      </c>
    </row>
    <row r="17" spans="1:19" s="32" customFormat="1" ht="13.5" customHeight="1">
      <c r="A17" s="220" t="s">
        <v>87</v>
      </c>
      <c r="B17" s="221"/>
      <c r="C17" s="222">
        <f>+'Mgmt Summary'!J17</f>
        <v>450</v>
      </c>
      <c r="D17" s="223">
        <f>+'Mgmt Summary'!C17</f>
        <v>5000</v>
      </c>
      <c r="E17" s="224">
        <f t="shared" si="0"/>
        <v>-4550</v>
      </c>
      <c r="F17" s="225"/>
      <c r="G17" s="222">
        <f>+'Mgmt Summary'!M17+'Mgmt Summary'!N17</f>
        <v>4122.0959999999995</v>
      </c>
      <c r="H17" s="223">
        <f>+'Mgmt Summary'!D17</f>
        <v>2622.096</v>
      </c>
      <c r="I17" s="224">
        <f>+H17-G17</f>
        <v>-1499.9999999999995</v>
      </c>
      <c r="J17" s="225"/>
      <c r="K17" s="222">
        <f t="shared" si="2"/>
        <v>-3672.0959999999995</v>
      </c>
      <c r="L17" s="223">
        <f t="shared" si="2"/>
        <v>2377.904</v>
      </c>
      <c r="M17" s="224">
        <f t="shared" si="3"/>
        <v>-6050</v>
      </c>
      <c r="N17" s="286"/>
      <c r="O17" s="222">
        <f>+C17-'[4]QTD Mgmt Summary'!C17</f>
        <v>36</v>
      </c>
      <c r="P17" s="223">
        <f>+'[4]QTD Mgmt Summary'!G17-G17</f>
        <v>0</v>
      </c>
      <c r="Q17" s="224">
        <f t="shared" si="5"/>
        <v>36</v>
      </c>
      <c r="S17" s="289"/>
    </row>
    <row r="18" spans="1:19" s="32" customFormat="1" ht="13.5" customHeight="1">
      <c r="A18" s="220" t="s">
        <v>89</v>
      </c>
      <c r="B18" s="221"/>
      <c r="C18" s="222">
        <f>+'Mgmt Summary'!J18</f>
        <v>-1445</v>
      </c>
      <c r="D18" s="223">
        <f>+'Mgmt Summary'!C18</f>
        <v>1372.4989999999998</v>
      </c>
      <c r="E18" s="256">
        <f t="shared" si="0"/>
        <v>-2817.4989999999998</v>
      </c>
      <c r="F18" s="225"/>
      <c r="G18" s="222">
        <f>+'Mgmt Summary'!M18+'Mgmt Summary'!N18</f>
        <v>875.346</v>
      </c>
      <c r="H18" s="223">
        <f>+'Mgmt Summary'!D18</f>
        <v>875.346</v>
      </c>
      <c r="I18" s="256">
        <f>+H18-G18</f>
        <v>0</v>
      </c>
      <c r="J18" s="225"/>
      <c r="K18" s="254">
        <f t="shared" si="2"/>
        <v>-2320.346</v>
      </c>
      <c r="L18" s="255">
        <f t="shared" si="2"/>
        <v>497.15299999999979</v>
      </c>
      <c r="M18" s="256">
        <f t="shared" si="3"/>
        <v>-2817.4989999999998</v>
      </c>
      <c r="N18" s="286"/>
      <c r="O18" s="222">
        <f>+C18-'[4]QTD Mgmt Summary'!C18</f>
        <v>0</v>
      </c>
      <c r="P18" s="223">
        <f>+'[4]QTD Mgmt Summary'!G18-G18</f>
        <v>0</v>
      </c>
      <c r="Q18" s="224">
        <f t="shared" si="5"/>
        <v>0</v>
      </c>
    </row>
    <row r="19" spans="1:19" s="32" customFormat="1" ht="13.5" customHeight="1">
      <c r="A19" s="220" t="s">
        <v>118</v>
      </c>
      <c r="B19" s="221"/>
      <c r="C19" s="222">
        <f>+'Mgmt Summary'!J19</f>
        <v>0</v>
      </c>
      <c r="D19" s="223">
        <f>+'Mgmt Summary'!C19</f>
        <v>0</v>
      </c>
      <c r="E19" s="224">
        <f t="shared" si="0"/>
        <v>0</v>
      </c>
      <c r="F19" s="225"/>
      <c r="G19" s="222">
        <f>+'Mgmt Summary'!M19+'Mgmt Summary'!N19</f>
        <v>766.23199999999997</v>
      </c>
      <c r="H19" s="223">
        <f>+'Mgmt Summary'!D19</f>
        <v>766.23199999999997</v>
      </c>
      <c r="I19" s="224">
        <f>+H19-G19</f>
        <v>0</v>
      </c>
      <c r="J19" s="225"/>
      <c r="K19" s="222">
        <f t="shared" si="2"/>
        <v>-766.23199999999997</v>
      </c>
      <c r="L19" s="223">
        <f t="shared" si="2"/>
        <v>-766.23199999999997</v>
      </c>
      <c r="M19" s="224">
        <f t="shared" si="3"/>
        <v>0</v>
      </c>
      <c r="N19" s="286"/>
      <c r="O19" s="222">
        <f>+C19-'[4]QTD Mgmt Summary'!C19</f>
        <v>0</v>
      </c>
      <c r="P19" s="223">
        <f>+'[4]QTD Mgmt Summary'!G19-G19</f>
        <v>0</v>
      </c>
      <c r="Q19" s="224">
        <f t="shared" si="5"/>
        <v>0</v>
      </c>
    </row>
    <row r="20" spans="1:19" s="32" customFormat="1" ht="13.5" customHeight="1">
      <c r="A20" s="220" t="s">
        <v>2</v>
      </c>
      <c r="B20" s="221"/>
      <c r="C20" s="222">
        <f>+'Mgmt Summary'!J20</f>
        <v>0</v>
      </c>
      <c r="D20" s="223">
        <f>+'Mgmt Summary'!C20</f>
        <v>0</v>
      </c>
      <c r="E20" s="224">
        <f t="shared" si="0"/>
        <v>0</v>
      </c>
      <c r="F20" s="225"/>
      <c r="G20" s="222">
        <f>+'Mgmt Summary'!M20+'Mgmt Summary'!N20</f>
        <v>1261.2240000000002</v>
      </c>
      <c r="H20" s="223">
        <f>+'Mgmt Summary'!D20</f>
        <v>1011.224</v>
      </c>
      <c r="I20" s="224">
        <f>+H20-G20</f>
        <v>-250.00000000000011</v>
      </c>
      <c r="J20" s="225"/>
      <c r="K20" s="222">
        <f t="shared" si="2"/>
        <v>-1261.2240000000002</v>
      </c>
      <c r="L20" s="223">
        <f t="shared" si="2"/>
        <v>-1011.224</v>
      </c>
      <c r="M20" s="224">
        <f t="shared" si="3"/>
        <v>-250.00000000000011</v>
      </c>
      <c r="N20" s="286"/>
      <c r="O20" s="222">
        <f>+C20-'[4]QTD Mgmt Summary'!C20</f>
        <v>0</v>
      </c>
      <c r="P20" s="223">
        <f>+'[4]QTD Mgmt Summary'!G20-G20</f>
        <v>0</v>
      </c>
      <c r="Q20" s="224">
        <f t="shared" si="5"/>
        <v>0</v>
      </c>
    </row>
    <row r="21" spans="1:19" s="32" customFormat="1" ht="13.5" customHeight="1">
      <c r="A21" s="220" t="s">
        <v>129</v>
      </c>
      <c r="B21" s="221"/>
      <c r="C21" s="222">
        <f>+'Mgmt Summary'!J21</f>
        <v>0</v>
      </c>
      <c r="D21" s="223">
        <f>+'Mgmt Summary'!C21</f>
        <v>4613.1040000000003</v>
      </c>
      <c r="E21" s="224">
        <f>-D21+C21</f>
        <v>-4613.1040000000003</v>
      </c>
      <c r="F21" s="225"/>
      <c r="G21" s="222">
        <f>+'Mgmt Summary'!L21+'Mgmt Summary'!M21+'Mgmt Summary'!N21</f>
        <v>0</v>
      </c>
      <c r="H21" s="223">
        <f>+'Mgmt Summary'!D21</f>
        <v>0</v>
      </c>
      <c r="I21" s="224">
        <f>+H21-G21</f>
        <v>0</v>
      </c>
      <c r="J21" s="225"/>
      <c r="K21" s="222">
        <f>C21-G21</f>
        <v>0</v>
      </c>
      <c r="L21" s="223">
        <f>D21-H21</f>
        <v>4613.1040000000003</v>
      </c>
      <c r="M21" s="224">
        <f>K21-L21</f>
        <v>-4613.1040000000003</v>
      </c>
      <c r="N21" s="286"/>
      <c r="O21" s="222">
        <f>+C21-'[4]QTD Mgmt Summary'!C21</f>
        <v>0</v>
      </c>
      <c r="P21" s="223">
        <f>+'[4]QTD Mgmt Summary'!G21-G21</f>
        <v>0</v>
      </c>
      <c r="Q21" s="224">
        <f>+O21+P21</f>
        <v>0</v>
      </c>
    </row>
    <row r="22" spans="1:19" ht="4.5" customHeight="1">
      <c r="A22" s="208"/>
      <c r="B22" s="203"/>
      <c r="C22" s="212"/>
      <c r="D22" s="213"/>
      <c r="E22" s="214"/>
      <c r="F22" s="215"/>
      <c r="G22" s="218"/>
      <c r="H22" s="213"/>
      <c r="I22" s="214"/>
      <c r="J22" s="215"/>
      <c r="K22" s="212"/>
      <c r="L22" s="213"/>
      <c r="M22" s="214"/>
      <c r="N22" s="285"/>
      <c r="O22" s="212"/>
      <c r="P22" s="213"/>
      <c r="Q22" s="214"/>
    </row>
    <row r="23" spans="1:19" s="217" customFormat="1" ht="16.5">
      <c r="A23" s="226" t="s">
        <v>3</v>
      </c>
      <c r="B23" s="216"/>
      <c r="C23" s="231">
        <f>SUM(C9:C22)</f>
        <v>-81357.72163</v>
      </c>
      <c r="D23" s="232">
        <f>SUM(D9:D22)</f>
        <v>110000.42200000001</v>
      </c>
      <c r="E23" s="233">
        <f>SUM(E9:E22)</f>
        <v>-191358.14362999998</v>
      </c>
      <c r="F23" s="234"/>
      <c r="G23" s="231">
        <f>SUM(G9:G22)</f>
        <v>51374.8</v>
      </c>
      <c r="H23" s="232">
        <f>SUM(H9:H22)</f>
        <v>49224.800000000003</v>
      </c>
      <c r="I23" s="233">
        <f>SUM(I9:I22)</f>
        <v>-2149.9999999999995</v>
      </c>
      <c r="J23" s="234"/>
      <c r="K23" s="231">
        <f>SUM(K9:K22)</f>
        <v>-132732.52162999997</v>
      </c>
      <c r="L23" s="232">
        <f>SUM(L9:L22)</f>
        <v>60775.621999999996</v>
      </c>
      <c r="M23" s="233">
        <f>SUM(M9:M22)</f>
        <v>-193508.14362999998</v>
      </c>
      <c r="N23" s="287"/>
      <c r="O23" s="231">
        <f>SUM(O9:O22)</f>
        <v>344</v>
      </c>
      <c r="P23" s="232">
        <f>SUM(P9:P22)</f>
        <v>0</v>
      </c>
      <c r="Q23" s="233">
        <f>SUM(Q9:Q22)</f>
        <v>344</v>
      </c>
    </row>
    <row r="24" spans="1:19" ht="4.5" customHeight="1">
      <c r="A24" s="208"/>
      <c r="B24" s="203"/>
      <c r="C24" s="212"/>
      <c r="D24" s="213"/>
      <c r="E24" s="214"/>
      <c r="F24" s="215"/>
      <c r="G24" s="218"/>
      <c r="H24" s="213"/>
      <c r="I24" s="214"/>
      <c r="J24" s="215"/>
      <c r="K24" s="212"/>
      <c r="L24" s="213"/>
      <c r="M24" s="214"/>
      <c r="N24" s="285"/>
      <c r="O24" s="212"/>
      <c r="P24" s="213"/>
      <c r="Q24" s="214"/>
    </row>
    <row r="25" spans="1:19" s="32" customFormat="1" ht="13.5" customHeight="1">
      <c r="A25" s="220" t="s">
        <v>132</v>
      </c>
      <c r="B25" s="221"/>
      <c r="C25" s="222">
        <f>+'Mgmt Summary'!J25</f>
        <v>0</v>
      </c>
      <c r="D25" s="223">
        <f>+'Mgmt Summary'!C25</f>
        <v>0</v>
      </c>
      <c r="E25" s="224">
        <f>-D25+C25</f>
        <v>0</v>
      </c>
      <c r="F25" s="225"/>
      <c r="G25" s="222">
        <f>+'Mgmt Summary'!L25+'Mgmt Summary'!M25+'Mgmt Summary'!N25</f>
        <v>28242.490999999998</v>
      </c>
      <c r="H25" s="223">
        <f>+'Mgmt Summary'!D25</f>
        <v>28242.490999999998</v>
      </c>
      <c r="I25" s="224">
        <f>+H25-G25</f>
        <v>0</v>
      </c>
      <c r="J25" s="225"/>
      <c r="K25" s="222">
        <f>C25-G25</f>
        <v>-28242.490999999998</v>
      </c>
      <c r="L25" s="223">
        <f>D25-H25</f>
        <v>-28242.490999999998</v>
      </c>
      <c r="M25" s="224">
        <f>K25-L25</f>
        <v>0</v>
      </c>
      <c r="N25" s="286"/>
      <c r="O25" s="222">
        <f>+C25-'[4]QTD Mgmt Summary'!C25</f>
        <v>0</v>
      </c>
      <c r="P25" s="223">
        <f>+'[4]QTD Mgmt Summary'!G25-G25</f>
        <v>0</v>
      </c>
      <c r="Q25" s="224">
        <f>+O25+P25</f>
        <v>0</v>
      </c>
    </row>
    <row r="26" spans="1:19" s="32" customFormat="1" ht="13.5" customHeight="1">
      <c r="A26" s="220" t="s">
        <v>91</v>
      </c>
      <c r="B26" s="221"/>
      <c r="C26" s="222">
        <f>+'Mgmt Summary'!J26</f>
        <v>0</v>
      </c>
      <c r="D26" s="223">
        <f>+'Mgmt Summary'!C26</f>
        <v>0</v>
      </c>
      <c r="E26" s="224">
        <f>-D26+C26</f>
        <v>0</v>
      </c>
      <c r="F26" s="225"/>
      <c r="G26" s="222">
        <f>+'Mgmt Summary'!L26+'Mgmt Summary'!M26+'Mgmt Summary'!N26</f>
        <v>-22036.860000000008</v>
      </c>
      <c r="H26" s="223">
        <f>+'Mgmt Summary'!D26</f>
        <v>-22036.860000000008</v>
      </c>
      <c r="I26" s="224">
        <f>+H26-G26</f>
        <v>0</v>
      </c>
      <c r="J26" s="225"/>
      <c r="K26" s="222">
        <f t="shared" ref="K26:L28" si="6">C26-G26</f>
        <v>22036.860000000008</v>
      </c>
      <c r="L26" s="223">
        <f t="shared" si="6"/>
        <v>22036.860000000008</v>
      </c>
      <c r="M26" s="224">
        <f>K26-L26</f>
        <v>0</v>
      </c>
      <c r="N26" s="286"/>
      <c r="O26" s="222">
        <f>+C26-'[4]QTD Mgmt Summary'!C26</f>
        <v>0</v>
      </c>
      <c r="P26" s="223">
        <f>+'[4]QTD Mgmt Summary'!G26-G26</f>
        <v>0</v>
      </c>
      <c r="Q26" s="224">
        <f>+O26+P26</f>
        <v>0</v>
      </c>
    </row>
    <row r="27" spans="1:19" s="32" customFormat="1" ht="13.5" hidden="1" customHeight="1">
      <c r="A27" s="220" t="s">
        <v>10</v>
      </c>
      <c r="B27" s="221"/>
      <c r="C27" s="222">
        <f>+'Mgmt Summary'!J27</f>
        <v>0</v>
      </c>
      <c r="D27" s="223">
        <f>+'Mgmt Summary'!C27</f>
        <v>0</v>
      </c>
      <c r="E27" s="224">
        <f>-D27+C27</f>
        <v>0</v>
      </c>
      <c r="F27" s="225"/>
      <c r="G27" s="222">
        <f>+[2]Expenses!D26</f>
        <v>0</v>
      </c>
      <c r="H27" s="223">
        <f>+[2]Expenses!E26</f>
        <v>0</v>
      </c>
      <c r="I27" s="224">
        <f>+H27-G27</f>
        <v>0</v>
      </c>
      <c r="J27" s="225"/>
      <c r="K27" s="222">
        <f>C27-G27</f>
        <v>0</v>
      </c>
      <c r="L27" s="223">
        <f>D27-H27</f>
        <v>0</v>
      </c>
      <c r="M27" s="224">
        <f>K27-L27</f>
        <v>0</v>
      </c>
      <c r="N27" s="286"/>
      <c r="O27" s="222">
        <f>+C27-'[4]QTD Mgmt Summary'!C27</f>
        <v>0</v>
      </c>
      <c r="P27" s="223">
        <f>+'[4]QTD Mgmt Summary'!G27-G27</f>
        <v>0</v>
      </c>
      <c r="Q27" s="224">
        <f>+O27+P27</f>
        <v>0</v>
      </c>
    </row>
    <row r="28" spans="1:19" s="32" customFormat="1" ht="13.5" hidden="1" customHeight="1">
      <c r="A28" s="220" t="s">
        <v>34</v>
      </c>
      <c r="B28" s="221"/>
      <c r="C28" s="222">
        <f>+'Mgmt Summary'!J28</f>
        <v>0</v>
      </c>
      <c r="D28" s="223">
        <f>+'Mgmt Summary'!C28</f>
        <v>0</v>
      </c>
      <c r="E28" s="224">
        <f>-D28+C28</f>
        <v>0</v>
      </c>
      <c r="F28" s="225"/>
      <c r="G28" s="222">
        <f>+'[2]Alloc Exp'!D26</f>
        <v>0</v>
      </c>
      <c r="H28" s="223">
        <f>+'[2]Alloc Exp'!E26</f>
        <v>0</v>
      </c>
      <c r="I28" s="224">
        <f>+H28-G28</f>
        <v>0</v>
      </c>
      <c r="J28" s="225"/>
      <c r="K28" s="222">
        <f t="shared" si="6"/>
        <v>0</v>
      </c>
      <c r="L28" s="223">
        <f t="shared" si="6"/>
        <v>0</v>
      </c>
      <c r="M28" s="224">
        <f>K28-L28</f>
        <v>0</v>
      </c>
      <c r="N28" s="286"/>
      <c r="O28" s="222">
        <f>+C28-'[2]QTD Mgmt Summary'!C27</f>
        <v>0</v>
      </c>
      <c r="P28" s="223">
        <f>-G28+'[2]QTD Mgmt Summary'!G27</f>
        <v>0</v>
      </c>
      <c r="Q28" s="224">
        <f>+O28+P28</f>
        <v>0</v>
      </c>
    </row>
    <row r="29" spans="1:19" ht="4.5" customHeight="1">
      <c r="A29" s="208"/>
      <c r="B29" s="203"/>
      <c r="C29" s="212"/>
      <c r="D29" s="213"/>
      <c r="E29" s="214"/>
      <c r="F29" s="215"/>
      <c r="G29" s="218"/>
      <c r="H29" s="213"/>
      <c r="I29" s="214"/>
      <c r="J29" s="215"/>
      <c r="K29" s="212"/>
      <c r="L29" s="213"/>
      <c r="M29" s="214"/>
      <c r="N29" s="285"/>
      <c r="O29" s="212"/>
      <c r="P29" s="213"/>
      <c r="Q29" s="214"/>
    </row>
    <row r="30" spans="1:19" s="217" customFormat="1" ht="16.5">
      <c r="A30" s="226" t="s">
        <v>73</v>
      </c>
      <c r="B30" s="216"/>
      <c r="C30" s="231">
        <f>SUM(C23:C28)</f>
        <v>-81357.72163</v>
      </c>
      <c r="D30" s="232">
        <f>SUM(D23:D28)</f>
        <v>110000.42200000001</v>
      </c>
      <c r="E30" s="233">
        <f>SUM(E23:E28)</f>
        <v>-191358.14362999998</v>
      </c>
      <c r="F30" s="234"/>
      <c r="G30" s="231">
        <f>SUM(G23:G28)</f>
        <v>57580.43099999999</v>
      </c>
      <c r="H30" s="232">
        <f>SUM(H23:H28)</f>
        <v>55430.43099999999</v>
      </c>
      <c r="I30" s="233">
        <f>SUM(I23:I28)</f>
        <v>-2149.9999999999995</v>
      </c>
      <c r="J30" s="234"/>
      <c r="K30" s="231">
        <f>SUM(K23:K28)</f>
        <v>-138938.15262999997</v>
      </c>
      <c r="L30" s="232">
        <f>SUM(L23:L28)</f>
        <v>54569.991000000009</v>
      </c>
      <c r="M30" s="233">
        <f>SUM(M23:M28)</f>
        <v>-193508.14362999998</v>
      </c>
      <c r="N30" s="287"/>
      <c r="O30" s="231">
        <f>SUM(O23:O28)</f>
        <v>344</v>
      </c>
      <c r="P30" s="232">
        <f>SUM(P23:P28)</f>
        <v>0</v>
      </c>
      <c r="Q30" s="233">
        <f>SUM(Q23:Q28)</f>
        <v>344</v>
      </c>
    </row>
    <row r="31" spans="1:19" ht="4.5" customHeight="1">
      <c r="A31" s="208"/>
      <c r="B31" s="203"/>
      <c r="C31" s="222"/>
      <c r="D31" s="223"/>
      <c r="E31" s="224"/>
      <c r="F31" s="225"/>
      <c r="G31" s="235"/>
      <c r="H31" s="223"/>
      <c r="I31" s="224"/>
      <c r="J31" s="225"/>
      <c r="K31" s="222"/>
      <c r="L31" s="223"/>
      <c r="M31" s="224"/>
      <c r="N31" s="285"/>
      <c r="O31" s="222"/>
      <c r="P31" s="223"/>
      <c r="Q31" s="224"/>
    </row>
    <row r="32" spans="1:19" s="32" customFormat="1" ht="13.5" customHeight="1">
      <c r="A32" s="220" t="s">
        <v>56</v>
      </c>
      <c r="B32" s="221"/>
      <c r="C32" s="222">
        <f>+'Mgmt Summary'!J32</f>
        <v>0</v>
      </c>
      <c r="D32" s="223">
        <f>+'Mgmt Summary'!C32</f>
        <v>0</v>
      </c>
      <c r="E32" s="224">
        <f>D32-C32</f>
        <v>0</v>
      </c>
      <c r="F32" s="225"/>
      <c r="G32" s="222">
        <f>+'Mgmt Summary'!M32</f>
        <v>9400</v>
      </c>
      <c r="H32" s="223">
        <f>+'Mgmt Summary'!D32</f>
        <v>6900</v>
      </c>
      <c r="I32" s="224">
        <f>+H32-G32</f>
        <v>-2500</v>
      </c>
      <c r="J32" s="225"/>
      <c r="K32" s="222">
        <f>C32-G32</f>
        <v>-9400</v>
      </c>
      <c r="L32" s="223">
        <f>D32-H32</f>
        <v>-6900</v>
      </c>
      <c r="M32" s="224">
        <f>K32-L32</f>
        <v>-2500</v>
      </c>
      <c r="N32" s="286"/>
      <c r="O32" s="222">
        <f>+C32-'[4]QTD Mgmt Summary'!C32</f>
        <v>0</v>
      </c>
      <c r="P32" s="223">
        <f>+'[4]QTD Mgmt Summary'!G32-G32</f>
        <v>0</v>
      </c>
      <c r="Q32" s="224">
        <f>+O32+P32</f>
        <v>0</v>
      </c>
    </row>
    <row r="33" spans="1:17" ht="4.5" customHeight="1" thickBot="1">
      <c r="A33" s="208"/>
      <c r="B33" s="203"/>
      <c r="C33" s="222"/>
      <c r="D33" s="223"/>
      <c r="E33" s="224"/>
      <c r="F33" s="225"/>
      <c r="G33" s="235"/>
      <c r="H33" s="223"/>
      <c r="I33" s="224"/>
      <c r="J33" s="225"/>
      <c r="K33" s="222"/>
      <c r="L33" s="223"/>
      <c r="M33" s="224"/>
      <c r="N33" s="285"/>
      <c r="O33" s="222"/>
      <c r="P33" s="223"/>
      <c r="Q33" s="224"/>
    </row>
    <row r="34" spans="1:17" s="217" customFormat="1" ht="17.25" thickBot="1">
      <c r="A34" s="227" t="s">
        <v>74</v>
      </c>
      <c r="B34" s="219"/>
      <c r="C34" s="236">
        <f>+C30-C32</f>
        <v>-81357.72163</v>
      </c>
      <c r="D34" s="237">
        <f>+D30-D32</f>
        <v>110000.42200000001</v>
      </c>
      <c r="E34" s="260">
        <f>+E30-E32</f>
        <v>-191358.14362999998</v>
      </c>
      <c r="F34" s="238"/>
      <c r="G34" s="236">
        <f>SUM(G30:G32)</f>
        <v>66980.430999999982</v>
      </c>
      <c r="H34" s="237">
        <f>SUM(H30:H32)</f>
        <v>62330.43099999999</v>
      </c>
      <c r="I34" s="260">
        <f>SUM(I30:I32)</f>
        <v>-4650</v>
      </c>
      <c r="J34" s="238"/>
      <c r="K34" s="236">
        <f>SUM(K30:K32)</f>
        <v>-148338.15262999997</v>
      </c>
      <c r="L34" s="237">
        <f>SUM(L30:L32)</f>
        <v>47669.991000000009</v>
      </c>
      <c r="M34" s="260">
        <f>SUM(M30:M32)</f>
        <v>-196008.14362999998</v>
      </c>
      <c r="N34" s="287"/>
      <c r="O34" s="236">
        <f>SUM(O30:O32)</f>
        <v>344</v>
      </c>
      <c r="P34" s="237">
        <f>SUM(P30:P32)</f>
        <v>0</v>
      </c>
      <c r="Q34" s="260">
        <f>SUM(Q30:Q32)</f>
        <v>344</v>
      </c>
    </row>
    <row r="35" spans="1:17" ht="3" customHeight="1">
      <c r="A35" s="66"/>
      <c r="C35" s="67"/>
      <c r="D35" s="22"/>
      <c r="E35" s="66"/>
      <c r="F35" s="23"/>
      <c r="I35" s="66"/>
    </row>
    <row r="36" spans="1:17">
      <c r="A36" s="246" t="s">
        <v>121</v>
      </c>
      <c r="C36" s="23"/>
      <c r="D36" s="22"/>
      <c r="E36" s="23"/>
      <c r="F36" s="23"/>
      <c r="I36" s="23"/>
    </row>
    <row r="37" spans="1:17">
      <c r="M37" s="184"/>
      <c r="Q37" s="184"/>
    </row>
    <row r="38" spans="1:17">
      <c r="L38" s="165"/>
    </row>
    <row r="39" spans="1:17" ht="13.5" hidden="1">
      <c r="C39" s="278" t="s">
        <v>106</v>
      </c>
      <c r="D39" s="279"/>
      <c r="E39" s="280"/>
      <c r="G39" s="278" t="s">
        <v>107</v>
      </c>
      <c r="H39" s="279"/>
      <c r="I39" s="279"/>
      <c r="J39" s="280"/>
    </row>
    <row r="40" spans="1:17" hidden="1">
      <c r="C40" s="265" t="s">
        <v>95</v>
      </c>
      <c r="D40" s="266"/>
      <c r="E40" s="267">
        <f>+'[2]GM-WeeklyChnge'!C38</f>
        <v>-4872.4930000000004</v>
      </c>
      <c r="G40" s="265" t="s">
        <v>96</v>
      </c>
      <c r="H40" s="266"/>
      <c r="I40" s="268">
        <f>+'[2]Expense Weekly Change'!E22+'[2]Expense Weekly Change'!E21</f>
        <v>488</v>
      </c>
      <c r="J40" s="283"/>
    </row>
    <row r="41" spans="1:17" hidden="1">
      <c r="C41" s="265" t="s">
        <v>97</v>
      </c>
      <c r="D41" s="266"/>
      <c r="E41" s="267">
        <f>+'[2]GM-WeeklyChnge'!D38</f>
        <v>-132.97831000000002</v>
      </c>
      <c r="G41" s="265" t="s">
        <v>98</v>
      </c>
      <c r="H41" s="266"/>
      <c r="I41" s="268">
        <f>+'[1]Expense Weekly Change'!E9+'[1]Expense Weekly Change'!E10+'[1]Expense Weekly Change'!E11+'[1]Expense Weekly Change'!E12+'[1]Expense Weekly Change'!E13+'[1]Expense Weekly Change'!E14+'[1]Expense Weekly Change'!E15+'[1]Expense Weekly Change'!E16+'[1]Expense Weekly Change'!E20</f>
        <v>4953</v>
      </c>
      <c r="J41" s="269"/>
    </row>
    <row r="42" spans="1:17" hidden="1">
      <c r="C42" s="265" t="s">
        <v>99</v>
      </c>
      <c r="D42" s="266"/>
      <c r="E42" s="267">
        <f>+'[2]GM-WeeklyChnge'!E38+'[2]GM-WeeklyChnge'!F38+'[2]GM-WeeklyChnge'!G38</f>
        <v>3440.893</v>
      </c>
      <c r="G42" s="265" t="s">
        <v>27</v>
      </c>
      <c r="H42" s="266"/>
      <c r="I42" s="268">
        <f>-G32+'[2]QTD Mgmt Summary'!$G$37</f>
        <v>-9400</v>
      </c>
      <c r="J42" s="269"/>
    </row>
    <row r="43" spans="1:17" hidden="1">
      <c r="C43" s="270"/>
      <c r="D43" s="271"/>
      <c r="E43" s="272"/>
      <c r="G43" s="270"/>
      <c r="H43" s="271"/>
      <c r="I43" s="273"/>
      <c r="J43" s="274"/>
    </row>
    <row r="44" spans="1:17" ht="13.5" hidden="1">
      <c r="C44" s="275" t="s">
        <v>100</v>
      </c>
      <c r="D44" s="276"/>
      <c r="E44" s="277">
        <f>SUM(E40:E43)</f>
        <v>-1564.5783100000008</v>
      </c>
      <c r="G44" s="275" t="s">
        <v>100</v>
      </c>
      <c r="H44" s="276"/>
      <c r="I44" s="281">
        <f>SUM(I40:I43)</f>
        <v>-3959</v>
      </c>
      <c r="J44" s="282"/>
    </row>
    <row r="45" spans="1:17" hidden="1"/>
    <row r="46" spans="1:17" ht="13.5" hidden="1">
      <c r="C46" s="278" t="s">
        <v>104</v>
      </c>
      <c r="D46" s="279"/>
      <c r="E46" s="280"/>
      <c r="G46" s="278" t="s">
        <v>105</v>
      </c>
      <c r="H46" s="279"/>
      <c r="I46" s="279"/>
      <c r="J46" s="280"/>
    </row>
    <row r="47" spans="1:17" hidden="1">
      <c r="C47" s="265" t="s">
        <v>101</v>
      </c>
      <c r="D47" s="266"/>
      <c r="E47" s="267">
        <f>+[2]GrossMargin!$I$40</f>
        <v>0</v>
      </c>
      <c r="G47" s="265" t="s">
        <v>101</v>
      </c>
      <c r="H47" s="266"/>
      <c r="I47" s="268" t="str">
        <f>+'[2]QTD Mgmt Summary'!$G$39</f>
        <v>Operating Expense</v>
      </c>
      <c r="J47" s="283"/>
    </row>
    <row r="48" spans="1:17" hidden="1">
      <c r="C48" s="265" t="s">
        <v>102</v>
      </c>
      <c r="D48" s="266"/>
      <c r="E48" s="267">
        <f>+GrossMargin!I34</f>
        <v>-81357.72163</v>
      </c>
      <c r="G48" s="265" t="s">
        <v>102</v>
      </c>
      <c r="H48" s="266"/>
      <c r="I48" s="268">
        <f>+G34</f>
        <v>66980.430999999982</v>
      </c>
      <c r="J48" s="269"/>
    </row>
    <row r="49" spans="3:10" hidden="1">
      <c r="C49" s="265"/>
      <c r="D49" s="266"/>
      <c r="E49" s="267"/>
      <c r="G49" s="265"/>
      <c r="H49" s="266"/>
      <c r="I49" s="268"/>
      <c r="J49" s="269"/>
    </row>
    <row r="50" spans="3:10" ht="13.5" hidden="1">
      <c r="C50" s="275" t="s">
        <v>103</v>
      </c>
      <c r="D50" s="276"/>
      <c r="E50" s="277">
        <f>+E48-E47</f>
        <v>-81357.72163</v>
      </c>
      <c r="G50" s="275" t="s">
        <v>103</v>
      </c>
      <c r="H50" s="276"/>
      <c r="I50" s="281" t="e">
        <f>+I48-I47</f>
        <v>#VALUE!</v>
      </c>
      <c r="J50" s="282"/>
    </row>
    <row r="51" spans="3:10">
      <c r="I51" s="165"/>
    </row>
  </sheetData>
  <mergeCells count="2">
    <mergeCell ref="K6:M6"/>
    <mergeCell ref="O6:Q6"/>
  </mergeCells>
  <phoneticPr fontId="26" type="noConversion"/>
  <printOptions horizontalCentered="1"/>
  <pageMargins left="0.25" right="0.25" top="0.5" bottom="0.5" header="0.17" footer="0.26"/>
  <pageSetup scale="96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4"/>
  <sheetViews>
    <sheetView zoomScaleNormal="100" workbookViewId="0">
      <selection activeCell="J39" sqref="J39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2" width="7.7109375" style="14" hidden="1" customWidth="1"/>
    <col min="13" max="14" width="7.7109375" style="14" customWidth="1"/>
    <col min="15" max="15" width="8.28515625" style="14" bestFit="1" customWidth="1"/>
    <col min="16" max="16" width="0.85546875" style="14" customWidth="1"/>
    <col min="17" max="17" width="9.140625" style="14"/>
    <col min="18" max="19" width="7.7109375" style="14" hidden="1" customWidth="1"/>
    <col min="20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20" t="s">
        <v>69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60"/>
    </row>
    <row r="2" spans="1:24" ht="16.5">
      <c r="A2" s="321" t="s">
        <v>111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  <c r="S2" s="321"/>
      <c r="T2" s="321"/>
      <c r="U2" s="321"/>
      <c r="V2" s="321"/>
      <c r="W2" s="61"/>
    </row>
    <row r="3" spans="1:24" ht="13.5">
      <c r="A3" s="322" t="s">
        <v>137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62"/>
    </row>
    <row r="4" spans="1:24" ht="3" customHeight="1"/>
    <row r="5" spans="1:24" s="34" customFormat="1" ht="15" customHeight="1">
      <c r="A5" s="105"/>
      <c r="C5" s="314" t="s">
        <v>8</v>
      </c>
      <c r="D5" s="315"/>
      <c r="E5" s="316"/>
      <c r="G5" s="314" t="s">
        <v>40</v>
      </c>
      <c r="H5" s="315"/>
      <c r="I5" s="315"/>
      <c r="J5" s="315"/>
      <c r="K5" s="315"/>
      <c r="L5" s="315"/>
      <c r="M5" s="315"/>
      <c r="N5" s="315"/>
      <c r="O5" s="316"/>
      <c r="Q5" s="314" t="s">
        <v>35</v>
      </c>
      <c r="R5" s="315"/>
      <c r="S5" s="315"/>
      <c r="T5" s="315"/>
      <c r="U5" s="315"/>
      <c r="V5" s="316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119</v>
      </c>
      <c r="B9" s="35"/>
      <c r="C9" s="132">
        <f>+GrossMargin!M10</f>
        <v>32500</v>
      </c>
      <c r="D9" s="36">
        <f>+Expenses!E9+AllocExp!L10</f>
        <v>16973.484</v>
      </c>
      <c r="E9" s="134">
        <f t="shared" ref="E9:E16" si="0">C9-D9</f>
        <v>15526.516</v>
      </c>
      <c r="F9" s="36"/>
      <c r="G9" s="132">
        <f>+GrossMargin!I10</f>
        <v>-72938</v>
      </c>
      <c r="H9" s="36">
        <f>GrossMargin!J10</f>
        <v>0</v>
      </c>
      <c r="I9" s="36">
        <f>GrossMargin!K10</f>
        <v>0</v>
      </c>
      <c r="J9" s="135">
        <f>SUM(G9:I9)</f>
        <v>-72938</v>
      </c>
      <c r="K9" s="136"/>
      <c r="L9" s="138">
        <f>'[2]Alloc Exp'!D10</f>
        <v>0</v>
      </c>
      <c r="M9" s="139">
        <f>+Expenses!D9</f>
        <v>7194.3119999999999</v>
      </c>
      <c r="N9" s="139">
        <f>+AllocExp!K10</f>
        <v>9979.1720000000005</v>
      </c>
      <c r="O9" s="135">
        <f>J9-K9-M9-N9-L9</f>
        <v>-90111.484000000011</v>
      </c>
      <c r="P9" s="37"/>
      <c r="Q9" s="132">
        <f t="shared" ref="Q9:Q16" si="1">+J9-C9</f>
        <v>-105438</v>
      </c>
      <c r="R9" s="36"/>
      <c r="S9" s="36">
        <f>'[2]Alloc Exp'!F10</f>
        <v>0</v>
      </c>
      <c r="T9" s="36">
        <f>+Expenses!F9</f>
        <v>-200</v>
      </c>
      <c r="U9" s="36">
        <f>+AllocExp!M10</f>
        <v>0</v>
      </c>
      <c r="V9" s="134">
        <f t="shared" ref="V9:V16" si="2">ROUND(SUM(Q9:U9),0)</f>
        <v>-105638</v>
      </c>
      <c r="W9" s="32"/>
      <c r="X9" s="165"/>
    </row>
    <row r="10" spans="1:24" ht="13.5" customHeight="1">
      <c r="A10" s="106" t="s">
        <v>133</v>
      </c>
      <c r="B10" s="35"/>
      <c r="C10" s="132">
        <f>+GrossMargin!M11</f>
        <v>16250</v>
      </c>
      <c r="D10" s="36">
        <f>+Expenses!E10+AllocExp!L11</f>
        <v>8803.0159999999996</v>
      </c>
      <c r="E10" s="134">
        <f t="shared" si="0"/>
        <v>7446.9840000000004</v>
      </c>
      <c r="F10" s="36"/>
      <c r="G10" s="132">
        <f>GrossMargin!I11</f>
        <v>-2616.0929500000002</v>
      </c>
      <c r="H10" s="36">
        <f>GrossMargin!J11</f>
        <v>0</v>
      </c>
      <c r="I10" s="36">
        <f>GrossMargin!K11</f>
        <v>0</v>
      </c>
      <c r="J10" s="135">
        <f t="shared" ref="J10:J20" si="3">SUM(G10:I10)</f>
        <v>-2616.0929500000002</v>
      </c>
      <c r="K10" s="136"/>
      <c r="L10" s="138">
        <f>'[2]Alloc Exp'!D11</f>
        <v>0</v>
      </c>
      <c r="M10" s="139">
        <f>+Expenses!D10</f>
        <v>5212.9960000000001</v>
      </c>
      <c r="N10" s="139">
        <f>+AllocExp!K11</f>
        <v>3790.0200000000004</v>
      </c>
      <c r="O10" s="135">
        <f t="shared" ref="O10:O20" si="4">J10-K10-M10-N10-L10</f>
        <v>-11619.108950000002</v>
      </c>
      <c r="P10" s="37"/>
      <c r="Q10" s="132">
        <f t="shared" si="1"/>
        <v>-18866.092949999998</v>
      </c>
      <c r="R10" s="36"/>
      <c r="S10" s="36">
        <f>'[2]Alloc Exp'!F11</f>
        <v>0</v>
      </c>
      <c r="T10" s="36">
        <f>+Expenses!F10</f>
        <v>-200</v>
      </c>
      <c r="U10" s="36">
        <f>+AllocExp!M11</f>
        <v>0</v>
      </c>
      <c r="V10" s="134">
        <f t="shared" si="2"/>
        <v>-19066</v>
      </c>
      <c r="W10" s="32"/>
    </row>
    <row r="11" spans="1:24" ht="13.5" customHeight="1">
      <c r="A11" s="106" t="s">
        <v>122</v>
      </c>
      <c r="B11" s="35"/>
      <c r="C11" s="132">
        <f>+GrossMargin!M12</f>
        <v>2500</v>
      </c>
      <c r="D11" s="36">
        <f>+Expenses!E11+AllocExp!L12</f>
        <v>725</v>
      </c>
      <c r="E11" s="134">
        <f>C11-D11</f>
        <v>1775</v>
      </c>
      <c r="F11" s="36"/>
      <c r="G11" s="132">
        <f>GrossMargin!I12</f>
        <v>-2622</v>
      </c>
      <c r="H11" s="36">
        <f>GrossMargin!J12</f>
        <v>0</v>
      </c>
      <c r="I11" s="36">
        <f>GrossMargin!K12</f>
        <v>0</v>
      </c>
      <c r="J11" s="135">
        <f t="shared" si="3"/>
        <v>-2622</v>
      </c>
      <c r="K11" s="136"/>
      <c r="L11" s="138">
        <f>'[2]Alloc Exp'!D13</f>
        <v>0</v>
      </c>
      <c r="M11" s="139">
        <f>+Expenses!D11</f>
        <v>348</v>
      </c>
      <c r="N11" s="139">
        <f>+AllocExp!K12</f>
        <v>377</v>
      </c>
      <c r="O11" s="135">
        <f t="shared" si="4"/>
        <v>-3347</v>
      </c>
      <c r="P11" s="37"/>
      <c r="Q11" s="132">
        <f>+J11-C11</f>
        <v>-5122</v>
      </c>
      <c r="R11" s="36"/>
      <c r="S11" s="36">
        <f>'[2]Alloc Exp'!F13</f>
        <v>0</v>
      </c>
      <c r="T11" s="36">
        <f>+Expenses!F11</f>
        <v>0</v>
      </c>
      <c r="U11" s="36">
        <f>+AllocExp!M12</f>
        <v>0</v>
      </c>
      <c r="V11" s="134">
        <f>ROUND(SUM(Q11:U11),0)</f>
        <v>-5122</v>
      </c>
      <c r="W11" s="32"/>
    </row>
    <row r="12" spans="1:24" ht="13.5" hidden="1" customHeight="1">
      <c r="A12" s="106" t="s">
        <v>43</v>
      </c>
      <c r="B12" s="35"/>
      <c r="C12" s="132">
        <f>+GrossMargin!M13</f>
        <v>0</v>
      </c>
      <c r="D12" s="36">
        <f>+Expenses!E12+AllocExp!L13</f>
        <v>0</v>
      </c>
      <c r="E12" s="134">
        <f t="shared" si="0"/>
        <v>0</v>
      </c>
      <c r="F12" s="36"/>
      <c r="G12" s="132">
        <f>GrossMargin!I13</f>
        <v>0</v>
      </c>
      <c r="H12" s="36">
        <f>GrossMargin!J13</f>
        <v>0</v>
      </c>
      <c r="I12" s="36">
        <f>GrossMargin!K13</f>
        <v>0</v>
      </c>
      <c r="J12" s="135">
        <f t="shared" si="3"/>
        <v>0</v>
      </c>
      <c r="K12" s="136"/>
      <c r="L12" s="138">
        <f>'[2]Alloc Exp'!D14</f>
        <v>0</v>
      </c>
      <c r="M12" s="139">
        <f>+Expenses!D12</f>
        <v>0</v>
      </c>
      <c r="N12" s="139">
        <f>+AllocExp!K13</f>
        <v>0</v>
      </c>
      <c r="O12" s="135">
        <f t="shared" si="4"/>
        <v>0</v>
      </c>
      <c r="P12" s="37"/>
      <c r="Q12" s="132">
        <f t="shared" si="1"/>
        <v>0</v>
      </c>
      <c r="R12" s="36"/>
      <c r="S12" s="36">
        <f>'[2]Alloc Exp'!F13</f>
        <v>0</v>
      </c>
      <c r="T12" s="36">
        <f>+Expenses!F12</f>
        <v>0</v>
      </c>
      <c r="U12" s="36">
        <f>+AllocExp!M13</f>
        <v>0</v>
      </c>
      <c r="V12" s="134">
        <f t="shared" si="2"/>
        <v>0</v>
      </c>
      <c r="W12" s="32"/>
    </row>
    <row r="13" spans="1:24" ht="13.5" customHeight="1">
      <c r="A13" s="106" t="s">
        <v>63</v>
      </c>
      <c r="B13" s="35"/>
      <c r="C13" s="132">
        <f>+GrossMargin!M14</f>
        <v>7078.8189999999995</v>
      </c>
      <c r="D13" s="36">
        <f>+Expenses!E13+AllocExp!L14</f>
        <v>3240.6319999999996</v>
      </c>
      <c r="E13" s="134">
        <f t="shared" si="0"/>
        <v>3838.1869999999999</v>
      </c>
      <c r="F13" s="36"/>
      <c r="G13" s="132">
        <f>GrossMargin!I14</f>
        <v>1576</v>
      </c>
      <c r="H13" s="36">
        <f>GrossMargin!J14</f>
        <v>0</v>
      </c>
      <c r="I13" s="36">
        <f>GrossMargin!K14</f>
        <v>0</v>
      </c>
      <c r="J13" s="135">
        <f t="shared" si="3"/>
        <v>1576</v>
      </c>
      <c r="K13" s="136"/>
      <c r="L13" s="138">
        <f>'[2]Alloc Exp'!D15</f>
        <v>0</v>
      </c>
      <c r="M13" s="139">
        <f>+Expenses!D13</f>
        <v>1463.0070000000001</v>
      </c>
      <c r="N13" s="139">
        <f>+AllocExp!K14</f>
        <v>1777.6249999999998</v>
      </c>
      <c r="O13" s="135">
        <f t="shared" si="4"/>
        <v>-1664.6319999999998</v>
      </c>
      <c r="P13" s="37"/>
      <c r="Q13" s="132">
        <f t="shared" si="1"/>
        <v>-5502.8189999999995</v>
      </c>
      <c r="R13" s="36"/>
      <c r="S13" s="36">
        <f>'[2]Alloc Exp'!F14</f>
        <v>0</v>
      </c>
      <c r="T13" s="36">
        <f>+Expenses!F13</f>
        <v>0</v>
      </c>
      <c r="U13" s="36">
        <f>+AllocExp!M14</f>
        <v>0</v>
      </c>
      <c r="V13" s="134">
        <f t="shared" si="2"/>
        <v>-5503</v>
      </c>
      <c r="W13" s="32"/>
    </row>
    <row r="14" spans="1:24" ht="13.5" customHeight="1">
      <c r="A14" s="106" t="s">
        <v>70</v>
      </c>
      <c r="B14" s="35"/>
      <c r="C14" s="132">
        <f>+GrossMargin!M15</f>
        <v>11875</v>
      </c>
      <c r="D14" s="36">
        <f>+Expenses!E14+AllocExp!L15</f>
        <v>3259.8140000000003</v>
      </c>
      <c r="E14" s="134">
        <f t="shared" si="0"/>
        <v>8615.1859999999997</v>
      </c>
      <c r="F14" s="36"/>
      <c r="G14" s="132">
        <f>GrossMargin!I15</f>
        <v>907</v>
      </c>
      <c r="H14" s="36">
        <f>GrossMargin!J15</f>
        <v>0</v>
      </c>
      <c r="I14" s="36">
        <f>GrossMargin!K15</f>
        <v>0</v>
      </c>
      <c r="J14" s="135">
        <f t="shared" si="3"/>
        <v>907</v>
      </c>
      <c r="K14" s="136"/>
      <c r="L14" s="138">
        <f>'[2]Alloc Exp'!D16</f>
        <v>0</v>
      </c>
      <c r="M14" s="139">
        <f>+Expenses!D14</f>
        <v>2304.1210000000001</v>
      </c>
      <c r="N14" s="139">
        <f>+AllocExp!K15</f>
        <v>955.69299999999998</v>
      </c>
      <c r="O14" s="135">
        <f t="shared" si="4"/>
        <v>-2352.8140000000003</v>
      </c>
      <c r="P14" s="37"/>
      <c r="Q14" s="132">
        <f t="shared" si="1"/>
        <v>-10968</v>
      </c>
      <c r="R14" s="36"/>
      <c r="S14" s="36">
        <f>'[2]Alloc Exp'!F15</f>
        <v>0</v>
      </c>
      <c r="T14" s="36">
        <f>+Expenses!F14</f>
        <v>0</v>
      </c>
      <c r="U14" s="36">
        <f>+AllocExp!M15</f>
        <v>0</v>
      </c>
      <c r="V14" s="134">
        <f t="shared" si="2"/>
        <v>-10968</v>
      </c>
      <c r="W14" s="32"/>
    </row>
    <row r="15" spans="1:24" s="64" customFormat="1" ht="13.5" customHeight="1">
      <c r="A15" s="166" t="s">
        <v>49</v>
      </c>
      <c r="B15" s="177"/>
      <c r="C15" s="138">
        <f>+GrossMargin!M22</f>
        <v>27500</v>
      </c>
      <c r="D15" s="36">
        <f>+Expenses!E15+AllocExp!L16</f>
        <v>6013.2449999999999</v>
      </c>
      <c r="E15" s="163">
        <f t="shared" si="0"/>
        <v>21486.755000000001</v>
      </c>
      <c r="F15" s="139"/>
      <c r="G15" s="132">
        <f>+GrossMargin!I22</f>
        <v>-4774</v>
      </c>
      <c r="H15" s="36">
        <f>GrossMargin!J16</f>
        <v>0</v>
      </c>
      <c r="I15" s="36">
        <f>GrossMargin!K16</f>
        <v>0</v>
      </c>
      <c r="J15" s="135">
        <f t="shared" si="3"/>
        <v>-4774</v>
      </c>
      <c r="K15" s="136"/>
      <c r="L15" s="138">
        <f>'[2]Alloc Exp'!D17</f>
        <v>0</v>
      </c>
      <c r="M15" s="139">
        <f>+Expenses!D15</f>
        <v>3742.614</v>
      </c>
      <c r="N15" s="139">
        <f>+AllocExp!K16</f>
        <v>2270.6309999999999</v>
      </c>
      <c r="O15" s="135">
        <f t="shared" si="4"/>
        <v>-10787.244999999999</v>
      </c>
      <c r="P15" s="178"/>
      <c r="Q15" s="138">
        <f t="shared" si="1"/>
        <v>-32274</v>
      </c>
      <c r="R15" s="139"/>
      <c r="S15" s="139">
        <f>+'[2]Alloc Exp'!F16</f>
        <v>0</v>
      </c>
      <c r="T15" s="36">
        <f>+Expenses!F15</f>
        <v>0</v>
      </c>
      <c r="U15" s="36">
        <f>+AllocExp!M16</f>
        <v>0</v>
      </c>
      <c r="V15" s="163">
        <f t="shared" si="2"/>
        <v>-32274</v>
      </c>
      <c r="W15" s="63"/>
      <c r="X15" s="168"/>
    </row>
    <row r="16" spans="1:24" s="64" customFormat="1" ht="13.5" customHeight="1">
      <c r="A16" s="166" t="s">
        <v>127</v>
      </c>
      <c r="B16" s="177"/>
      <c r="C16" s="138">
        <f>+GrossMargin!M23</f>
        <v>1311</v>
      </c>
      <c r="D16" s="36">
        <f>+Expenses!E16+AllocExp!L17</f>
        <v>4934.7109999999993</v>
      </c>
      <c r="E16" s="163">
        <f t="shared" si="0"/>
        <v>-3623.7109999999993</v>
      </c>
      <c r="F16" s="139"/>
      <c r="G16" s="132">
        <f>+GrossMargin!I23</f>
        <v>104.37132</v>
      </c>
      <c r="H16" s="36">
        <f>GrossMargin!J17</f>
        <v>0</v>
      </c>
      <c r="I16" s="36">
        <f>GrossMargin!K17</f>
        <v>0</v>
      </c>
      <c r="J16" s="135">
        <f t="shared" si="3"/>
        <v>104.37132</v>
      </c>
      <c r="K16" s="136"/>
      <c r="L16" s="138">
        <f>'[2]Alloc Exp'!D18</f>
        <v>0</v>
      </c>
      <c r="M16" s="139">
        <f>+Expenses!D16</f>
        <v>4357.2929999999997</v>
      </c>
      <c r="N16" s="139">
        <f>+AllocExp!K17</f>
        <v>577.41800000000001</v>
      </c>
      <c r="O16" s="135">
        <f t="shared" si="4"/>
        <v>-4830.3396799999991</v>
      </c>
      <c r="P16" s="178"/>
      <c r="Q16" s="138">
        <f t="shared" si="1"/>
        <v>-1206.62868</v>
      </c>
      <c r="R16" s="139"/>
      <c r="S16" s="139">
        <f>+'[2]Alloc Exp'!F17</f>
        <v>0</v>
      </c>
      <c r="T16" s="36">
        <f>+Expenses!F16</f>
        <v>0</v>
      </c>
      <c r="U16" s="36">
        <f>+AllocExp!M17</f>
        <v>0</v>
      </c>
      <c r="V16" s="163">
        <f t="shared" si="2"/>
        <v>-1207</v>
      </c>
      <c r="W16" s="63"/>
      <c r="X16" s="168"/>
    </row>
    <row r="17" spans="1:24" s="64" customFormat="1" ht="13.5" customHeight="1">
      <c r="A17" s="166" t="s">
        <v>87</v>
      </c>
      <c r="B17" s="177"/>
      <c r="C17" s="138">
        <f>+GrossMargin!M24</f>
        <v>5000</v>
      </c>
      <c r="D17" s="36">
        <f>+Expenses!E17+AllocExp!L18</f>
        <v>2622.096</v>
      </c>
      <c r="E17" s="163">
        <f>C17-D17</f>
        <v>2377.904</v>
      </c>
      <c r="F17" s="139"/>
      <c r="G17" s="132">
        <f>+GrossMargin!I24</f>
        <v>450</v>
      </c>
      <c r="H17" s="36">
        <f>GrossMargin!J18</f>
        <v>0</v>
      </c>
      <c r="I17" s="36">
        <f>GrossMargin!K18</f>
        <v>0</v>
      </c>
      <c r="J17" s="135">
        <f t="shared" si="3"/>
        <v>450</v>
      </c>
      <c r="K17" s="136"/>
      <c r="L17" s="138">
        <f>'[2]Alloc Exp'!D19</f>
        <v>0</v>
      </c>
      <c r="M17" s="139">
        <f>+Expenses!D17</f>
        <v>2930.25</v>
      </c>
      <c r="N17" s="139">
        <f>+AllocExp!K18</f>
        <v>1191.846</v>
      </c>
      <c r="O17" s="135">
        <f t="shared" si="4"/>
        <v>-3672.096</v>
      </c>
      <c r="P17" s="178"/>
      <c r="Q17" s="138">
        <f>+J17-C17</f>
        <v>-4550</v>
      </c>
      <c r="R17" s="139"/>
      <c r="S17" s="139">
        <f>+'[2]Alloc Exp'!F18</f>
        <v>0</v>
      </c>
      <c r="T17" s="36">
        <f>+Expenses!F17</f>
        <v>-1500</v>
      </c>
      <c r="U17" s="36">
        <f>+AllocExp!M18</f>
        <v>0</v>
      </c>
      <c r="V17" s="163">
        <f>ROUND(SUM(Q17:U17),0)</f>
        <v>-6050</v>
      </c>
      <c r="W17" s="63"/>
      <c r="X17" s="168"/>
    </row>
    <row r="18" spans="1:24" s="64" customFormat="1" ht="13.5" customHeight="1">
      <c r="A18" s="166" t="s">
        <v>89</v>
      </c>
      <c r="B18" s="177"/>
      <c r="C18" s="138">
        <f>+GrossMargin!M25</f>
        <v>1372.4989999999998</v>
      </c>
      <c r="D18" s="36">
        <f>+Expenses!E18+AllocExp!L19</f>
        <v>875.346</v>
      </c>
      <c r="E18" s="163">
        <f>C18-D18</f>
        <v>497.15299999999979</v>
      </c>
      <c r="F18" s="139"/>
      <c r="G18" s="132">
        <f>+GrossMargin!I25</f>
        <v>-1445</v>
      </c>
      <c r="H18" s="36">
        <f>GrossMargin!J19</f>
        <v>0</v>
      </c>
      <c r="I18" s="36">
        <f>GrossMargin!K19</f>
        <v>0</v>
      </c>
      <c r="J18" s="135">
        <f t="shared" si="3"/>
        <v>-1445</v>
      </c>
      <c r="K18" s="136"/>
      <c r="L18" s="138">
        <f>'[2]Alloc Exp'!D20</f>
        <v>0</v>
      </c>
      <c r="M18" s="139">
        <f>+Expenses!D18</f>
        <v>302.28100000000001</v>
      </c>
      <c r="N18" s="139">
        <f>+AllocExp!K19</f>
        <v>573.06500000000005</v>
      </c>
      <c r="O18" s="135">
        <f t="shared" si="4"/>
        <v>-2320.346</v>
      </c>
      <c r="P18" s="178"/>
      <c r="Q18" s="138">
        <f>+J18-C18</f>
        <v>-2817.4989999999998</v>
      </c>
      <c r="R18" s="139"/>
      <c r="S18" s="139">
        <f>+'[2]Alloc Exp'!F20</f>
        <v>0</v>
      </c>
      <c r="T18" s="36">
        <f>+Expenses!F18</f>
        <v>0</v>
      </c>
      <c r="U18" s="36">
        <f>+AllocExp!M19</f>
        <v>0</v>
      </c>
      <c r="V18" s="163">
        <f>ROUND(SUM(Q18:U18),0)</f>
        <v>-2817</v>
      </c>
      <c r="W18" s="63"/>
      <c r="X18" s="168"/>
    </row>
    <row r="19" spans="1:24" ht="13.5" customHeight="1">
      <c r="A19" s="166" t="s">
        <v>118</v>
      </c>
      <c r="B19" s="35"/>
      <c r="C19" s="138">
        <f>+GrossMargin!M26</f>
        <v>0</v>
      </c>
      <c r="D19" s="36">
        <f>+Expenses!E19+AllocExp!L20</f>
        <v>766.23199999999997</v>
      </c>
      <c r="E19" s="134">
        <f>C19-D19</f>
        <v>-766.23199999999997</v>
      </c>
      <c r="F19" s="36"/>
      <c r="G19" s="132">
        <f>+GrossMargin!I26</f>
        <v>0</v>
      </c>
      <c r="H19" s="36">
        <f>GrossMargin!J20</f>
        <v>0</v>
      </c>
      <c r="I19" s="36">
        <f>GrossMargin!K20</f>
        <v>0</v>
      </c>
      <c r="J19" s="135">
        <f t="shared" si="3"/>
        <v>0</v>
      </c>
      <c r="K19" s="136"/>
      <c r="L19" s="138">
        <f>'[2]Alloc Exp'!D21</f>
        <v>0</v>
      </c>
      <c r="M19" s="139">
        <f>+Expenses!D19</f>
        <v>695.86599999999999</v>
      </c>
      <c r="N19" s="139">
        <f>+AllocExp!K20</f>
        <v>70.366</v>
      </c>
      <c r="O19" s="135">
        <f t="shared" si="4"/>
        <v>-766.23199999999997</v>
      </c>
      <c r="P19" s="37"/>
      <c r="Q19" s="132">
        <f>+J19-C19</f>
        <v>0</v>
      </c>
      <c r="R19" s="36"/>
      <c r="S19" s="36">
        <v>0</v>
      </c>
      <c r="T19" s="36">
        <f>+Expenses!F19</f>
        <v>0</v>
      </c>
      <c r="U19" s="36">
        <f>+AllocExp!M20</f>
        <v>0</v>
      </c>
      <c r="V19" s="134">
        <f>ROUND(SUM(Q19:U19),0)</f>
        <v>0</v>
      </c>
      <c r="W19" s="32"/>
    </row>
    <row r="20" spans="1:24" ht="13.5" customHeight="1">
      <c r="A20" s="106" t="s">
        <v>2</v>
      </c>
      <c r="B20" s="35"/>
      <c r="C20" s="138">
        <f>+GrossMargin!M27</f>
        <v>0</v>
      </c>
      <c r="D20" s="36">
        <f>+Expenses!E20+AllocExp!L21</f>
        <v>1011.224</v>
      </c>
      <c r="E20" s="134">
        <f>C20-D20</f>
        <v>-1011.224</v>
      </c>
      <c r="F20" s="36"/>
      <c r="G20" s="132">
        <f>+GrossMargin!I27</f>
        <v>0</v>
      </c>
      <c r="H20" s="36">
        <f>GrossMargin!J21</f>
        <v>0</v>
      </c>
      <c r="I20" s="36">
        <f>GrossMargin!K21</f>
        <v>0</v>
      </c>
      <c r="J20" s="135">
        <f t="shared" si="3"/>
        <v>0</v>
      </c>
      <c r="K20" s="136"/>
      <c r="L20" s="138">
        <f>'[2]Alloc Exp'!D22</f>
        <v>0</v>
      </c>
      <c r="M20" s="139">
        <f>+Expenses!D20</f>
        <v>787.2</v>
      </c>
      <c r="N20" s="139">
        <f>+AllocExp!K21</f>
        <v>474.024</v>
      </c>
      <c r="O20" s="135">
        <f t="shared" si="4"/>
        <v>-1261.2240000000002</v>
      </c>
      <c r="P20" s="37"/>
      <c r="Q20" s="132">
        <f>+J20-C20</f>
        <v>0</v>
      </c>
      <c r="R20" s="36"/>
      <c r="S20" s="36">
        <f>'[2]Alloc Exp'!F22</f>
        <v>0</v>
      </c>
      <c r="T20" s="36">
        <f>+Expenses!F20</f>
        <v>-250</v>
      </c>
      <c r="U20" s="36">
        <f>+AllocExp!M21</f>
        <v>0</v>
      </c>
      <c r="V20" s="134">
        <f>ROUND(SUM(Q20:U20),0)</f>
        <v>-250</v>
      </c>
      <c r="W20" s="32"/>
    </row>
    <row r="21" spans="1:24" ht="13.5" customHeight="1">
      <c r="A21" s="106" t="s">
        <v>129</v>
      </c>
      <c r="B21" s="35"/>
      <c r="C21" s="138">
        <f>+GrossMargin!M28</f>
        <v>4613.1040000000003</v>
      </c>
      <c r="D21" s="36">
        <v>0</v>
      </c>
      <c r="E21" s="134">
        <f>C21-D21</f>
        <v>4613.1040000000003</v>
      </c>
      <c r="F21" s="36"/>
      <c r="G21" s="132">
        <f>+GrossMargin!I28</f>
        <v>0</v>
      </c>
      <c r="H21" s="36"/>
      <c r="I21" s="36">
        <v>0</v>
      </c>
      <c r="J21" s="135">
        <f>SUM(G21:I21)</f>
        <v>0</v>
      </c>
      <c r="K21" s="136"/>
      <c r="L21" s="132"/>
      <c r="M21" s="36">
        <v>0</v>
      </c>
      <c r="N21" s="36">
        <v>0</v>
      </c>
      <c r="O21" s="135">
        <f>J21-K21-M21-N21-L21</f>
        <v>0</v>
      </c>
      <c r="P21" s="37"/>
      <c r="Q21" s="132">
        <f>+J21-C21</f>
        <v>-4613.1040000000003</v>
      </c>
      <c r="R21" s="36"/>
      <c r="S21" s="36">
        <v>0</v>
      </c>
      <c r="T21" s="36">
        <f>-T26</f>
        <v>0</v>
      </c>
      <c r="U21" s="36">
        <f>+AllocExp!M27</f>
        <v>0</v>
      </c>
      <c r="V21" s="134">
        <f>ROUND(SUM(Q21:U21),0)</f>
        <v>-4613</v>
      </c>
      <c r="W21" s="32"/>
    </row>
    <row r="22" spans="1:24" ht="3" customHeight="1">
      <c r="A22" s="106"/>
      <c r="B22" s="35"/>
      <c r="C22" s="132"/>
      <c r="D22" s="36"/>
      <c r="E22" s="134"/>
      <c r="F22" s="36"/>
      <c r="G22" s="132"/>
      <c r="H22" s="36"/>
      <c r="I22" s="36"/>
      <c r="J22" s="135"/>
      <c r="K22" s="136"/>
      <c r="L22" s="133"/>
      <c r="M22" s="36"/>
      <c r="N22" s="36"/>
      <c r="O22" s="135"/>
      <c r="P22" s="37"/>
      <c r="Q22" s="132"/>
      <c r="R22" s="36"/>
      <c r="S22" s="36"/>
      <c r="T22" s="36"/>
      <c r="U22" s="36"/>
      <c r="V22" s="134"/>
      <c r="W22" s="32"/>
    </row>
    <row r="23" spans="1:24" s="34" customFormat="1" ht="12" customHeight="1">
      <c r="A23" s="38" t="s">
        <v>3</v>
      </c>
      <c r="B23" s="35"/>
      <c r="C23" s="43">
        <f>SUM(C9:C22)</f>
        <v>110000.42200000001</v>
      </c>
      <c r="D23" s="44">
        <f>SUM(D9:D22)</f>
        <v>49224.800000000003</v>
      </c>
      <c r="E23" s="45">
        <f>SUM(E9:E22)</f>
        <v>60775.621999999996</v>
      </c>
      <c r="F23" s="36"/>
      <c r="G23" s="43">
        <f t="shared" ref="G23:N23" si="5">SUM(G9:G22)</f>
        <v>-81357.72163</v>
      </c>
      <c r="H23" s="44">
        <f t="shared" si="5"/>
        <v>0</v>
      </c>
      <c r="I23" s="44">
        <f t="shared" si="5"/>
        <v>0</v>
      </c>
      <c r="J23" s="46">
        <f t="shared" si="5"/>
        <v>-81357.72163</v>
      </c>
      <c r="K23" s="44">
        <f t="shared" si="5"/>
        <v>0</v>
      </c>
      <c r="L23" s="43">
        <f t="shared" si="5"/>
        <v>0</v>
      </c>
      <c r="M23" s="44">
        <f t="shared" si="5"/>
        <v>29337.94</v>
      </c>
      <c r="N23" s="44">
        <f t="shared" si="5"/>
        <v>22036.860000000008</v>
      </c>
      <c r="O23" s="46">
        <f>SUM(O9:O22)</f>
        <v>-132732.52163</v>
      </c>
      <c r="P23" s="37"/>
      <c r="Q23" s="43">
        <f t="shared" ref="Q23:V23" si="6">SUM(Q9:Q22)</f>
        <v>-191358.14362999998</v>
      </c>
      <c r="R23" s="44">
        <f t="shared" si="6"/>
        <v>0</v>
      </c>
      <c r="S23" s="44">
        <f t="shared" si="6"/>
        <v>0</v>
      </c>
      <c r="T23" s="44">
        <f t="shared" si="6"/>
        <v>-2150</v>
      </c>
      <c r="U23" s="44">
        <f t="shared" si="6"/>
        <v>0</v>
      </c>
      <c r="V23" s="45">
        <f t="shared" si="6"/>
        <v>-193508</v>
      </c>
      <c r="W23" s="32"/>
    </row>
    <row r="24" spans="1:24" ht="3" customHeight="1">
      <c r="A24" s="106"/>
      <c r="B24" s="35"/>
      <c r="C24" s="132"/>
      <c r="D24" s="36"/>
      <c r="E24" s="134"/>
      <c r="F24" s="36"/>
      <c r="G24" s="132"/>
      <c r="H24" s="36"/>
      <c r="I24" s="36"/>
      <c r="J24" s="135"/>
      <c r="K24" s="136"/>
      <c r="L24" s="133"/>
      <c r="M24" s="36"/>
      <c r="N24" s="36"/>
      <c r="O24" s="135"/>
      <c r="P24" s="37"/>
      <c r="Q24" s="132"/>
      <c r="R24" s="36"/>
      <c r="S24" s="36"/>
      <c r="T24" s="36"/>
      <c r="U24" s="36"/>
      <c r="V24" s="134"/>
      <c r="W24" s="32"/>
    </row>
    <row r="25" spans="1:24" ht="13.5" customHeight="1">
      <c r="A25" s="106" t="s">
        <v>132</v>
      </c>
      <c r="B25" s="35"/>
      <c r="C25" s="132">
        <v>0</v>
      </c>
      <c r="D25" s="36">
        <f>+Expenses!E24</f>
        <v>28242.490999999998</v>
      </c>
      <c r="E25" s="134">
        <f>C25-D25</f>
        <v>-28242.490999999998</v>
      </c>
      <c r="F25" s="36"/>
      <c r="G25" s="132">
        <v>0</v>
      </c>
      <c r="H25" s="36">
        <v>0</v>
      </c>
      <c r="I25" s="36">
        <v>0</v>
      </c>
      <c r="J25" s="135">
        <f>SUM(G25:I25)</f>
        <v>0</v>
      </c>
      <c r="K25" s="136"/>
      <c r="L25" s="132">
        <f>'[2]Alloc Exp'!D27</f>
        <v>0</v>
      </c>
      <c r="M25" s="36">
        <f>+Expenses!D24</f>
        <v>28242.490999999998</v>
      </c>
      <c r="N25" s="36">
        <v>0</v>
      </c>
      <c r="O25" s="135">
        <f>J25-K25-M25-N25-L25</f>
        <v>-28242.490999999998</v>
      </c>
      <c r="P25" s="37"/>
      <c r="Q25" s="132">
        <f>+J25-C25</f>
        <v>0</v>
      </c>
      <c r="R25" s="36"/>
      <c r="S25" s="36">
        <v>0</v>
      </c>
      <c r="T25" s="36">
        <f>+Expenses!F24</f>
        <v>0</v>
      </c>
      <c r="U25" s="36">
        <v>0</v>
      </c>
      <c r="V25" s="134">
        <f>ROUND(SUM(Q25:U25),0)</f>
        <v>0</v>
      </c>
      <c r="W25" s="32"/>
    </row>
    <row r="26" spans="1:24" ht="13.5" customHeight="1">
      <c r="A26" s="106" t="s">
        <v>91</v>
      </c>
      <c r="B26" s="35"/>
      <c r="C26" s="132">
        <v>0</v>
      </c>
      <c r="D26" s="36">
        <f>+AllocExp!L26</f>
        <v>-22036.860000000008</v>
      </c>
      <c r="E26" s="134">
        <f>C26-D26</f>
        <v>22036.860000000008</v>
      </c>
      <c r="F26" s="36"/>
      <c r="G26" s="132">
        <v>0</v>
      </c>
      <c r="H26" s="36"/>
      <c r="I26" s="36">
        <v>0</v>
      </c>
      <c r="J26" s="135">
        <f>SUM(G26:I26)</f>
        <v>0</v>
      </c>
      <c r="K26" s="136"/>
      <c r="L26" s="132">
        <v>0</v>
      </c>
      <c r="M26" s="36">
        <v>0</v>
      </c>
      <c r="N26" s="36">
        <f>+AllocExp!K26</f>
        <v>-22036.860000000008</v>
      </c>
      <c r="O26" s="135">
        <f>J26-K26-M26-N26-L26</f>
        <v>22036.860000000008</v>
      </c>
      <c r="P26" s="37"/>
      <c r="Q26" s="132">
        <f>+J26-C26</f>
        <v>0</v>
      </c>
      <c r="R26" s="36"/>
      <c r="S26" s="36">
        <v>0</v>
      </c>
      <c r="T26" s="36">
        <f>-T25</f>
        <v>0</v>
      </c>
      <c r="U26" s="36">
        <f>+AllocExp!M26</f>
        <v>0</v>
      </c>
      <c r="V26" s="134">
        <f>ROUND(SUM(Q26:U26),0)</f>
        <v>0</v>
      </c>
      <c r="W26" s="32"/>
    </row>
    <row r="27" spans="1:24" ht="13.5" hidden="1" customHeight="1">
      <c r="A27" s="106" t="s">
        <v>10</v>
      </c>
      <c r="B27" s="35"/>
      <c r="C27" s="138">
        <f>GrossMargin!M32</f>
        <v>0</v>
      </c>
      <c r="D27" s="36">
        <v>0</v>
      </c>
      <c r="E27" s="134">
        <f>C27-D27</f>
        <v>0</v>
      </c>
      <c r="F27" s="136"/>
      <c r="G27" s="132">
        <f>+GrossMargin!I32</f>
        <v>0</v>
      </c>
      <c r="H27" s="36">
        <f>GrossMargin!J32</f>
        <v>0</v>
      </c>
      <c r="I27" s="36">
        <f>GrossMargin!K32</f>
        <v>0</v>
      </c>
      <c r="J27" s="135">
        <f>SUM(G27:I27)</f>
        <v>0</v>
      </c>
      <c r="K27" s="136"/>
      <c r="L27" s="132">
        <v>0</v>
      </c>
      <c r="M27" s="36">
        <v>0</v>
      </c>
      <c r="N27" s="36">
        <v>0</v>
      </c>
      <c r="O27" s="135">
        <f>J27-K27-M27-N27-L27</f>
        <v>0</v>
      </c>
      <c r="P27" s="37"/>
      <c r="Q27" s="132">
        <f>+J27-C27</f>
        <v>0</v>
      </c>
      <c r="R27" s="36"/>
      <c r="S27" s="36">
        <v>0</v>
      </c>
      <c r="T27" s="36">
        <f>+Expenses!F25</f>
        <v>0</v>
      </c>
      <c r="U27" s="36">
        <v>0</v>
      </c>
      <c r="V27" s="134">
        <f>ROUND(SUM(Q27:U27),0)</f>
        <v>0</v>
      </c>
      <c r="W27" s="32"/>
    </row>
    <row r="28" spans="1:24" ht="13.5" hidden="1" customHeight="1">
      <c r="A28" s="106" t="s">
        <v>34</v>
      </c>
      <c r="B28" s="35"/>
      <c r="C28" s="132">
        <v>0</v>
      </c>
      <c r="D28" s="139">
        <f>'[2]Alloc Exp'!E26</f>
        <v>0</v>
      </c>
      <c r="E28" s="134">
        <f>C28-D28</f>
        <v>0</v>
      </c>
      <c r="F28" s="36"/>
      <c r="G28" s="132">
        <v>0</v>
      </c>
      <c r="H28" s="36">
        <v>0</v>
      </c>
      <c r="I28" s="36">
        <v>0</v>
      </c>
      <c r="J28" s="135">
        <f>SUM(G28:I28)</f>
        <v>0</v>
      </c>
      <c r="K28" s="136"/>
      <c r="L28" s="138">
        <f>'[2]Alloc Exp'!D26</f>
        <v>0</v>
      </c>
      <c r="M28" s="36">
        <v>0</v>
      </c>
      <c r="N28" s="36">
        <v>0</v>
      </c>
      <c r="O28" s="135">
        <f>J28-K28-M28-N28-L28</f>
        <v>0</v>
      </c>
      <c r="P28" s="37"/>
      <c r="Q28" s="132">
        <f>+J28-C28</f>
        <v>0</v>
      </c>
      <c r="R28" s="36"/>
      <c r="S28" s="36">
        <f>'[2]Alloc Exp'!F26</f>
        <v>0</v>
      </c>
      <c r="T28" s="36">
        <v>0</v>
      </c>
      <c r="U28" s="36">
        <v>0</v>
      </c>
      <c r="V28" s="134">
        <f>ROUND(SUM(Q28:U28),0)</f>
        <v>0</v>
      </c>
      <c r="W28" s="32"/>
    </row>
    <row r="29" spans="1:24" ht="3" customHeight="1">
      <c r="A29" s="106"/>
      <c r="B29" s="35"/>
      <c r="C29" s="132"/>
      <c r="D29" s="36"/>
      <c r="E29" s="134"/>
      <c r="F29" s="36"/>
      <c r="G29" s="132"/>
      <c r="H29" s="36"/>
      <c r="I29" s="36"/>
      <c r="J29" s="135"/>
      <c r="K29" s="136"/>
      <c r="L29" s="133"/>
      <c r="M29" s="36"/>
      <c r="N29" s="36"/>
      <c r="O29" s="135"/>
      <c r="P29" s="37"/>
      <c r="Q29" s="132"/>
      <c r="R29" s="36"/>
      <c r="S29" s="36"/>
      <c r="T29" s="36"/>
      <c r="U29" s="36"/>
      <c r="V29" s="134">
        <f>ROUND(SUM(Q29:U29),0)</f>
        <v>0</v>
      </c>
      <c r="W29" s="32"/>
    </row>
    <row r="30" spans="1:24" s="34" customFormat="1" ht="12" customHeight="1">
      <c r="A30" s="38" t="s">
        <v>73</v>
      </c>
      <c r="B30" s="35"/>
      <c r="C30" s="43">
        <f>SUM(C23:C29)</f>
        <v>110000.42200000001</v>
      </c>
      <c r="D30" s="44">
        <f>SUM(D23:D29)</f>
        <v>55430.43099999999</v>
      </c>
      <c r="E30" s="45">
        <f>SUM(E23:E29)</f>
        <v>54569.991000000009</v>
      </c>
      <c r="F30" s="36"/>
      <c r="G30" s="43">
        <f t="shared" ref="G30:N30" si="7">SUM(G23:G29)</f>
        <v>-81357.72163</v>
      </c>
      <c r="H30" s="44">
        <f t="shared" si="7"/>
        <v>0</v>
      </c>
      <c r="I30" s="44">
        <f t="shared" si="7"/>
        <v>0</v>
      </c>
      <c r="J30" s="46">
        <f t="shared" si="7"/>
        <v>-81357.72163</v>
      </c>
      <c r="K30" s="44">
        <f t="shared" si="7"/>
        <v>0</v>
      </c>
      <c r="L30" s="43">
        <f t="shared" si="7"/>
        <v>0</v>
      </c>
      <c r="M30" s="44">
        <f t="shared" si="7"/>
        <v>57580.430999999997</v>
      </c>
      <c r="N30" s="44">
        <f t="shared" si="7"/>
        <v>0</v>
      </c>
      <c r="O30" s="46">
        <f>J30-K30-M30-N30-L30</f>
        <v>-138938.15263</v>
      </c>
      <c r="P30" s="37"/>
      <c r="Q30" s="43">
        <f t="shared" ref="Q30:V30" si="8">SUM(Q23:Q29)</f>
        <v>-191358.14362999998</v>
      </c>
      <c r="R30" s="44">
        <f t="shared" si="8"/>
        <v>0</v>
      </c>
      <c r="S30" s="44">
        <f t="shared" si="8"/>
        <v>0</v>
      </c>
      <c r="T30" s="44">
        <f t="shared" si="8"/>
        <v>-2150</v>
      </c>
      <c r="U30" s="44">
        <f t="shared" si="8"/>
        <v>0</v>
      </c>
      <c r="V30" s="45">
        <f t="shared" si="8"/>
        <v>-193508</v>
      </c>
      <c r="W30" s="32"/>
    </row>
    <row r="31" spans="1:24" ht="3" customHeight="1">
      <c r="A31" s="106"/>
      <c r="B31" s="35"/>
      <c r="C31" s="132"/>
      <c r="D31" s="36"/>
      <c r="E31" s="134"/>
      <c r="F31" s="36"/>
      <c r="G31" s="132" t="s">
        <v>61</v>
      </c>
      <c r="H31" s="36"/>
      <c r="I31" s="36"/>
      <c r="J31" s="135"/>
      <c r="K31" s="136"/>
      <c r="L31" s="133"/>
      <c r="M31" s="36" t="s">
        <v>62</v>
      </c>
      <c r="N31" s="36"/>
      <c r="O31" s="135"/>
      <c r="P31" s="37"/>
      <c r="Q31" s="132"/>
      <c r="R31" s="36"/>
      <c r="S31" s="36"/>
      <c r="T31" s="36"/>
      <c r="U31" s="36"/>
      <c r="V31" s="134"/>
      <c r="W31" s="32"/>
    </row>
    <row r="32" spans="1:24" ht="12" customHeight="1">
      <c r="A32" s="106" t="s">
        <v>56</v>
      </c>
      <c r="B32" s="35"/>
      <c r="C32" s="132">
        <v>0</v>
      </c>
      <c r="D32" s="139">
        <v>6900</v>
      </c>
      <c r="E32" s="134">
        <f>C32-D32</f>
        <v>-6900</v>
      </c>
      <c r="F32" s="36"/>
      <c r="G32" s="132">
        <f>GrossMargin!I44</f>
        <v>0</v>
      </c>
      <c r="H32" s="36">
        <f>GrossMargin!J44</f>
        <v>0</v>
      </c>
      <c r="I32" s="36">
        <f>GrossMargin!K44</f>
        <v>0</v>
      </c>
      <c r="J32" s="135">
        <f>SUM(G32:I32)</f>
        <v>0</v>
      </c>
      <c r="K32" s="136"/>
      <c r="L32" s="133">
        <v>0</v>
      </c>
      <c r="M32" s="139">
        <v>9400</v>
      </c>
      <c r="N32" s="36">
        <v>0</v>
      </c>
      <c r="O32" s="135">
        <f>J32-K32-M32-N32-L32</f>
        <v>-9400</v>
      </c>
      <c r="P32" s="37"/>
      <c r="Q32" s="132">
        <f>+J32-C32</f>
        <v>0</v>
      </c>
      <c r="R32" s="36"/>
      <c r="S32" s="36">
        <v>0</v>
      </c>
      <c r="T32" s="36">
        <f>D32-M32</f>
        <v>-2500</v>
      </c>
      <c r="U32" s="36">
        <v>0</v>
      </c>
      <c r="V32" s="134">
        <f>ROUND(SUM(Q32:U32),0)</f>
        <v>-2500</v>
      </c>
      <c r="W32" s="32"/>
    </row>
    <row r="33" spans="1:23" ht="3" customHeight="1">
      <c r="A33" s="106"/>
      <c r="B33" s="35"/>
      <c r="C33" s="132"/>
      <c r="D33" s="36"/>
      <c r="E33" s="134"/>
      <c r="F33" s="36"/>
      <c r="G33" s="132"/>
      <c r="H33" s="36"/>
      <c r="I33" s="36"/>
      <c r="J33" s="135"/>
      <c r="K33" s="136"/>
      <c r="L33" s="133"/>
      <c r="M33" s="36"/>
      <c r="N33" s="36"/>
      <c r="O33" s="135"/>
      <c r="P33" s="37"/>
      <c r="Q33" s="132"/>
      <c r="R33" s="36"/>
      <c r="S33" s="36"/>
      <c r="T33" s="36"/>
      <c r="U33" s="36"/>
      <c r="V33" s="134"/>
      <c r="W33" s="32"/>
    </row>
    <row r="34" spans="1:23" s="34" customFormat="1" ht="12" customHeight="1">
      <c r="A34" s="38" t="s">
        <v>74</v>
      </c>
      <c r="B34" s="35"/>
      <c r="C34" s="39">
        <f>SUM(C30:C32)</f>
        <v>110000.42200000001</v>
      </c>
      <c r="D34" s="40">
        <f>SUM(D30:D32)</f>
        <v>62330.43099999999</v>
      </c>
      <c r="E34" s="41">
        <f>SUM(E30:E32)</f>
        <v>47669.991000000009</v>
      </c>
      <c r="F34" s="36"/>
      <c r="G34" s="39">
        <f t="shared" ref="G34:V34" si="9">SUM(G30:G32)</f>
        <v>-81357.72163</v>
      </c>
      <c r="H34" s="40">
        <f t="shared" si="9"/>
        <v>0</v>
      </c>
      <c r="I34" s="40">
        <f t="shared" si="9"/>
        <v>0</v>
      </c>
      <c r="J34" s="42">
        <f t="shared" si="9"/>
        <v>-81357.72163</v>
      </c>
      <c r="K34" s="40">
        <f t="shared" si="9"/>
        <v>0</v>
      </c>
      <c r="L34" s="39">
        <f t="shared" si="9"/>
        <v>0</v>
      </c>
      <c r="M34" s="40">
        <f t="shared" si="9"/>
        <v>66980.430999999997</v>
      </c>
      <c r="N34" s="40">
        <f t="shared" si="9"/>
        <v>0</v>
      </c>
      <c r="O34" s="42">
        <f>J34-K34-M34-N34-L34</f>
        <v>-148338.15263</v>
      </c>
      <c r="P34" s="37"/>
      <c r="Q34" s="39">
        <f t="shared" si="9"/>
        <v>-191358.14362999998</v>
      </c>
      <c r="R34" s="40">
        <f t="shared" si="9"/>
        <v>0</v>
      </c>
      <c r="S34" s="40">
        <f t="shared" si="9"/>
        <v>0</v>
      </c>
      <c r="T34" s="40">
        <f t="shared" si="9"/>
        <v>-4650</v>
      </c>
      <c r="U34" s="40">
        <f t="shared" si="9"/>
        <v>0</v>
      </c>
      <c r="V34" s="41">
        <f t="shared" si="9"/>
        <v>-196008</v>
      </c>
      <c r="W34" s="32"/>
    </row>
    <row r="35" spans="1:23" s="19" customFormat="1" ht="3" customHeight="1">
      <c r="A35" s="24"/>
      <c r="B35" s="18"/>
      <c r="C35" s="25"/>
      <c r="D35" s="26"/>
      <c r="E35" s="27"/>
      <c r="F35" s="22"/>
      <c r="G35" s="28"/>
      <c r="H35" s="29"/>
      <c r="I35" s="29"/>
      <c r="J35" s="24"/>
      <c r="K35" s="29"/>
      <c r="L35" s="28"/>
      <c r="M35" s="29"/>
      <c r="N35" s="29"/>
      <c r="O35" s="24"/>
      <c r="Q35" s="28"/>
      <c r="R35" s="29"/>
      <c r="S35" s="29"/>
      <c r="T35" s="29"/>
      <c r="U35" s="29"/>
      <c r="V35" s="30"/>
    </row>
    <row r="36" spans="1:23" ht="13.5" hidden="1">
      <c r="A36" s="66"/>
      <c r="C36" s="67"/>
      <c r="D36" s="23"/>
      <c r="E36" s="66" t="s">
        <v>52</v>
      </c>
      <c r="F36" s="23"/>
      <c r="G36" s="68">
        <f>+'[2]GM-WeeklyChnge'!C44</f>
        <v>0</v>
      </c>
    </row>
    <row r="37" spans="1:23" ht="6" customHeight="1">
      <c r="C37" s="23"/>
      <c r="D37" s="23"/>
      <c r="E37" s="23"/>
      <c r="F37" s="23"/>
    </row>
    <row r="38" spans="1:23">
      <c r="A38" s="71" t="s">
        <v>121</v>
      </c>
      <c r="C38" s="23"/>
      <c r="D38" s="23"/>
      <c r="E38" s="23"/>
      <c r="F38" s="23"/>
      <c r="M38" s="165"/>
      <c r="T38" s="165"/>
    </row>
    <row r="39" spans="1:23">
      <c r="C39" s="23"/>
      <c r="D39" s="23"/>
      <c r="E39" s="23"/>
      <c r="F39" s="23"/>
      <c r="G39" s="165"/>
    </row>
    <row r="40" spans="1:23">
      <c r="C40" s="23"/>
      <c r="D40" s="23"/>
      <c r="E40" s="23"/>
      <c r="F40" s="23"/>
      <c r="V40" s="165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 hidden="1">
      <c r="C52" s="23"/>
      <c r="D52" s="23"/>
      <c r="E52" s="23"/>
      <c r="F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A58" s="23"/>
    </row>
    <row r="59" spans="1:6" hidden="1">
      <c r="C59" s="23"/>
      <c r="D59" s="23"/>
      <c r="E59" s="23"/>
      <c r="F59" s="23"/>
    </row>
    <row r="60" spans="1:6" hidden="1">
      <c r="C60" s="23"/>
      <c r="D60" s="23"/>
      <c r="E60" s="23"/>
      <c r="F60" s="23"/>
    </row>
    <row r="61" spans="1:6" hidden="1"/>
    <row r="62" spans="1:6" hidden="1"/>
    <row r="63" spans="1:6" hidden="1"/>
    <row r="64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9"/>
  <sheetViews>
    <sheetView zoomScaleNormal="100" workbookViewId="0">
      <selection activeCell="A40" sqref="A40"/>
    </sheetView>
  </sheetViews>
  <sheetFormatPr defaultRowHeight="12.75"/>
  <cols>
    <col min="1" max="1" width="25.42578125" style="14" customWidth="1"/>
    <col min="2" max="2" width="1.7109375" style="14" customWidth="1"/>
    <col min="3" max="4" width="10.85546875" style="14" customWidth="1"/>
    <col min="5" max="5" width="10.85546875" style="14" hidden="1" customWidth="1"/>
    <col min="6" max="6" width="10.85546875" style="14" customWidth="1"/>
    <col min="7" max="7" width="8.7109375" style="14" hidden="1" customWidth="1"/>
    <col min="8" max="8" width="10.7109375" style="14" customWidth="1"/>
    <col min="9" max="9" width="8.7109375" style="14" hidden="1" customWidth="1"/>
    <col min="10" max="11" width="10.85546875" style="14" customWidth="1"/>
    <col min="12" max="16384" width="9.140625" style="14"/>
  </cols>
  <sheetData>
    <row r="1" spans="1:11" ht="15.75">
      <c r="A1" s="181" t="s">
        <v>69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ht="16.5">
      <c r="A2" s="182" t="s">
        <v>116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</row>
    <row r="3" spans="1:11" ht="13.5">
      <c r="A3" s="183" t="str">
        <f>+'Mgmt Summary'!A3:V3</f>
        <v>Results based on activity through May 25, 2001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</row>
    <row r="4" spans="1:11" ht="3" customHeight="1">
      <c r="A4" s="19"/>
    </row>
    <row r="5" spans="1:11" s="34" customFormat="1" ht="12.75" customHeight="1">
      <c r="A5" s="105"/>
      <c r="C5" s="115"/>
      <c r="D5" s="116"/>
      <c r="E5" s="116"/>
      <c r="F5" s="116"/>
      <c r="G5" s="116"/>
      <c r="H5" s="105"/>
      <c r="I5" s="116"/>
      <c r="J5" s="116"/>
      <c r="K5" s="117"/>
    </row>
    <row r="6" spans="1:11" s="34" customFormat="1" ht="13.5">
      <c r="A6" s="106"/>
      <c r="C6" s="112"/>
      <c r="D6" s="35"/>
      <c r="E6" s="118"/>
      <c r="F6" s="118" t="s">
        <v>124</v>
      </c>
      <c r="G6" s="35"/>
      <c r="H6" s="108" t="s">
        <v>39</v>
      </c>
      <c r="I6" s="118" t="s">
        <v>4</v>
      </c>
      <c r="J6" s="118" t="s">
        <v>6</v>
      </c>
      <c r="K6" s="119" t="s">
        <v>7</v>
      </c>
    </row>
    <row r="7" spans="1:11" s="34" customFormat="1" ht="15.75">
      <c r="A7" s="113" t="s">
        <v>9</v>
      </c>
      <c r="C7" s="110" t="s">
        <v>72</v>
      </c>
      <c r="D7" s="114" t="s">
        <v>53</v>
      </c>
      <c r="E7" s="114" t="s">
        <v>51</v>
      </c>
      <c r="F7" s="120" t="s">
        <v>60</v>
      </c>
      <c r="G7" s="114" t="s">
        <v>23</v>
      </c>
      <c r="H7" s="113" t="s">
        <v>12</v>
      </c>
      <c r="I7" s="114" t="s">
        <v>5</v>
      </c>
      <c r="J7" s="114" t="s">
        <v>12</v>
      </c>
      <c r="K7" s="111" t="s">
        <v>12</v>
      </c>
    </row>
    <row r="8" spans="1:11" ht="3" customHeight="1">
      <c r="A8" s="95"/>
      <c r="B8" s="32"/>
      <c r="C8" s="99"/>
      <c r="D8" s="100"/>
      <c r="E8" s="100"/>
      <c r="F8" s="101"/>
      <c r="G8" s="101"/>
      <c r="H8" s="95"/>
      <c r="I8" s="99"/>
      <c r="J8" s="100"/>
      <c r="K8" s="101"/>
    </row>
    <row r="9" spans="1:11" s="187" customFormat="1" ht="13.5" customHeight="1">
      <c r="A9" s="106" t="s">
        <v>119</v>
      </c>
      <c r="B9" s="34"/>
      <c r="C9" s="138">
        <f>+GrossMargin!D10-[4]GrossMargin!D10</f>
        <v>-2180</v>
      </c>
      <c r="D9" s="36">
        <f>+GrossMargin!E10-[4]GrossMargin!E10</f>
        <v>0</v>
      </c>
      <c r="E9" s="36">
        <v>0</v>
      </c>
      <c r="F9" s="137">
        <f>+GrossMargin!G10-[4]GrossMargin!G10</f>
        <v>0</v>
      </c>
      <c r="G9" s="137">
        <v>0</v>
      </c>
      <c r="H9" s="135">
        <f t="shared" ref="H9:H20" si="0">SUM(C9:G9)</f>
        <v>-2180</v>
      </c>
      <c r="I9" s="132">
        <v>0</v>
      </c>
      <c r="J9" s="36">
        <f>+GrossMargin!K10-[4]GrossMargin!K10</f>
        <v>0</v>
      </c>
      <c r="K9" s="134">
        <f t="shared" ref="K9:K20" si="1">SUM(H9:J9)</f>
        <v>-2180</v>
      </c>
    </row>
    <row r="10" spans="1:11" s="187" customFormat="1" ht="13.5" customHeight="1">
      <c r="A10" s="106" t="s">
        <v>133</v>
      </c>
      <c r="B10" s="34"/>
      <c r="C10" s="138">
        <f>+GrossMargin!D11-[4]GrossMargin!D11</f>
        <v>-3375</v>
      </c>
      <c r="D10" s="36">
        <f>+GrossMargin!E11-[4]GrossMargin!E11</f>
        <v>0</v>
      </c>
      <c r="E10" s="36">
        <v>0</v>
      </c>
      <c r="F10" s="137">
        <f>+GrossMargin!G11-[4]GrossMargin!G11</f>
        <v>0</v>
      </c>
      <c r="G10" s="137">
        <v>0</v>
      </c>
      <c r="H10" s="135">
        <f t="shared" si="0"/>
        <v>-3375</v>
      </c>
      <c r="I10" s="132">
        <v>0</v>
      </c>
      <c r="J10" s="36">
        <f>+GrossMargin!K11-[4]GrossMargin!K11</f>
        <v>0</v>
      </c>
      <c r="K10" s="134">
        <f t="shared" si="1"/>
        <v>-3375</v>
      </c>
    </row>
    <row r="11" spans="1:11" s="187" customFormat="1" ht="13.5" customHeight="1">
      <c r="A11" s="106" t="s">
        <v>122</v>
      </c>
      <c r="B11" s="34"/>
      <c r="C11" s="138">
        <f>+GrossMargin!D12-[4]GrossMargin!D12</f>
        <v>-1252</v>
      </c>
      <c r="D11" s="36">
        <f>+GrossMargin!E12-[4]GrossMargin!E12</f>
        <v>0</v>
      </c>
      <c r="E11" s="36">
        <v>0</v>
      </c>
      <c r="F11" s="137">
        <f>+GrossMargin!G12-[4]GrossMargin!G12</f>
        <v>0</v>
      </c>
      <c r="G11" s="137">
        <v>0</v>
      </c>
      <c r="H11" s="135">
        <f t="shared" si="0"/>
        <v>-1252</v>
      </c>
      <c r="I11" s="132">
        <v>0</v>
      </c>
      <c r="J11" s="36">
        <f>+GrossMargin!K12-[4]GrossMargin!K12</f>
        <v>0</v>
      </c>
      <c r="K11" s="134">
        <f t="shared" si="1"/>
        <v>-1252</v>
      </c>
    </row>
    <row r="12" spans="1:11" s="187" customFormat="1" ht="13.5" hidden="1" customHeight="1">
      <c r="A12" s="106" t="s">
        <v>43</v>
      </c>
      <c r="B12" s="34"/>
      <c r="C12" s="138">
        <f>+GrossMargin!D13-[4]GrossMargin!D13</f>
        <v>0</v>
      </c>
      <c r="D12" s="36">
        <f>+GrossMargin!E13-[4]GrossMargin!E13</f>
        <v>0</v>
      </c>
      <c r="E12" s="36">
        <v>0</v>
      </c>
      <c r="F12" s="137">
        <f>+GrossMargin!G13-[4]GrossMargin!G13</f>
        <v>0</v>
      </c>
      <c r="G12" s="137">
        <v>0</v>
      </c>
      <c r="H12" s="135">
        <f t="shared" si="0"/>
        <v>0</v>
      </c>
      <c r="I12" s="132">
        <v>0</v>
      </c>
      <c r="J12" s="36">
        <f>+GrossMargin!K13-[4]GrossMargin!K13</f>
        <v>0</v>
      </c>
      <c r="K12" s="134">
        <f t="shared" si="1"/>
        <v>0</v>
      </c>
    </row>
    <row r="13" spans="1:11" s="187" customFormat="1" ht="13.5" customHeight="1">
      <c r="A13" s="106" t="s">
        <v>63</v>
      </c>
      <c r="B13" s="34"/>
      <c r="C13" s="138">
        <f>+GrossMargin!D14-[4]GrossMargin!D14</f>
        <v>1352</v>
      </c>
      <c r="D13" s="36">
        <f>+GrossMargin!E14-[4]GrossMargin!E14</f>
        <v>0</v>
      </c>
      <c r="E13" s="36">
        <v>0</v>
      </c>
      <c r="F13" s="137">
        <f>+GrossMargin!G14-[4]GrossMargin!G14</f>
        <v>0</v>
      </c>
      <c r="G13" s="137">
        <v>0</v>
      </c>
      <c r="H13" s="135">
        <f t="shared" si="0"/>
        <v>1352</v>
      </c>
      <c r="I13" s="132">
        <v>0</v>
      </c>
      <c r="J13" s="36">
        <f>+GrossMargin!K14-[4]GrossMargin!K14</f>
        <v>0</v>
      </c>
      <c r="K13" s="134">
        <f t="shared" si="1"/>
        <v>1352</v>
      </c>
    </row>
    <row r="14" spans="1:11" s="187" customFormat="1" ht="13.5" customHeight="1">
      <c r="A14" s="106" t="s">
        <v>70</v>
      </c>
      <c r="B14" s="34"/>
      <c r="C14" s="138">
        <f>+GrossMargin!D15-[4]GrossMargin!D15</f>
        <v>259</v>
      </c>
      <c r="D14" s="36">
        <f>+GrossMargin!E15-[4]GrossMargin!E15</f>
        <v>0</v>
      </c>
      <c r="E14" s="36">
        <v>0</v>
      </c>
      <c r="F14" s="137">
        <f>+GrossMargin!G15-[4]GrossMargin!G15</f>
        <v>0</v>
      </c>
      <c r="G14" s="137">
        <v>0</v>
      </c>
      <c r="H14" s="135">
        <f t="shared" si="0"/>
        <v>259</v>
      </c>
      <c r="I14" s="132">
        <v>0</v>
      </c>
      <c r="J14" s="36">
        <f>+GrossMargin!K15-[4]GrossMargin!K15</f>
        <v>0</v>
      </c>
      <c r="K14" s="134">
        <f t="shared" si="1"/>
        <v>259</v>
      </c>
    </row>
    <row r="15" spans="1:11" ht="13.5" hidden="1" customHeight="1">
      <c r="A15" s="304" t="s">
        <v>79</v>
      </c>
      <c r="B15" s="245"/>
      <c r="C15" s="240">
        <f>+GrossMargin!D16-[4]GrossMargin!D16</f>
        <v>6703</v>
      </c>
      <c r="D15" s="242">
        <f>+GrossMargin!E16-[4]GrossMargin!E16</f>
        <v>0</v>
      </c>
      <c r="E15" s="242">
        <v>0</v>
      </c>
      <c r="F15" s="243">
        <f>+GrossMargin!G16-[4]GrossMargin!G16</f>
        <v>0</v>
      </c>
      <c r="G15" s="243">
        <v>0</v>
      </c>
      <c r="H15" s="305">
        <f t="shared" si="0"/>
        <v>6703</v>
      </c>
      <c r="I15" s="290">
        <v>0</v>
      </c>
      <c r="J15" s="242">
        <f>+GrossMargin!K16-[4]GrossMargin!K16</f>
        <v>0</v>
      </c>
      <c r="K15" s="291">
        <f t="shared" si="1"/>
        <v>6703</v>
      </c>
    </row>
    <row r="16" spans="1:11" ht="13.5" hidden="1" customHeight="1">
      <c r="A16" s="304" t="s">
        <v>109</v>
      </c>
      <c r="B16" s="245"/>
      <c r="C16" s="240">
        <f>+GrossMargin!D17-[4]GrossMargin!D17</f>
        <v>-381</v>
      </c>
      <c r="D16" s="242">
        <f>+GrossMargin!E17-[4]GrossMargin!E17</f>
        <v>0</v>
      </c>
      <c r="E16" s="242">
        <v>0</v>
      </c>
      <c r="F16" s="243">
        <f>+GrossMargin!G17-[4]GrossMargin!G17</f>
        <v>0</v>
      </c>
      <c r="G16" s="243">
        <v>0</v>
      </c>
      <c r="H16" s="305">
        <f t="shared" si="0"/>
        <v>-381</v>
      </c>
      <c r="I16" s="290">
        <v>0</v>
      </c>
      <c r="J16" s="242">
        <f>+GrossMargin!K17-[4]GrossMargin!K17</f>
        <v>0</v>
      </c>
      <c r="K16" s="291">
        <f t="shared" si="1"/>
        <v>-381</v>
      </c>
    </row>
    <row r="17" spans="1:11" ht="13.5" hidden="1" customHeight="1">
      <c r="A17" s="304" t="s">
        <v>82</v>
      </c>
      <c r="B17" s="245"/>
      <c r="C17" s="240">
        <f>+GrossMargin!D18-[4]GrossMargin!D18</f>
        <v>-658</v>
      </c>
      <c r="D17" s="242">
        <f>+GrossMargin!E18-[4]GrossMargin!E18</f>
        <v>0</v>
      </c>
      <c r="E17" s="242">
        <v>0</v>
      </c>
      <c r="F17" s="243">
        <f>+GrossMargin!G18-[4]GrossMargin!G18</f>
        <v>0</v>
      </c>
      <c r="G17" s="243">
        <v>0</v>
      </c>
      <c r="H17" s="305">
        <f t="shared" si="0"/>
        <v>-658</v>
      </c>
      <c r="I17" s="290">
        <v>0</v>
      </c>
      <c r="J17" s="242">
        <f>+GrossMargin!K18-[4]GrossMargin!K18</f>
        <v>0</v>
      </c>
      <c r="K17" s="291">
        <f t="shared" si="1"/>
        <v>-658</v>
      </c>
    </row>
    <row r="18" spans="1:11" ht="13.5" hidden="1" customHeight="1">
      <c r="A18" s="304" t="s">
        <v>80</v>
      </c>
      <c r="B18" s="245"/>
      <c r="C18" s="240">
        <f>+GrossMargin!D19-[4]GrossMargin!D19</f>
        <v>-183</v>
      </c>
      <c r="D18" s="242">
        <f>+GrossMargin!E19-[4]GrossMargin!E19</f>
        <v>0</v>
      </c>
      <c r="E18" s="242">
        <v>0</v>
      </c>
      <c r="F18" s="243">
        <f>+GrossMargin!G19-[4]GrossMargin!G19</f>
        <v>0</v>
      </c>
      <c r="G18" s="243">
        <v>0</v>
      </c>
      <c r="H18" s="305">
        <f t="shared" si="0"/>
        <v>-183</v>
      </c>
      <c r="I18" s="290">
        <v>0</v>
      </c>
      <c r="J18" s="242">
        <f>+GrossMargin!K19-[4]GrossMargin!K19</f>
        <v>0</v>
      </c>
      <c r="K18" s="291">
        <f t="shared" si="1"/>
        <v>-183</v>
      </c>
    </row>
    <row r="19" spans="1:11" ht="13.5" hidden="1" customHeight="1">
      <c r="A19" s="304" t="s">
        <v>81</v>
      </c>
      <c r="B19" s="245"/>
      <c r="C19" s="240">
        <f>+GrossMargin!D20-[4]GrossMargin!D20</f>
        <v>6</v>
      </c>
      <c r="D19" s="242">
        <f>+GrossMargin!E20-[4]GrossMargin!E20</f>
        <v>0</v>
      </c>
      <c r="E19" s="242">
        <v>0</v>
      </c>
      <c r="F19" s="243">
        <f>+GrossMargin!G20-[4]GrossMargin!G20</f>
        <v>0</v>
      </c>
      <c r="G19" s="243">
        <v>0</v>
      </c>
      <c r="H19" s="305">
        <f t="shared" si="0"/>
        <v>6</v>
      </c>
      <c r="I19" s="290">
        <v>0</v>
      </c>
      <c r="J19" s="242">
        <f>+GrossMargin!K20-[4]GrossMargin!K20</f>
        <v>0</v>
      </c>
      <c r="K19" s="291">
        <f t="shared" si="1"/>
        <v>6</v>
      </c>
    </row>
    <row r="20" spans="1:11" ht="13.5" hidden="1" customHeight="1">
      <c r="A20" s="304" t="s">
        <v>83</v>
      </c>
      <c r="B20" s="245"/>
      <c r="C20" s="248">
        <f>+GrossMargin!D21-[4]GrossMargin!D21</f>
        <v>0</v>
      </c>
      <c r="D20" s="252">
        <f>+GrossMargin!E21-[4]GrossMargin!E21</f>
        <v>0</v>
      </c>
      <c r="E20" s="252">
        <v>0</v>
      </c>
      <c r="F20" s="253">
        <f>+GrossMargin!G21-[4]GrossMargin!G21</f>
        <v>0</v>
      </c>
      <c r="G20" s="253">
        <v>0</v>
      </c>
      <c r="H20" s="306">
        <f t="shared" si="0"/>
        <v>0</v>
      </c>
      <c r="I20" s="292">
        <v>0</v>
      </c>
      <c r="J20" s="252">
        <f>+GrossMargin!K21-[4]GrossMargin!K21</f>
        <v>0</v>
      </c>
      <c r="K20" s="293">
        <f t="shared" si="1"/>
        <v>0</v>
      </c>
    </row>
    <row r="21" spans="1:11" s="187" customFormat="1" ht="13.5" customHeight="1">
      <c r="A21" s="106" t="s">
        <v>49</v>
      </c>
      <c r="B21" s="34"/>
      <c r="C21" s="132">
        <f t="shared" ref="C21:K21" si="2">SUM(C15:C20)</f>
        <v>5487</v>
      </c>
      <c r="D21" s="36">
        <f t="shared" si="2"/>
        <v>0</v>
      </c>
      <c r="E21" s="36">
        <f t="shared" si="2"/>
        <v>0</v>
      </c>
      <c r="F21" s="137">
        <f t="shared" si="2"/>
        <v>0</v>
      </c>
      <c r="G21" s="137">
        <f t="shared" si="2"/>
        <v>0</v>
      </c>
      <c r="H21" s="135">
        <f t="shared" si="2"/>
        <v>5487</v>
      </c>
      <c r="I21" s="132">
        <f t="shared" si="2"/>
        <v>0</v>
      </c>
      <c r="J21" s="36">
        <f t="shared" si="2"/>
        <v>0</v>
      </c>
      <c r="K21" s="134">
        <f t="shared" si="2"/>
        <v>5487</v>
      </c>
    </row>
    <row r="22" spans="1:11" s="187" customFormat="1" ht="13.5" customHeight="1">
      <c r="A22" s="106" t="s">
        <v>127</v>
      </c>
      <c r="B22" s="34"/>
      <c r="C22" s="138">
        <f>+GrossMargin!D23-[4]GrossMargin!D23</f>
        <v>17</v>
      </c>
      <c r="D22" s="36">
        <f>+GrossMargin!E23-[4]GrossMargin!E23</f>
        <v>0</v>
      </c>
      <c r="E22" s="36">
        <v>0</v>
      </c>
      <c r="F22" s="137">
        <f>+GrossMargin!G23-[4]GrossMargin!G23</f>
        <v>0</v>
      </c>
      <c r="G22" s="137">
        <v>0</v>
      </c>
      <c r="H22" s="135">
        <f t="shared" ref="H22:H27" si="3">SUM(C22:G22)</f>
        <v>17</v>
      </c>
      <c r="I22" s="132">
        <v>0</v>
      </c>
      <c r="J22" s="36">
        <f>+GrossMargin!K23-[4]GrossMargin!K23</f>
        <v>0</v>
      </c>
      <c r="K22" s="134">
        <f t="shared" ref="K22:K27" si="4">SUM(H22:J22)</f>
        <v>17</v>
      </c>
    </row>
    <row r="23" spans="1:11" s="187" customFormat="1" ht="13.5" customHeight="1">
      <c r="A23" s="106" t="s">
        <v>87</v>
      </c>
      <c r="B23" s="34"/>
      <c r="C23" s="138">
        <f>+GrossMargin!D24-[4]GrossMargin!D24</f>
        <v>36</v>
      </c>
      <c r="D23" s="36">
        <f>+GrossMargin!E24-[4]GrossMargin!E24</f>
        <v>0</v>
      </c>
      <c r="E23" s="36">
        <v>0</v>
      </c>
      <c r="F23" s="137">
        <f>+GrossMargin!G24-[4]GrossMargin!G24</f>
        <v>0</v>
      </c>
      <c r="G23" s="137">
        <v>0</v>
      </c>
      <c r="H23" s="135">
        <f t="shared" si="3"/>
        <v>36</v>
      </c>
      <c r="I23" s="132">
        <v>0</v>
      </c>
      <c r="J23" s="36">
        <f>+GrossMargin!K24-[4]GrossMargin!K24</f>
        <v>0</v>
      </c>
      <c r="K23" s="134">
        <f t="shared" si="4"/>
        <v>36</v>
      </c>
    </row>
    <row r="24" spans="1:11" s="187" customFormat="1" ht="13.5" customHeight="1">
      <c r="A24" s="106" t="s">
        <v>89</v>
      </c>
      <c r="B24" s="34"/>
      <c r="C24" s="138">
        <f>+GrossMargin!D25-[4]GrossMargin!D25</f>
        <v>0</v>
      </c>
      <c r="D24" s="36">
        <f>+GrossMargin!E25-[4]GrossMargin!E25</f>
        <v>0</v>
      </c>
      <c r="E24" s="36">
        <v>0</v>
      </c>
      <c r="F24" s="137">
        <f>+GrossMargin!G25-[4]GrossMargin!G25</f>
        <v>0</v>
      </c>
      <c r="G24" s="137">
        <v>0</v>
      </c>
      <c r="H24" s="135">
        <f t="shared" si="3"/>
        <v>0</v>
      </c>
      <c r="I24" s="132">
        <v>0</v>
      </c>
      <c r="J24" s="36">
        <f>+GrossMargin!K25-[4]GrossMargin!K25</f>
        <v>0</v>
      </c>
      <c r="K24" s="134">
        <f t="shared" si="4"/>
        <v>0</v>
      </c>
    </row>
    <row r="25" spans="1:11" ht="13.5" customHeight="1">
      <c r="A25" s="106" t="s">
        <v>118</v>
      </c>
      <c r="B25" s="167"/>
      <c r="C25" s="138">
        <f>+GrossMargin!D26-[4]GrossMargin!D26</f>
        <v>0</v>
      </c>
      <c r="D25" s="36">
        <f>+GrossMargin!E26-[4]GrossMargin!E26</f>
        <v>0</v>
      </c>
      <c r="E25" s="36">
        <v>0</v>
      </c>
      <c r="F25" s="137">
        <f>+GrossMargin!G26-[4]GrossMargin!G26</f>
        <v>0</v>
      </c>
      <c r="G25" s="137">
        <v>0</v>
      </c>
      <c r="H25" s="135">
        <f t="shared" si="3"/>
        <v>0</v>
      </c>
      <c r="I25" s="132">
        <v>0</v>
      </c>
      <c r="J25" s="36">
        <f>+GrossMargin!K26-[4]GrossMargin!K26</f>
        <v>0</v>
      </c>
      <c r="K25" s="134">
        <f t="shared" si="4"/>
        <v>0</v>
      </c>
    </row>
    <row r="26" spans="1:11" ht="13.5" customHeight="1">
      <c r="A26" s="106" t="s">
        <v>2</v>
      </c>
      <c r="B26" s="167"/>
      <c r="C26" s="138">
        <f>+GrossMargin!D27-[4]GrossMargin!D27</f>
        <v>0</v>
      </c>
      <c r="D26" s="36">
        <f>+GrossMargin!E27-[4]GrossMargin!E27</f>
        <v>0</v>
      </c>
      <c r="E26" s="36">
        <v>0</v>
      </c>
      <c r="F26" s="137">
        <f>+GrossMargin!G27-[4]GrossMargin!G27</f>
        <v>0</v>
      </c>
      <c r="G26" s="137">
        <v>0</v>
      </c>
      <c r="H26" s="135">
        <f t="shared" si="3"/>
        <v>0</v>
      </c>
      <c r="I26" s="132">
        <v>0</v>
      </c>
      <c r="J26" s="36">
        <f>+GrossMargin!K27-[4]GrossMargin!K27</f>
        <v>0</v>
      </c>
      <c r="K26" s="134">
        <f t="shared" si="4"/>
        <v>0</v>
      </c>
    </row>
    <row r="27" spans="1:11" ht="13.5" customHeight="1">
      <c r="A27" s="106" t="s">
        <v>129</v>
      </c>
      <c r="B27" s="167"/>
      <c r="C27" s="138">
        <f>+GrossMargin!D28-[4]GrossMargin!D28</f>
        <v>0</v>
      </c>
      <c r="D27" s="36">
        <f>+GrossMargin!E28-[4]GrossMargin!E28</f>
        <v>0</v>
      </c>
      <c r="E27" s="36">
        <v>0</v>
      </c>
      <c r="F27" s="137">
        <f>+GrossMargin!G28-[4]GrossMargin!G28</f>
        <v>0</v>
      </c>
      <c r="G27" s="137">
        <v>0</v>
      </c>
      <c r="H27" s="135">
        <f t="shared" si="3"/>
        <v>0</v>
      </c>
      <c r="I27" s="132">
        <v>0</v>
      </c>
      <c r="J27" s="36">
        <f>+GrossMargin!K28-[4]GrossMargin!K28</f>
        <v>0</v>
      </c>
      <c r="K27" s="134">
        <f t="shared" si="4"/>
        <v>0</v>
      </c>
    </row>
    <row r="28" spans="1:11" ht="3" hidden="1" customHeight="1">
      <c r="A28" s="106"/>
      <c r="B28" s="34"/>
      <c r="C28" s="132"/>
      <c r="D28" s="36"/>
      <c r="E28" s="36"/>
      <c r="F28" s="137"/>
      <c r="G28" s="137"/>
      <c r="H28" s="135"/>
      <c r="I28" s="132"/>
      <c r="J28" s="36"/>
      <c r="K28" s="137"/>
    </row>
    <row r="29" spans="1:11" ht="13.5" hidden="1" customHeight="1">
      <c r="A29" s="38" t="s">
        <v>128</v>
      </c>
      <c r="B29" s="34"/>
      <c r="C29" s="43">
        <f>SUM(C21:C27)+SUM(C9:C14)</f>
        <v>344</v>
      </c>
      <c r="D29" s="44">
        <f>SUM(D9:D14)+SUM(D21:D27)</f>
        <v>0</v>
      </c>
      <c r="E29" s="44">
        <f>SUM(E9:E14)+SUM(E21:E27)</f>
        <v>0</v>
      </c>
      <c r="F29" s="45">
        <f>SUM(F9:F14)+SUM(F21:F27)</f>
        <v>0</v>
      </c>
      <c r="G29" s="44">
        <f>SUM(G9:G14)+SUM(G21:G27)</f>
        <v>0</v>
      </c>
      <c r="H29" s="46">
        <f>SUM(H9:H14)+SUM(H21:H27)</f>
        <v>344</v>
      </c>
      <c r="I29" s="44" t="e">
        <f>+#REF!+#REF!</f>
        <v>#REF!</v>
      </c>
      <c r="J29" s="44">
        <f>SUM(J9:J14)+SUM(J21:J27)</f>
        <v>0</v>
      </c>
      <c r="K29" s="45">
        <f>SUM(K9:K14)+SUM(K21:K27)</f>
        <v>344</v>
      </c>
    </row>
    <row r="30" spans="1:11" ht="3" hidden="1" customHeight="1">
      <c r="A30" s="106"/>
      <c r="B30" s="34"/>
      <c r="C30" s="132"/>
      <c r="D30" s="36"/>
      <c r="E30" s="36"/>
      <c r="F30" s="137"/>
      <c r="G30" s="137"/>
      <c r="H30" s="135"/>
      <c r="I30" s="132"/>
      <c r="J30" s="36"/>
      <c r="K30" s="137"/>
    </row>
    <row r="31" spans="1:11" ht="13.5" hidden="1" customHeight="1">
      <c r="A31" s="106" t="s">
        <v>10</v>
      </c>
      <c r="B31" s="34"/>
      <c r="C31" s="132">
        <f>+GrossMargin!D32-[4]GrossMargin!D31</f>
        <v>0</v>
      </c>
      <c r="D31" s="36">
        <f>+GrossMargin!E32-[4]GrossMargin!E31</f>
        <v>0</v>
      </c>
      <c r="E31" s="36">
        <v>0</v>
      </c>
      <c r="F31" s="137">
        <f>+GrossMargin!G32-[4]GrossMargin!G31</f>
        <v>0</v>
      </c>
      <c r="G31" s="137">
        <v>0</v>
      </c>
      <c r="H31" s="135">
        <f>SUM(C31:G31)</f>
        <v>0</v>
      </c>
      <c r="I31" s="132">
        <v>0</v>
      </c>
      <c r="J31" s="36">
        <f>+GrossMargin!K32-[4]GrossMargin!K31</f>
        <v>0</v>
      </c>
      <c r="K31" s="134">
        <f>SUM(H31:J31)</f>
        <v>0</v>
      </c>
    </row>
    <row r="32" spans="1:11" ht="3" customHeight="1">
      <c r="A32" s="105"/>
      <c r="B32" s="34"/>
      <c r="C32" s="309"/>
      <c r="D32" s="310"/>
      <c r="E32" s="310"/>
      <c r="F32" s="310"/>
      <c r="G32" s="310"/>
      <c r="H32" s="312"/>
      <c r="I32" s="310"/>
      <c r="J32" s="310"/>
      <c r="K32" s="311"/>
    </row>
    <row r="33" spans="1:11" ht="13.5" customHeight="1">
      <c r="A33" s="38" t="s">
        <v>93</v>
      </c>
      <c r="B33" s="34"/>
      <c r="C33" s="39">
        <f>SUM(C9:C14)+SUM(C21:C27)</f>
        <v>344</v>
      </c>
      <c r="D33" s="40">
        <f>SUM(D9:D14)+SUM(D21:D27)</f>
        <v>0</v>
      </c>
      <c r="E33" s="40">
        <f>+E29+E31</f>
        <v>0</v>
      </c>
      <c r="F33" s="40">
        <f>SUM(F9:F14)+SUM(F21:F27)</f>
        <v>0</v>
      </c>
      <c r="G33" s="40">
        <f>SUM(G29:G31)</f>
        <v>0</v>
      </c>
      <c r="H33" s="42">
        <f>+H29+H31</f>
        <v>344</v>
      </c>
      <c r="I33" s="40" t="e">
        <f>SUM(I29:I31)</f>
        <v>#REF!</v>
      </c>
      <c r="J33" s="40">
        <f>SUM(J9:J14)+SUM(J21:J27)</f>
        <v>0</v>
      </c>
      <c r="K33" s="41">
        <f>SUM(K9:K14)+SUM(K21:K27)</f>
        <v>344</v>
      </c>
    </row>
    <row r="34" spans="1:11" ht="3" customHeight="1">
      <c r="A34" s="102"/>
      <c r="B34" s="32"/>
      <c r="C34" s="103"/>
      <c r="D34" s="104"/>
      <c r="E34" s="104"/>
      <c r="F34" s="104"/>
      <c r="G34" s="104"/>
      <c r="H34" s="307"/>
      <c r="I34" s="104"/>
      <c r="J34" s="104"/>
      <c r="K34" s="179"/>
    </row>
    <row r="35" spans="1:11" ht="13.5">
      <c r="A35" s="162" t="s">
        <v>59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</row>
    <row r="36" spans="1:11">
      <c r="E36" s="184"/>
    </row>
    <row r="38" spans="1:11">
      <c r="G38" s="165"/>
    </row>
    <row r="39" spans="1:11" ht="15.75">
      <c r="D39" s="164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1"/>
  <sheetViews>
    <sheetView topLeftCell="B2" zoomScaleNormal="100" workbookViewId="0">
      <selection activeCell="B23" sqref="B23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6" width="8.5703125" style="14" hidden="1" customWidth="1"/>
    <col min="7" max="7" width="8.5703125" style="14" customWidth="1"/>
    <col min="8" max="8" width="8.7109375" style="14" hidden="1" customWidth="1"/>
    <col min="9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42</v>
      </c>
    </row>
    <row r="2" spans="1:16" ht="15.75">
      <c r="A2" s="12" t="s">
        <v>24</v>
      </c>
      <c r="B2" s="181" t="s">
        <v>69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</row>
    <row r="3" spans="1:16" ht="16.5">
      <c r="A3" s="13">
        <v>36861</v>
      </c>
      <c r="B3" s="182" t="s">
        <v>113</v>
      </c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</row>
    <row r="4" spans="1:16" ht="13.5">
      <c r="A4" s="12" t="s">
        <v>21</v>
      </c>
      <c r="B4" s="183" t="str">
        <f>+'Mgmt Summary'!A3</f>
        <v>Results based on activity through May 25, 2001</v>
      </c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</row>
    <row r="5" spans="1:16" ht="3" customHeight="1">
      <c r="B5" s="19"/>
    </row>
    <row r="6" spans="1:16" ht="12.75" customHeight="1">
      <c r="A6" s="12" t="s">
        <v>46</v>
      </c>
      <c r="B6" s="105"/>
      <c r="C6" s="34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7"/>
    </row>
    <row r="7" spans="1:16" s="32" customFormat="1" ht="13.5">
      <c r="B7" s="106"/>
      <c r="C7" s="34"/>
      <c r="D7" s="112"/>
      <c r="E7" s="35"/>
      <c r="F7" s="261"/>
      <c r="G7" s="118" t="s">
        <v>124</v>
      </c>
      <c r="H7" s="35"/>
      <c r="I7" s="118" t="s">
        <v>39</v>
      </c>
      <c r="J7" s="118" t="s">
        <v>4</v>
      </c>
      <c r="K7" s="118" t="s">
        <v>6</v>
      </c>
      <c r="L7" s="118" t="s">
        <v>7</v>
      </c>
      <c r="M7" s="118" t="s">
        <v>12</v>
      </c>
      <c r="N7" s="119"/>
      <c r="O7" s="97"/>
      <c r="P7" s="97"/>
    </row>
    <row r="8" spans="1:16" s="32" customFormat="1" ht="15.75">
      <c r="B8" s="113" t="s">
        <v>9</v>
      </c>
      <c r="C8" s="34"/>
      <c r="D8" s="121" t="s">
        <v>72</v>
      </c>
      <c r="E8" s="118" t="s">
        <v>53</v>
      </c>
      <c r="F8" s="118" t="s">
        <v>51</v>
      </c>
      <c r="G8" s="122" t="s">
        <v>60</v>
      </c>
      <c r="H8" s="118" t="s">
        <v>23</v>
      </c>
      <c r="I8" s="118" t="s">
        <v>12</v>
      </c>
      <c r="J8" s="118" t="s">
        <v>5</v>
      </c>
      <c r="K8" s="118" t="s">
        <v>12</v>
      </c>
      <c r="L8" s="118" t="s">
        <v>12</v>
      </c>
      <c r="M8" s="118" t="s">
        <v>8</v>
      </c>
      <c r="N8" s="111" t="s">
        <v>11</v>
      </c>
      <c r="O8" s="97"/>
      <c r="P8" s="97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87" customFormat="1" ht="13.5" customHeight="1">
      <c r="A10" s="185"/>
      <c r="B10" s="106" t="s">
        <v>119</v>
      </c>
      <c r="C10" s="186"/>
      <c r="D10" s="138">
        <v>-72938</v>
      </c>
      <c r="E10" s="139">
        <v>0</v>
      </c>
      <c r="F10" s="139">
        <v>0</v>
      </c>
      <c r="G10" s="139">
        <v>0</v>
      </c>
      <c r="H10" s="137">
        <v>0</v>
      </c>
      <c r="I10" s="135">
        <f t="shared" ref="I10:I21" si="0">SUM(D10:H10)</f>
        <v>-72938</v>
      </c>
      <c r="J10" s="136"/>
      <c r="K10" s="36">
        <v>0</v>
      </c>
      <c r="L10" s="36">
        <f>+I10+K10</f>
        <v>-72938</v>
      </c>
      <c r="M10" s="249">
        <v>32500</v>
      </c>
      <c r="N10" s="134">
        <f t="shared" ref="N10:N23" si="1">L10-M10</f>
        <v>-105438</v>
      </c>
    </row>
    <row r="11" spans="1:16" s="187" customFormat="1" ht="13.5" customHeight="1">
      <c r="A11" s="12" t="s">
        <v>17</v>
      </c>
      <c r="B11" s="106" t="s">
        <v>133</v>
      </c>
      <c r="C11" s="186"/>
      <c r="D11" s="138">
        <v>-2775</v>
      </c>
      <c r="E11" s="139">
        <v>232.47763</v>
      </c>
      <c r="F11" s="139">
        <v>0</v>
      </c>
      <c r="G11" s="139">
        <v>-73.570580000000007</v>
      </c>
      <c r="H11" s="137">
        <v>0</v>
      </c>
      <c r="I11" s="135">
        <f t="shared" si="0"/>
        <v>-2616.0929500000002</v>
      </c>
      <c r="J11" s="136"/>
      <c r="K11" s="36">
        <v>0</v>
      </c>
      <c r="L11" s="36">
        <f t="shared" ref="L11:L23" si="2">+I11+K11</f>
        <v>-2616.0929500000002</v>
      </c>
      <c r="M11" s="249">
        <f>13750-M12+1875+3125</f>
        <v>16250</v>
      </c>
      <c r="N11" s="134">
        <f t="shared" si="1"/>
        <v>-18866.092949999998</v>
      </c>
    </row>
    <row r="12" spans="1:16" s="187" customFormat="1" ht="13.5" customHeight="1">
      <c r="A12" s="12"/>
      <c r="B12" s="106" t="s">
        <v>122</v>
      </c>
      <c r="C12" s="186"/>
      <c r="D12" s="138">
        <v>-2622</v>
      </c>
      <c r="E12" s="139">
        <v>0</v>
      </c>
      <c r="F12" s="139">
        <v>0</v>
      </c>
      <c r="G12" s="139">
        <v>0</v>
      </c>
      <c r="H12" s="137">
        <v>0</v>
      </c>
      <c r="I12" s="135">
        <f>SUM(D12:H12)</f>
        <v>-2622</v>
      </c>
      <c r="J12" s="136"/>
      <c r="K12" s="36">
        <v>0</v>
      </c>
      <c r="L12" s="36">
        <f>+I12+K12</f>
        <v>-2622</v>
      </c>
      <c r="M12" s="249">
        <v>2500</v>
      </c>
      <c r="N12" s="134">
        <f>L12-M12</f>
        <v>-5122</v>
      </c>
    </row>
    <row r="13" spans="1:16" s="187" customFormat="1" ht="13.5" hidden="1" customHeight="1">
      <c r="A13" s="12" t="s">
        <v>0</v>
      </c>
      <c r="B13" s="106" t="s">
        <v>43</v>
      </c>
      <c r="C13" s="186"/>
      <c r="D13" s="138">
        <v>0</v>
      </c>
      <c r="E13" s="139">
        <v>0</v>
      </c>
      <c r="F13" s="139">
        <v>0</v>
      </c>
      <c r="G13" s="139">
        <v>0</v>
      </c>
      <c r="H13" s="137">
        <v>0</v>
      </c>
      <c r="I13" s="135">
        <f t="shared" si="0"/>
        <v>0</v>
      </c>
      <c r="J13" s="136"/>
      <c r="K13" s="36">
        <v>0</v>
      </c>
      <c r="L13" s="36">
        <f t="shared" si="2"/>
        <v>0</v>
      </c>
      <c r="M13" s="249">
        <v>0</v>
      </c>
      <c r="N13" s="134">
        <f t="shared" si="1"/>
        <v>0</v>
      </c>
    </row>
    <row r="14" spans="1:16" s="187" customFormat="1" ht="13.5" customHeight="1">
      <c r="A14" s="12" t="s">
        <v>19</v>
      </c>
      <c r="B14" s="106" t="s">
        <v>63</v>
      </c>
      <c r="C14" s="186"/>
      <c r="D14" s="138">
        <v>1576</v>
      </c>
      <c r="E14" s="139">
        <v>0</v>
      </c>
      <c r="F14" s="139">
        <v>0</v>
      </c>
      <c r="G14" s="139">
        <v>0</v>
      </c>
      <c r="H14" s="137">
        <v>0</v>
      </c>
      <c r="I14" s="135">
        <f t="shared" si="0"/>
        <v>1576</v>
      </c>
      <c r="J14" s="136"/>
      <c r="K14" s="36">
        <v>0</v>
      </c>
      <c r="L14" s="36">
        <f t="shared" si="2"/>
        <v>1576</v>
      </c>
      <c r="M14" s="249">
        <f>8578.819-1500</f>
        <v>7078.8189999999995</v>
      </c>
      <c r="N14" s="134">
        <f t="shared" si="1"/>
        <v>-5502.8189999999995</v>
      </c>
    </row>
    <row r="15" spans="1:16" s="187" customFormat="1" ht="13.5" customHeight="1">
      <c r="A15" s="12" t="s">
        <v>41</v>
      </c>
      <c r="B15" s="106" t="s">
        <v>70</v>
      </c>
      <c r="C15" s="186"/>
      <c r="D15" s="138">
        <v>907</v>
      </c>
      <c r="E15" s="139">
        <v>0</v>
      </c>
      <c r="F15" s="139">
        <v>0</v>
      </c>
      <c r="G15" s="139">
        <v>0</v>
      </c>
      <c r="H15" s="137">
        <v>0</v>
      </c>
      <c r="I15" s="135">
        <f t="shared" si="0"/>
        <v>907</v>
      </c>
      <c r="J15" s="136"/>
      <c r="K15" s="36">
        <v>0</v>
      </c>
      <c r="L15" s="36">
        <f t="shared" si="2"/>
        <v>907</v>
      </c>
      <c r="M15" s="249">
        <v>11875</v>
      </c>
      <c r="N15" s="134">
        <f t="shared" si="1"/>
        <v>-10968</v>
      </c>
    </row>
    <row r="16" spans="1:16" ht="13.5" hidden="1" customHeight="1">
      <c r="A16" s="12" t="s">
        <v>50</v>
      </c>
      <c r="B16" s="304" t="s">
        <v>79</v>
      </c>
      <c r="C16" s="239"/>
      <c r="D16" s="240">
        <v>-7355</v>
      </c>
      <c r="E16" s="241">
        <v>0</v>
      </c>
      <c r="F16" s="241">
        <v>0</v>
      </c>
      <c r="G16" s="241">
        <v>0</v>
      </c>
      <c r="H16" s="243">
        <v>0</v>
      </c>
      <c r="I16" s="244">
        <f t="shared" si="0"/>
        <v>-7355</v>
      </c>
      <c r="J16" s="242"/>
      <c r="K16" s="242">
        <v>0</v>
      </c>
      <c r="L16" s="36">
        <f t="shared" si="2"/>
        <v>-7355</v>
      </c>
      <c r="M16" s="251">
        <v>0</v>
      </c>
      <c r="N16" s="243">
        <f>L16-M16</f>
        <v>-7355</v>
      </c>
    </row>
    <row r="17" spans="1:16" ht="13.5" hidden="1" customHeight="1">
      <c r="A17" s="12" t="s">
        <v>50</v>
      </c>
      <c r="B17" s="304" t="s">
        <v>109</v>
      </c>
      <c r="C17" s="239"/>
      <c r="D17" s="240">
        <v>3624</v>
      </c>
      <c r="E17" s="241">
        <v>0</v>
      </c>
      <c r="F17" s="241">
        <v>0</v>
      </c>
      <c r="G17" s="241">
        <v>0</v>
      </c>
      <c r="H17" s="243">
        <v>0</v>
      </c>
      <c r="I17" s="244">
        <f>SUM(D17:H17)</f>
        <v>3624</v>
      </c>
      <c r="J17" s="242"/>
      <c r="K17" s="242">
        <v>0</v>
      </c>
      <c r="L17" s="36">
        <f>+I17+K17</f>
        <v>3624</v>
      </c>
      <c r="M17" s="251">
        <v>0</v>
      </c>
      <c r="N17" s="243">
        <f>L17-M17</f>
        <v>3624</v>
      </c>
    </row>
    <row r="18" spans="1:16" ht="13.5" hidden="1" customHeight="1">
      <c r="B18" s="304" t="s">
        <v>82</v>
      </c>
      <c r="C18" s="239"/>
      <c r="D18" s="240">
        <v>-994</v>
      </c>
      <c r="E18" s="241">
        <v>0</v>
      </c>
      <c r="F18" s="241">
        <v>0</v>
      </c>
      <c r="G18" s="241">
        <v>0</v>
      </c>
      <c r="H18" s="243">
        <v>0</v>
      </c>
      <c r="I18" s="244">
        <f t="shared" si="0"/>
        <v>-994</v>
      </c>
      <c r="J18" s="242"/>
      <c r="K18" s="242">
        <v>0</v>
      </c>
      <c r="L18" s="36">
        <f t="shared" si="2"/>
        <v>-994</v>
      </c>
      <c r="M18" s="251">
        <v>0</v>
      </c>
      <c r="N18" s="243">
        <f>L18-M18</f>
        <v>-994</v>
      </c>
      <c r="P18" s="165"/>
    </row>
    <row r="19" spans="1:16" ht="13.5" hidden="1" customHeight="1">
      <c r="B19" s="304" t="s">
        <v>80</v>
      </c>
      <c r="C19" s="239"/>
      <c r="D19" s="240">
        <v>-22</v>
      </c>
      <c r="E19" s="241">
        <v>0</v>
      </c>
      <c r="F19" s="241">
        <v>0</v>
      </c>
      <c r="G19" s="241">
        <v>0</v>
      </c>
      <c r="H19" s="243">
        <v>0</v>
      </c>
      <c r="I19" s="244">
        <f t="shared" si="0"/>
        <v>-22</v>
      </c>
      <c r="J19" s="242"/>
      <c r="K19" s="242">
        <v>0</v>
      </c>
      <c r="L19" s="36">
        <f t="shared" si="2"/>
        <v>-22</v>
      </c>
      <c r="M19" s="251">
        <v>0</v>
      </c>
      <c r="N19" s="243">
        <f t="shared" si="1"/>
        <v>-22</v>
      </c>
      <c r="O19" s="165"/>
    </row>
    <row r="20" spans="1:16" ht="13.5" hidden="1" customHeight="1">
      <c r="B20" s="304" t="s">
        <v>81</v>
      </c>
      <c r="C20" s="239"/>
      <c r="D20" s="240">
        <v>-27</v>
      </c>
      <c r="E20" s="241">
        <v>0</v>
      </c>
      <c r="F20" s="241">
        <v>0</v>
      </c>
      <c r="G20" s="241">
        <v>0</v>
      </c>
      <c r="H20" s="243">
        <v>0</v>
      </c>
      <c r="I20" s="244">
        <f t="shared" si="0"/>
        <v>-27</v>
      </c>
      <c r="J20" s="242"/>
      <c r="K20" s="242">
        <v>0</v>
      </c>
      <c r="L20" s="36">
        <f t="shared" si="2"/>
        <v>-27</v>
      </c>
      <c r="M20" s="251">
        <v>0</v>
      </c>
      <c r="N20" s="243">
        <f t="shared" si="1"/>
        <v>-27</v>
      </c>
    </row>
    <row r="21" spans="1:16" ht="13.5" hidden="1" customHeight="1">
      <c r="B21" s="304" t="s">
        <v>83</v>
      </c>
      <c r="C21" s="239"/>
      <c r="D21" s="248">
        <v>0</v>
      </c>
      <c r="E21" s="250">
        <v>0</v>
      </c>
      <c r="F21" s="250">
        <v>0</v>
      </c>
      <c r="G21" s="250">
        <v>0</v>
      </c>
      <c r="H21" s="253">
        <v>0</v>
      </c>
      <c r="I21" s="262">
        <f t="shared" si="0"/>
        <v>0</v>
      </c>
      <c r="J21" s="252"/>
      <c r="K21" s="252">
        <v>0</v>
      </c>
      <c r="L21" s="263">
        <f t="shared" si="2"/>
        <v>0</v>
      </c>
      <c r="M21" s="264">
        <v>0</v>
      </c>
      <c r="N21" s="253">
        <f>L21-M21</f>
        <v>0</v>
      </c>
    </row>
    <row r="22" spans="1:16" s="187" customFormat="1" ht="13.5" customHeight="1">
      <c r="A22" s="12"/>
      <c r="B22" s="106" t="s">
        <v>49</v>
      </c>
      <c r="C22" s="186"/>
      <c r="D22" s="138">
        <f t="shared" ref="D22:I22" si="3">SUM(D16:D21)</f>
        <v>-4774</v>
      </c>
      <c r="E22" s="139">
        <f t="shared" si="3"/>
        <v>0</v>
      </c>
      <c r="F22" s="139">
        <f t="shared" si="3"/>
        <v>0</v>
      </c>
      <c r="G22" s="139">
        <f t="shared" si="3"/>
        <v>0</v>
      </c>
      <c r="H22" s="137">
        <f t="shared" si="3"/>
        <v>0</v>
      </c>
      <c r="I22" s="135">
        <f t="shared" si="3"/>
        <v>-4774</v>
      </c>
      <c r="J22" s="136"/>
      <c r="K22" s="36">
        <f>SUM(K16:K21)</f>
        <v>0</v>
      </c>
      <c r="L22" s="36">
        <f t="shared" si="2"/>
        <v>-4774</v>
      </c>
      <c r="M22" s="249">
        <v>27500</v>
      </c>
      <c r="N22" s="134">
        <f>L22-M22</f>
        <v>-32274</v>
      </c>
    </row>
    <row r="23" spans="1:16" s="187" customFormat="1" ht="13.5" customHeight="1">
      <c r="A23" s="12"/>
      <c r="B23" s="166" t="s">
        <v>127</v>
      </c>
      <c r="C23" s="186"/>
      <c r="D23" s="138">
        <v>84</v>
      </c>
      <c r="E23" s="139">
        <v>20.371320000000001</v>
      </c>
      <c r="F23" s="139">
        <v>0</v>
      </c>
      <c r="G23" s="139">
        <v>0</v>
      </c>
      <c r="H23" s="137">
        <v>0</v>
      </c>
      <c r="I23" s="135">
        <f t="shared" ref="I23:I28" si="4">SUM(D23:H23)</f>
        <v>104.37132</v>
      </c>
      <c r="J23" s="136"/>
      <c r="K23" s="36">
        <v>0</v>
      </c>
      <c r="L23" s="36">
        <f t="shared" si="2"/>
        <v>104.37132</v>
      </c>
      <c r="M23" s="137">
        <f>1000+311</f>
        <v>1311</v>
      </c>
      <c r="N23" s="134">
        <f t="shared" si="1"/>
        <v>-1206.62868</v>
      </c>
    </row>
    <row r="24" spans="1:16" s="187" customFormat="1" ht="13.5" customHeight="1">
      <c r="A24" s="12"/>
      <c r="B24" s="106" t="s">
        <v>87</v>
      </c>
      <c r="C24" s="186"/>
      <c r="D24" s="138">
        <v>412</v>
      </c>
      <c r="E24" s="139">
        <v>0</v>
      </c>
      <c r="F24" s="139">
        <v>0</v>
      </c>
      <c r="G24" s="139">
        <v>38</v>
      </c>
      <c r="H24" s="137">
        <v>0</v>
      </c>
      <c r="I24" s="135">
        <f t="shared" si="4"/>
        <v>450</v>
      </c>
      <c r="J24" s="136"/>
      <c r="K24" s="36">
        <v>0</v>
      </c>
      <c r="L24" s="36">
        <f>+I24+K24</f>
        <v>450</v>
      </c>
      <c r="M24" s="249">
        <v>5000</v>
      </c>
      <c r="N24" s="134">
        <f>L24-M24</f>
        <v>-4550</v>
      </c>
      <c r="O24" s="14"/>
    </row>
    <row r="25" spans="1:16" s="187" customFormat="1" ht="13.5" customHeight="1">
      <c r="A25" s="12"/>
      <c r="B25" s="106" t="s">
        <v>89</v>
      </c>
      <c r="C25" s="186"/>
      <c r="D25" s="138">
        <v>0</v>
      </c>
      <c r="E25" s="139">
        <v>0</v>
      </c>
      <c r="F25" s="139">
        <v>0</v>
      </c>
      <c r="G25" s="139">
        <v>-1445</v>
      </c>
      <c r="H25" s="137">
        <v>0</v>
      </c>
      <c r="I25" s="135">
        <f t="shared" si="4"/>
        <v>-1445</v>
      </c>
      <c r="J25" s="136"/>
      <c r="K25" s="36">
        <v>0</v>
      </c>
      <c r="L25" s="36">
        <f>+I25+K25</f>
        <v>-1445</v>
      </c>
      <c r="M25" s="249">
        <f>4008.499-2890+254</f>
        <v>1372.4989999999998</v>
      </c>
      <c r="N25" s="134">
        <f>L25-M25</f>
        <v>-2817.4989999999998</v>
      </c>
    </row>
    <row r="26" spans="1:16" s="187" customFormat="1" ht="12" customHeight="1">
      <c r="A26" s="185"/>
      <c r="B26" s="166" t="s">
        <v>118</v>
      </c>
      <c r="C26" s="186"/>
      <c r="D26" s="138">
        <v>0</v>
      </c>
      <c r="E26" s="139">
        <v>0</v>
      </c>
      <c r="F26" s="139">
        <v>0</v>
      </c>
      <c r="G26" s="139">
        <v>0</v>
      </c>
      <c r="H26" s="137">
        <v>0</v>
      </c>
      <c r="I26" s="135">
        <f t="shared" si="4"/>
        <v>0</v>
      </c>
      <c r="J26" s="136"/>
      <c r="K26" s="132">
        <v>0</v>
      </c>
      <c r="L26" s="36">
        <f>+I26+K26</f>
        <v>0</v>
      </c>
      <c r="M26" s="137">
        <v>0</v>
      </c>
      <c r="N26" s="134">
        <f>L26-M26</f>
        <v>0</v>
      </c>
    </row>
    <row r="27" spans="1:16" s="187" customFormat="1" ht="12" customHeight="1">
      <c r="A27" s="185"/>
      <c r="B27" s="106" t="s">
        <v>2</v>
      </c>
      <c r="C27" s="186"/>
      <c r="D27" s="138">
        <v>0</v>
      </c>
      <c r="E27" s="139">
        <v>0</v>
      </c>
      <c r="F27" s="139">
        <v>0</v>
      </c>
      <c r="G27" s="139">
        <v>0</v>
      </c>
      <c r="H27" s="137">
        <v>0</v>
      </c>
      <c r="I27" s="135">
        <f t="shared" si="4"/>
        <v>0</v>
      </c>
      <c r="J27" s="136"/>
      <c r="K27" s="132">
        <v>0</v>
      </c>
      <c r="L27" s="36">
        <f>+I27+K27</f>
        <v>0</v>
      </c>
      <c r="M27" s="137">
        <v>0</v>
      </c>
      <c r="N27" s="134">
        <f>L27-M27</f>
        <v>0</v>
      </c>
    </row>
    <row r="28" spans="1:16" s="187" customFormat="1" ht="12" customHeight="1">
      <c r="A28" s="185"/>
      <c r="B28" s="106" t="s">
        <v>129</v>
      </c>
      <c r="C28" s="186"/>
      <c r="D28" s="138">
        <v>0</v>
      </c>
      <c r="E28" s="139">
        <v>0</v>
      </c>
      <c r="F28" s="139">
        <v>0</v>
      </c>
      <c r="G28" s="139">
        <v>0</v>
      </c>
      <c r="H28" s="137">
        <v>0</v>
      </c>
      <c r="I28" s="135">
        <f t="shared" si="4"/>
        <v>0</v>
      </c>
      <c r="J28" s="136"/>
      <c r="K28" s="132">
        <v>0</v>
      </c>
      <c r="L28" s="36">
        <f>+I28+K28</f>
        <v>0</v>
      </c>
      <c r="M28" s="137">
        <f>3875+738.104</f>
        <v>4613.1040000000003</v>
      </c>
      <c r="N28" s="134">
        <f>L28-M28</f>
        <v>-4613.1040000000003</v>
      </c>
    </row>
    <row r="29" spans="1:16" ht="3" customHeight="1">
      <c r="B29" s="105"/>
      <c r="C29" s="34"/>
      <c r="D29" s="309"/>
      <c r="E29" s="310"/>
      <c r="F29" s="310"/>
      <c r="G29" s="310"/>
      <c r="H29" s="310"/>
      <c r="I29" s="312"/>
      <c r="J29" s="310"/>
      <c r="K29" s="310"/>
      <c r="L29" s="310"/>
      <c r="M29" s="310"/>
      <c r="N29" s="312"/>
    </row>
    <row r="30" spans="1:16" ht="12" hidden="1" customHeight="1">
      <c r="B30" s="259" t="s">
        <v>75</v>
      </c>
      <c r="C30" s="34"/>
      <c r="D30" s="43">
        <f t="shared" ref="D30:N30" si="5">SUM(D10:D15)+SUM(D22:D28)</f>
        <v>-80130</v>
      </c>
      <c r="E30" s="44">
        <f t="shared" si="5"/>
        <v>252.84895</v>
      </c>
      <c r="F30" s="44">
        <f t="shared" si="5"/>
        <v>0</v>
      </c>
      <c r="G30" s="44">
        <f t="shared" si="5"/>
        <v>-1480.5705800000001</v>
      </c>
      <c r="H30" s="44">
        <f t="shared" si="5"/>
        <v>0</v>
      </c>
      <c r="I30" s="46">
        <f t="shared" si="5"/>
        <v>-81357.72163</v>
      </c>
      <c r="J30" s="44">
        <f t="shared" si="5"/>
        <v>0</v>
      </c>
      <c r="K30" s="44">
        <f t="shared" si="5"/>
        <v>0</v>
      </c>
      <c r="L30" s="44">
        <f t="shared" si="5"/>
        <v>-81357.72163</v>
      </c>
      <c r="M30" s="44">
        <f t="shared" si="5"/>
        <v>110000.42199999999</v>
      </c>
      <c r="N30" s="46">
        <f t="shared" si="5"/>
        <v>-191358.14362999998</v>
      </c>
    </row>
    <row r="31" spans="1:16" ht="3" hidden="1" customHeight="1">
      <c r="B31" s="106"/>
      <c r="C31" s="34"/>
      <c r="D31" s="132"/>
      <c r="E31" s="36"/>
      <c r="F31" s="36"/>
      <c r="G31" s="36"/>
      <c r="H31" s="36"/>
      <c r="I31" s="135"/>
      <c r="J31" s="36"/>
      <c r="K31" s="36"/>
      <c r="L31" s="36"/>
      <c r="M31" s="36"/>
      <c r="N31" s="135"/>
    </row>
    <row r="32" spans="1:16" ht="13.5" hidden="1" customHeight="1">
      <c r="B32" s="106" t="s">
        <v>10</v>
      </c>
      <c r="C32" s="34"/>
      <c r="D32" s="132">
        <v>0</v>
      </c>
      <c r="E32" s="139">
        <v>0</v>
      </c>
      <c r="F32" s="139">
        <v>0</v>
      </c>
      <c r="G32" s="139">
        <v>0</v>
      </c>
      <c r="H32" s="36">
        <v>0</v>
      </c>
      <c r="I32" s="135">
        <f>SUM(D32:H32)</f>
        <v>0</v>
      </c>
      <c r="J32" s="36"/>
      <c r="K32" s="36">
        <v>0</v>
      </c>
      <c r="L32" s="36">
        <f>SUM(I32:K32)</f>
        <v>0</v>
      </c>
      <c r="M32" s="36">
        <v>0</v>
      </c>
      <c r="N32" s="135">
        <f>L32-M32</f>
        <v>0</v>
      </c>
    </row>
    <row r="33" spans="2:14" ht="3" hidden="1" customHeight="1">
      <c r="B33" s="106"/>
      <c r="C33" s="34"/>
      <c r="D33" s="132"/>
      <c r="E33" s="36"/>
      <c r="F33" s="36"/>
      <c r="G33" s="36"/>
      <c r="H33" s="36"/>
      <c r="I33" s="135"/>
      <c r="J33" s="36"/>
      <c r="K33" s="36"/>
      <c r="L33" s="36"/>
      <c r="M33" s="36"/>
      <c r="N33" s="135"/>
    </row>
    <row r="34" spans="2:14" ht="12" customHeight="1">
      <c r="B34" s="38" t="s">
        <v>76</v>
      </c>
      <c r="C34" s="34"/>
      <c r="D34" s="39">
        <f>SUM(D10:D15)+SUM(D22:D28)</f>
        <v>-80130</v>
      </c>
      <c r="E34" s="40">
        <f t="shared" ref="E34:N34" si="6">SUM(E10:E15)+SUM(E22:E28)</f>
        <v>252.84895</v>
      </c>
      <c r="F34" s="40">
        <f t="shared" si="6"/>
        <v>0</v>
      </c>
      <c r="G34" s="40">
        <f t="shared" si="6"/>
        <v>-1480.5705800000001</v>
      </c>
      <c r="H34" s="40">
        <f t="shared" si="6"/>
        <v>0</v>
      </c>
      <c r="I34" s="42">
        <f t="shared" si="6"/>
        <v>-81357.72163</v>
      </c>
      <c r="J34" s="40">
        <f t="shared" si="6"/>
        <v>0</v>
      </c>
      <c r="K34" s="40">
        <f t="shared" si="6"/>
        <v>0</v>
      </c>
      <c r="L34" s="40">
        <f t="shared" si="6"/>
        <v>-81357.72163</v>
      </c>
      <c r="M34" s="40">
        <f t="shared" si="6"/>
        <v>110000.42199999999</v>
      </c>
      <c r="N34" s="42">
        <f t="shared" si="6"/>
        <v>-191358.14362999998</v>
      </c>
    </row>
    <row r="35" spans="2:14" ht="3" customHeight="1">
      <c r="B35" s="24"/>
      <c r="D35" s="25"/>
      <c r="E35" s="26"/>
      <c r="F35" s="26"/>
      <c r="G35" s="26"/>
      <c r="H35" s="26"/>
      <c r="I35" s="169"/>
      <c r="J35" s="26"/>
      <c r="K35" s="26"/>
      <c r="L35" s="26"/>
      <c r="M35" s="26"/>
      <c r="N35" s="169"/>
    </row>
    <row r="36" spans="2:14">
      <c r="B36" s="162" t="s">
        <v>59</v>
      </c>
      <c r="C36" s="59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B38" s="70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2:14">
      <c r="D41" s="23"/>
      <c r="E41" s="23"/>
      <c r="F41" s="23"/>
      <c r="G41" s="23"/>
      <c r="H41" s="23"/>
      <c r="I41" s="23"/>
      <c r="J41" s="23"/>
      <c r="K41" s="23"/>
      <c r="L41" s="23" t="s">
        <v>62</v>
      </c>
      <c r="M41" s="23"/>
      <c r="N41" s="23"/>
    </row>
    <row r="42" spans="2:14">
      <c r="D42" s="23"/>
    </row>
    <row r="43" spans="2:14">
      <c r="D43" s="23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E35" sqref="E35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42</v>
      </c>
    </row>
    <row r="2" spans="1:37" ht="15.75">
      <c r="A2" s="10" t="s">
        <v>28</v>
      </c>
      <c r="B2" s="332" t="s">
        <v>69</v>
      </c>
      <c r="C2" s="332"/>
      <c r="D2" s="332"/>
      <c r="E2" s="332"/>
      <c r="F2" s="332"/>
      <c r="G2" s="332"/>
      <c r="H2" s="332"/>
      <c r="I2" s="332"/>
      <c r="J2" s="332"/>
      <c r="K2" s="332"/>
      <c r="Q2" t="s">
        <v>58</v>
      </c>
    </row>
    <row r="3" spans="1:37" ht="15">
      <c r="A3" s="11">
        <v>36861</v>
      </c>
      <c r="B3" s="333" t="s">
        <v>126</v>
      </c>
      <c r="C3" s="333"/>
      <c r="D3" s="333"/>
      <c r="E3" s="333"/>
      <c r="F3" s="333"/>
      <c r="G3" s="333"/>
      <c r="H3" s="333"/>
      <c r="I3" s="333"/>
      <c r="J3" s="333"/>
      <c r="K3" s="333"/>
    </row>
    <row r="4" spans="1:37">
      <c r="A4" s="10" t="s">
        <v>21</v>
      </c>
      <c r="B4" s="334" t="str">
        <f>+'Mgmt Summary'!A3</f>
        <v>Results based on activity through May 25, 2001</v>
      </c>
      <c r="C4" s="334"/>
      <c r="D4" s="334"/>
      <c r="E4" s="334"/>
      <c r="F4" s="334"/>
      <c r="G4" s="334"/>
      <c r="H4" s="334"/>
      <c r="I4" s="334"/>
      <c r="J4" s="334"/>
      <c r="K4" s="334"/>
    </row>
    <row r="5" spans="1:37" ht="3" customHeight="1"/>
    <row r="6" spans="1:37" s="50" customFormat="1" ht="12">
      <c r="A6" s="10" t="s">
        <v>46</v>
      </c>
      <c r="B6" s="123"/>
      <c r="D6" s="326" t="s">
        <v>25</v>
      </c>
      <c r="E6" s="327"/>
      <c r="F6" s="328"/>
      <c r="H6" s="124"/>
      <c r="I6" s="125"/>
      <c r="J6" s="125"/>
      <c r="K6" s="126"/>
    </row>
    <row r="7" spans="1:37" s="50" customFormat="1" ht="12">
      <c r="B7" s="127" t="s">
        <v>9</v>
      </c>
      <c r="D7" s="86" t="s">
        <v>6</v>
      </c>
      <c r="E7" s="87" t="s">
        <v>8</v>
      </c>
      <c r="F7" s="74" t="s">
        <v>11</v>
      </c>
      <c r="H7" s="329" t="s">
        <v>38</v>
      </c>
      <c r="I7" s="330"/>
      <c r="J7" s="330"/>
      <c r="K7" s="331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8" t="s">
        <v>119</v>
      </c>
      <c r="C9" s="171"/>
      <c r="D9" s="158">
        <f>+E9+200</f>
        <v>7194.3119999999999</v>
      </c>
      <c r="E9" s="172">
        <v>6994.3119999999999</v>
      </c>
      <c r="F9" s="176">
        <f t="shared" ref="F9:F16" si="0">E9-D9</f>
        <v>-200</v>
      </c>
      <c r="G9" s="52"/>
      <c r="H9" s="247" t="s">
        <v>135</v>
      </c>
      <c r="I9" s="144"/>
      <c r="J9" s="144"/>
      <c r="K9" s="145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17</v>
      </c>
      <c r="B10" s="128" t="s">
        <v>133</v>
      </c>
      <c r="C10" s="50"/>
      <c r="D10" s="158">
        <f>+E10+200</f>
        <v>5212.9960000000001</v>
      </c>
      <c r="E10" s="172">
        <f>4077.215+237.191+1046.59-E11</f>
        <v>5012.9960000000001</v>
      </c>
      <c r="F10" s="142">
        <f t="shared" si="0"/>
        <v>-200</v>
      </c>
      <c r="G10" s="52"/>
      <c r="H10" s="247" t="s">
        <v>136</v>
      </c>
      <c r="I10" s="144"/>
      <c r="J10" s="144"/>
      <c r="K10" s="145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B11" s="128" t="s">
        <v>122</v>
      </c>
      <c r="C11" s="50"/>
      <c r="D11" s="158">
        <f t="shared" ref="D11:D16" si="1">+E11</f>
        <v>348</v>
      </c>
      <c r="E11" s="172">
        <v>348</v>
      </c>
      <c r="F11" s="142">
        <f>E11-D11</f>
        <v>0</v>
      </c>
      <c r="G11" s="52"/>
      <c r="H11" s="247"/>
      <c r="I11" s="144"/>
      <c r="J11" s="144"/>
      <c r="K11" s="145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hidden="1" customHeight="1">
      <c r="A12" s="10" t="s">
        <v>0</v>
      </c>
      <c r="B12" s="128" t="s">
        <v>43</v>
      </c>
      <c r="C12" s="50"/>
      <c r="D12" s="158">
        <f t="shared" si="1"/>
        <v>0</v>
      </c>
      <c r="E12" s="172">
        <v>0</v>
      </c>
      <c r="F12" s="142">
        <f t="shared" si="0"/>
        <v>0</v>
      </c>
      <c r="G12" s="52"/>
      <c r="H12" s="247"/>
      <c r="I12" s="144"/>
      <c r="J12" s="144"/>
      <c r="K12" s="145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19</v>
      </c>
      <c r="B13" s="128" t="s">
        <v>63</v>
      </c>
      <c r="C13" s="50"/>
      <c r="D13" s="158">
        <f t="shared" si="1"/>
        <v>1463.0070000000001</v>
      </c>
      <c r="E13" s="172">
        <f>1906.741-443.734</f>
        <v>1463.0070000000001</v>
      </c>
      <c r="F13" s="142">
        <f t="shared" si="0"/>
        <v>0</v>
      </c>
      <c r="G13" s="52"/>
      <c r="H13" s="247"/>
      <c r="I13" s="144"/>
      <c r="J13" s="144"/>
      <c r="K13" s="145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41</v>
      </c>
      <c r="B14" s="128" t="s">
        <v>70</v>
      </c>
      <c r="C14" s="50"/>
      <c r="D14" s="158">
        <f t="shared" si="1"/>
        <v>2304.1210000000001</v>
      </c>
      <c r="E14" s="172">
        <v>2304.1210000000001</v>
      </c>
      <c r="F14" s="142">
        <f t="shared" si="0"/>
        <v>0</v>
      </c>
      <c r="G14" s="52"/>
      <c r="H14" s="247"/>
      <c r="I14" s="144"/>
      <c r="J14" s="144"/>
      <c r="K14" s="145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A15" s="10" t="s">
        <v>50</v>
      </c>
      <c r="B15" s="170" t="s">
        <v>49</v>
      </c>
      <c r="C15" s="171"/>
      <c r="D15" s="158">
        <f t="shared" si="1"/>
        <v>3742.614</v>
      </c>
      <c r="E15" s="172">
        <v>3742.614</v>
      </c>
      <c r="F15" s="176">
        <f t="shared" si="0"/>
        <v>0</v>
      </c>
      <c r="G15" s="52"/>
      <c r="H15" s="247"/>
      <c r="I15" s="144"/>
      <c r="J15" s="144"/>
      <c r="K15" s="145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0" t="s">
        <v>127</v>
      </c>
      <c r="C16" s="171"/>
      <c r="D16" s="158">
        <f t="shared" si="1"/>
        <v>4357.2929999999997</v>
      </c>
      <c r="E16" s="172">
        <f>578.553+3778.74</f>
        <v>4357.2929999999997</v>
      </c>
      <c r="F16" s="176">
        <f t="shared" si="0"/>
        <v>0</v>
      </c>
      <c r="G16" s="52"/>
      <c r="H16" s="247"/>
      <c r="I16" s="144"/>
      <c r="J16" s="144"/>
      <c r="K16" s="145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0" t="s">
        <v>87</v>
      </c>
      <c r="C17" s="171"/>
      <c r="D17" s="158">
        <f>+E17+1500</f>
        <v>2930.25</v>
      </c>
      <c r="E17" s="172">
        <v>1430.25</v>
      </c>
      <c r="F17" s="176">
        <f>E17-D17</f>
        <v>-1500</v>
      </c>
      <c r="G17" s="52"/>
      <c r="H17" s="247" t="s">
        <v>134</v>
      </c>
      <c r="I17" s="144"/>
      <c r="J17" s="144"/>
      <c r="K17" s="145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0" t="s">
        <v>89</v>
      </c>
      <c r="C18" s="171"/>
      <c r="D18" s="158">
        <f>+E18</f>
        <v>302.28100000000001</v>
      </c>
      <c r="E18" s="172">
        <f>(483.603-250)*0+302.281</f>
        <v>302.28100000000001</v>
      </c>
      <c r="F18" s="176">
        <f>E18-D18</f>
        <v>0</v>
      </c>
      <c r="G18" s="52"/>
      <c r="H18" s="247"/>
      <c r="I18" s="144"/>
      <c r="J18" s="144"/>
      <c r="K18" s="14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0" t="s">
        <v>118</v>
      </c>
      <c r="C19" s="171"/>
      <c r="D19" s="158">
        <f>+E19</f>
        <v>695.86599999999999</v>
      </c>
      <c r="E19" s="172">
        <v>695.86599999999999</v>
      </c>
      <c r="F19" s="176">
        <f>E19-D19</f>
        <v>0</v>
      </c>
      <c r="G19" s="52"/>
      <c r="H19" s="247"/>
      <c r="I19" s="144"/>
      <c r="J19" s="144"/>
      <c r="K19" s="145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8" t="s">
        <v>2</v>
      </c>
      <c r="C20" s="50"/>
      <c r="D20" s="158">
        <f>+E20+250</f>
        <v>787.2</v>
      </c>
      <c r="E20" s="141">
        <v>537.20000000000005</v>
      </c>
      <c r="F20" s="142">
        <f>E20-D20</f>
        <v>-250</v>
      </c>
      <c r="G20" s="52"/>
      <c r="H20" s="247" t="s">
        <v>130</v>
      </c>
      <c r="I20" s="144"/>
      <c r="J20" s="144"/>
      <c r="K20" s="145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8"/>
      <c r="C21" s="50"/>
      <c r="D21" s="140"/>
      <c r="E21" s="141"/>
      <c r="F21" s="142"/>
      <c r="G21" s="52"/>
      <c r="H21" s="143"/>
      <c r="I21" s="144"/>
      <c r="J21" s="144"/>
      <c r="K21" s="145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92</v>
      </c>
      <c r="C22" s="50"/>
      <c r="D22" s="56">
        <f>SUM(D9:D21)</f>
        <v>29337.94</v>
      </c>
      <c r="E22" s="57">
        <f>SUM(E9:E21)</f>
        <v>27187.94</v>
      </c>
      <c r="F22" s="180">
        <f>SUM(F9:F21)</f>
        <v>-2150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8"/>
      <c r="C23" s="50"/>
      <c r="D23" s="140"/>
      <c r="E23" s="141"/>
      <c r="F23" s="142"/>
      <c r="G23" s="52"/>
      <c r="H23" s="143"/>
      <c r="I23" s="144"/>
      <c r="J23" s="144"/>
      <c r="K23" s="145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8" t="s">
        <v>22</v>
      </c>
      <c r="C24" s="50"/>
      <c r="D24" s="140">
        <f>+E24</f>
        <v>28242.490999999998</v>
      </c>
      <c r="E24" s="141">
        <f>29614-68.678-792.24+407.571+500-1100-318.162</f>
        <v>28242.490999999998</v>
      </c>
      <c r="F24" s="142">
        <f>E24-D24</f>
        <v>0</v>
      </c>
      <c r="G24" s="52"/>
      <c r="H24" s="247"/>
      <c r="I24" s="144"/>
      <c r="J24" s="144"/>
      <c r="K24" s="14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8" t="s">
        <v>10</v>
      </c>
      <c r="C25" s="50"/>
      <c r="D25" s="140">
        <v>0</v>
      </c>
      <c r="E25" s="141">
        <v>0</v>
      </c>
      <c r="F25" s="142">
        <f>E25-D25</f>
        <v>0</v>
      </c>
      <c r="G25" s="52"/>
      <c r="H25" s="143"/>
      <c r="I25" s="144"/>
      <c r="J25" s="144"/>
      <c r="K25" s="145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8"/>
      <c r="C26" s="50"/>
      <c r="D26" s="140"/>
      <c r="E26" s="141"/>
      <c r="F26" s="142"/>
      <c r="G26" s="52"/>
      <c r="H26" s="143"/>
      <c r="I26" s="144"/>
      <c r="J26" s="144"/>
      <c r="K26" s="145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57580.430999999997</v>
      </c>
      <c r="E27" s="48">
        <f>SUM(E22:E25)</f>
        <v>55430.430999999997</v>
      </c>
      <c r="F27" s="49">
        <f>SUM(F22:F25)</f>
        <v>-2150</v>
      </c>
      <c r="G27" s="52"/>
      <c r="H27" s="53"/>
      <c r="I27" s="54"/>
      <c r="J27" s="54"/>
      <c r="K27" s="55"/>
      <c r="L27" s="31"/>
    </row>
    <row r="28" spans="1:37" ht="3" customHeight="1">
      <c r="B28" s="146"/>
      <c r="C28" s="50"/>
      <c r="D28" s="147"/>
      <c r="E28" s="148"/>
      <c r="F28" s="149"/>
      <c r="G28" s="50"/>
      <c r="H28" s="147"/>
      <c r="I28" s="148"/>
      <c r="J28" s="148"/>
      <c r="K28" s="149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35" t="s">
        <v>48</v>
      </c>
      <c r="E30" s="336"/>
      <c r="F30" s="337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11</v>
      </c>
      <c r="G31" s="31"/>
      <c r="H31" s="323" t="s">
        <v>38</v>
      </c>
      <c r="I31" s="324"/>
      <c r="J31" s="324"/>
      <c r="K31" s="325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3"/>
      <c r="D32" s="150">
        <v>0</v>
      </c>
      <c r="E32" s="151">
        <v>0</v>
      </c>
      <c r="F32" s="152">
        <f>E32-D32</f>
        <v>0</v>
      </c>
      <c r="H32" s="124"/>
      <c r="I32" s="125"/>
      <c r="J32" s="125"/>
      <c r="K32" s="126"/>
    </row>
    <row r="33" spans="2:37" s="50" customFormat="1" ht="12" hidden="1">
      <c r="B33" s="128"/>
      <c r="D33" s="140">
        <v>0</v>
      </c>
      <c r="E33" s="141">
        <v>0</v>
      </c>
      <c r="F33" s="142">
        <f>E33-D33</f>
        <v>0</v>
      </c>
      <c r="H33" s="143"/>
      <c r="I33" s="144"/>
      <c r="J33" s="144"/>
      <c r="K33" s="145"/>
    </row>
    <row r="34" spans="2:37" s="50" customFormat="1" ht="12" hidden="1">
      <c r="B34" s="146"/>
      <c r="D34" s="153">
        <v>0</v>
      </c>
      <c r="E34" s="154">
        <v>0</v>
      </c>
      <c r="F34" s="155">
        <f>E34-D34</f>
        <v>0</v>
      </c>
      <c r="H34" s="147"/>
      <c r="I34" s="148"/>
      <c r="J34" s="148"/>
      <c r="K34" s="149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62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5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1"/>
  <sheetViews>
    <sheetView topLeftCell="A2" zoomScaleNormal="100" workbookViewId="0">
      <selection activeCell="D16" sqref="D16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32" t="s">
        <v>69</v>
      </c>
      <c r="B2" s="332"/>
      <c r="C2" s="332"/>
      <c r="D2" s="332"/>
      <c r="E2" s="332"/>
      <c r="F2" s="332"/>
      <c r="G2" s="332"/>
      <c r="H2" s="332"/>
      <c r="I2" s="332"/>
      <c r="J2" s="332"/>
    </row>
    <row r="3" spans="1:33" ht="15">
      <c r="A3" s="333" t="s">
        <v>117</v>
      </c>
      <c r="B3" s="333"/>
      <c r="C3" s="333"/>
      <c r="D3" s="333"/>
      <c r="E3" s="333"/>
      <c r="F3" s="333"/>
      <c r="G3" s="333"/>
      <c r="H3" s="333"/>
      <c r="I3" s="333"/>
      <c r="J3" s="333"/>
    </row>
    <row r="4" spans="1:33">
      <c r="A4" s="334" t="str">
        <f>+Expenses!B4</f>
        <v>Results based on activity through May 25, 2001</v>
      </c>
      <c r="B4" s="334"/>
      <c r="C4" s="334"/>
      <c r="D4" s="334"/>
      <c r="E4" s="334"/>
      <c r="F4" s="334"/>
      <c r="G4" s="334"/>
      <c r="H4" s="334"/>
      <c r="I4" s="334"/>
      <c r="J4" s="334"/>
    </row>
    <row r="5" spans="1:33" ht="3" customHeight="1"/>
    <row r="6" spans="1:33" s="31" customFormat="1">
      <c r="A6" s="123"/>
      <c r="B6" s="50"/>
      <c r="C6" s="326" t="s">
        <v>25</v>
      </c>
      <c r="D6" s="327"/>
      <c r="E6" s="328"/>
      <c r="F6" s="50"/>
      <c r="G6" s="124"/>
      <c r="H6" s="125"/>
      <c r="I6" s="125"/>
      <c r="J6" s="126"/>
    </row>
    <row r="7" spans="1:33" s="31" customFormat="1">
      <c r="A7" s="127" t="s">
        <v>9</v>
      </c>
      <c r="B7" s="50"/>
      <c r="C7" s="86" t="s">
        <v>6</v>
      </c>
      <c r="D7" s="87" t="s">
        <v>8</v>
      </c>
      <c r="E7" s="74" t="s">
        <v>11</v>
      </c>
      <c r="F7" s="50"/>
      <c r="G7" s="329" t="s">
        <v>38</v>
      </c>
      <c r="H7" s="330"/>
      <c r="I7" s="330"/>
      <c r="J7" s="331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8" t="s">
        <v>119</v>
      </c>
      <c r="B9" s="50"/>
      <c r="C9" s="140">
        <f>+Expenses!D9-[4]Expenses!D9</f>
        <v>0</v>
      </c>
      <c r="D9" s="141">
        <f>+Expenses!E9-[4]Expenses!E9</f>
        <v>0</v>
      </c>
      <c r="E9" s="142">
        <f t="shared" ref="E9:E16" si="0">D9-C9</f>
        <v>0</v>
      </c>
      <c r="F9" s="52"/>
      <c r="G9" s="247"/>
      <c r="H9" s="144"/>
      <c r="I9" s="144"/>
      <c r="J9" s="14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8" t="s">
        <v>133</v>
      </c>
      <c r="B10" s="50"/>
      <c r="C10" s="140">
        <f>+Expenses!D10-[4]Expenses!D10</f>
        <v>0</v>
      </c>
      <c r="D10" s="141">
        <f>+Expenses!E10-[4]Expenses!E10</f>
        <v>0</v>
      </c>
      <c r="E10" s="142">
        <f t="shared" si="0"/>
        <v>0</v>
      </c>
      <c r="F10" s="52"/>
      <c r="G10" s="247"/>
      <c r="H10" s="144"/>
      <c r="I10" s="144"/>
      <c r="J10" s="14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8" t="s">
        <v>122</v>
      </c>
      <c r="B11" s="50"/>
      <c r="C11" s="140">
        <f>+Expenses!D11-[4]Expenses!D11</f>
        <v>0</v>
      </c>
      <c r="D11" s="141">
        <f>+Expenses!E11-[4]Expenses!E11</f>
        <v>0</v>
      </c>
      <c r="E11" s="142">
        <f t="shared" si="0"/>
        <v>0</v>
      </c>
      <c r="F11" s="52"/>
      <c r="G11" s="247"/>
      <c r="H11" s="144"/>
      <c r="I11" s="144"/>
      <c r="J11" s="14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hidden="1" customHeight="1">
      <c r="A12" s="128" t="s">
        <v>43</v>
      </c>
      <c r="B12" s="50"/>
      <c r="C12" s="140">
        <f>+Expenses!D12-[4]Expenses!D12</f>
        <v>0</v>
      </c>
      <c r="D12" s="141">
        <f>+Expenses!E12-[4]Expenses!E12</f>
        <v>0</v>
      </c>
      <c r="E12" s="142">
        <f t="shared" si="0"/>
        <v>0</v>
      </c>
      <c r="F12" s="52"/>
      <c r="G12" s="247"/>
      <c r="H12" s="144"/>
      <c r="I12" s="144"/>
      <c r="J12" s="14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8" t="s">
        <v>63</v>
      </c>
      <c r="B13" s="50"/>
      <c r="C13" s="140">
        <f>+Expenses!D13-[4]Expenses!D13</f>
        <v>0</v>
      </c>
      <c r="D13" s="141">
        <f>+Expenses!E13-[4]Expenses!E13</f>
        <v>0</v>
      </c>
      <c r="E13" s="142">
        <f t="shared" si="0"/>
        <v>0</v>
      </c>
      <c r="F13" s="52"/>
      <c r="G13" s="247"/>
      <c r="H13" s="144"/>
      <c r="I13" s="144"/>
      <c r="J13" s="14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8" t="s">
        <v>70</v>
      </c>
      <c r="B14" s="50"/>
      <c r="C14" s="140">
        <f>+Expenses!D14-[4]Expenses!D14</f>
        <v>0</v>
      </c>
      <c r="D14" s="141">
        <f>+Expenses!E14-[4]Expenses!E14</f>
        <v>0</v>
      </c>
      <c r="E14" s="142">
        <f t="shared" si="0"/>
        <v>0</v>
      </c>
      <c r="F14" s="52"/>
      <c r="G14" s="247"/>
      <c r="H14" s="144"/>
      <c r="I14" s="144"/>
      <c r="J14" s="14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70" t="s">
        <v>49</v>
      </c>
      <c r="B15" s="50"/>
      <c r="C15" s="140">
        <f>+Expenses!D15-[4]Expenses!D15</f>
        <v>0</v>
      </c>
      <c r="D15" s="141">
        <f>+Expenses!E15-[4]Expenses!E15</f>
        <v>0</v>
      </c>
      <c r="E15" s="142">
        <f t="shared" si="0"/>
        <v>0</v>
      </c>
      <c r="F15" s="52"/>
      <c r="G15" s="247"/>
      <c r="H15" s="144"/>
      <c r="I15" s="144"/>
      <c r="J15" s="14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70" t="s">
        <v>131</v>
      </c>
      <c r="B16" s="50"/>
      <c r="C16" s="140">
        <f>+Expenses!D16-[4]Expenses!D16</f>
        <v>0</v>
      </c>
      <c r="D16" s="141">
        <f>+Expenses!E16-[4]Expenses!E16</f>
        <v>0</v>
      </c>
      <c r="E16" s="142">
        <f t="shared" si="0"/>
        <v>0</v>
      </c>
      <c r="F16" s="52"/>
      <c r="G16" s="247"/>
      <c r="H16" s="144"/>
      <c r="I16" s="144"/>
      <c r="J16" s="14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70" t="s">
        <v>87</v>
      </c>
      <c r="B17" s="50"/>
      <c r="C17" s="140">
        <f>+Expenses!D17-[4]Expenses!D17</f>
        <v>0</v>
      </c>
      <c r="D17" s="141">
        <f>+Expenses!E17-[4]Expenses!E17</f>
        <v>0</v>
      </c>
      <c r="E17" s="142">
        <f>D17-C17</f>
        <v>0</v>
      </c>
      <c r="F17" s="52"/>
      <c r="G17" s="247"/>
      <c r="H17" s="144"/>
      <c r="I17" s="144"/>
      <c r="J17" s="14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70" t="s">
        <v>88</v>
      </c>
      <c r="B18" s="50"/>
      <c r="C18" s="140">
        <f>+Expenses!D18-[4]Expenses!D18</f>
        <v>0</v>
      </c>
      <c r="D18" s="141">
        <f>+Expenses!E18-[4]Expenses!E18</f>
        <v>0</v>
      </c>
      <c r="E18" s="142">
        <f>D18-C18</f>
        <v>0</v>
      </c>
      <c r="F18" s="52"/>
      <c r="G18" s="308"/>
      <c r="H18" s="144"/>
      <c r="I18" s="144"/>
      <c r="J18" s="14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70" t="s">
        <v>89</v>
      </c>
      <c r="B19" s="50"/>
      <c r="C19" s="140">
        <f>+Expenses!D19-[4]Expenses!D19</f>
        <v>0</v>
      </c>
      <c r="D19" s="141">
        <f>+Expenses!E19-[4]Expenses!E19</f>
        <v>0</v>
      </c>
      <c r="E19" s="142">
        <f>D19-C19</f>
        <v>0</v>
      </c>
      <c r="F19" s="52"/>
      <c r="G19" s="247"/>
      <c r="H19" s="144"/>
      <c r="I19" s="144"/>
      <c r="J19" s="14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70" t="s">
        <v>118</v>
      </c>
      <c r="B20" s="50"/>
      <c r="C20" s="140">
        <f>+Expenses!D20-[4]Expenses!D20</f>
        <v>0</v>
      </c>
      <c r="D20" s="141">
        <f>+Expenses!E20-[4]Expenses!E20</f>
        <v>0</v>
      </c>
      <c r="E20" s="142">
        <f>D20-C20</f>
        <v>0</v>
      </c>
      <c r="F20" s="52"/>
      <c r="G20" s="247"/>
      <c r="H20" s="144"/>
      <c r="I20" s="144"/>
      <c r="J20" s="14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8" t="s">
        <v>2</v>
      </c>
      <c r="B21" s="50"/>
      <c r="C21" s="140">
        <f>+Expenses!D21-[4]Expenses!D21</f>
        <v>0</v>
      </c>
      <c r="D21" s="141">
        <f>+Expenses!E21-[4]Expenses!E21</f>
        <v>0</v>
      </c>
      <c r="E21" s="142">
        <f>D21-C21</f>
        <v>0</v>
      </c>
      <c r="F21" s="52"/>
      <c r="G21" s="247"/>
      <c r="H21" s="144"/>
      <c r="I21" s="144"/>
      <c r="J21" s="14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3" customHeight="1">
      <c r="A22" s="128"/>
      <c r="B22" s="50"/>
      <c r="C22" s="140"/>
      <c r="D22" s="141"/>
      <c r="E22" s="142"/>
      <c r="F22" s="52"/>
      <c r="G22" s="143"/>
      <c r="H22" s="144"/>
      <c r="I22" s="144"/>
      <c r="J22" s="14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1.25" customHeight="1">
      <c r="A23" s="51" t="s">
        <v>92</v>
      </c>
      <c r="B23" s="50"/>
      <c r="C23" s="47">
        <f>SUM(C9:C22)</f>
        <v>0</v>
      </c>
      <c r="D23" s="48">
        <f>SUM(D9:D22)</f>
        <v>0</v>
      </c>
      <c r="E23" s="49">
        <f>SUM(E9:E22)</f>
        <v>0</v>
      </c>
      <c r="F23" s="52"/>
      <c r="G23" s="143"/>
      <c r="H23" s="144"/>
      <c r="I23" s="144"/>
      <c r="J23" s="14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3" customHeight="1">
      <c r="A24" s="128"/>
      <c r="B24" s="50"/>
      <c r="C24" s="140"/>
      <c r="D24" s="141"/>
      <c r="E24" s="142"/>
      <c r="F24" s="52"/>
      <c r="G24" s="143"/>
      <c r="H24" s="144"/>
      <c r="I24" s="144"/>
      <c r="J24" s="14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8" t="s">
        <v>22</v>
      </c>
      <c r="B25" s="50"/>
      <c r="C25" s="140">
        <f>+Expenses!D25-[4]Expenses!D25</f>
        <v>0</v>
      </c>
      <c r="D25" s="141">
        <f>+Expenses!E25-[4]Expenses!E25</f>
        <v>0</v>
      </c>
      <c r="E25" s="142">
        <f>D25-C25</f>
        <v>0</v>
      </c>
      <c r="F25" s="52"/>
      <c r="G25" s="247"/>
      <c r="H25" s="144"/>
      <c r="I25" s="144"/>
      <c r="J25" s="14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3.5" customHeight="1">
      <c r="A26" s="128" t="s">
        <v>10</v>
      </c>
      <c r="B26" s="50"/>
      <c r="C26" s="140">
        <f>+Expenses!D26-[4]Expenses!D26</f>
        <v>0</v>
      </c>
      <c r="D26" s="141">
        <f>+Expenses!E26-[4]Expenses!E26</f>
        <v>0</v>
      </c>
      <c r="E26" s="142">
        <f>D26-C26</f>
        <v>0</v>
      </c>
      <c r="F26" s="52"/>
      <c r="G26" s="143"/>
      <c r="H26" s="144"/>
      <c r="I26" s="144"/>
      <c r="J26" s="14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3" customHeight="1">
      <c r="A27" s="128"/>
      <c r="B27" s="50"/>
      <c r="C27" s="140"/>
      <c r="D27" s="141"/>
      <c r="E27" s="142"/>
      <c r="F27" s="52"/>
      <c r="G27" s="143"/>
      <c r="H27" s="144"/>
      <c r="I27" s="144"/>
      <c r="J27" s="14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50" customFormat="1" ht="11.25" customHeight="1">
      <c r="A28" s="51" t="s">
        <v>7</v>
      </c>
      <c r="C28" s="47">
        <f>SUM(C23:C26)</f>
        <v>0</v>
      </c>
      <c r="D28" s="48">
        <f>SUM(D23:D26)</f>
        <v>0</v>
      </c>
      <c r="E28" s="49">
        <f>SUM(E23:E26)</f>
        <v>0</v>
      </c>
      <c r="F28" s="52"/>
      <c r="G28" s="53"/>
      <c r="H28" s="54"/>
      <c r="I28" s="54"/>
      <c r="J28" s="55"/>
    </row>
    <row r="29" spans="1:33" ht="3" customHeight="1">
      <c r="A29" s="83"/>
      <c r="B29" s="31"/>
      <c r="C29" s="84"/>
      <c r="D29" s="81"/>
      <c r="E29" s="82"/>
      <c r="F29" s="31"/>
      <c r="G29" s="84"/>
      <c r="H29" s="81"/>
      <c r="I29" s="81"/>
      <c r="J29" s="8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s="33" customFormat="1" ht="3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s="50" customFormat="1" ht="12" hidden="1">
      <c r="A31" s="123"/>
      <c r="C31" s="326" t="s">
        <v>48</v>
      </c>
      <c r="D31" s="327"/>
      <c r="E31" s="328"/>
      <c r="G31" s="124"/>
      <c r="H31" s="125"/>
      <c r="I31" s="125"/>
      <c r="J31" s="126"/>
    </row>
    <row r="32" spans="1:33" s="50" customFormat="1" ht="12" hidden="1">
      <c r="A32" s="156" t="s">
        <v>9</v>
      </c>
      <c r="C32" s="86" t="s">
        <v>6</v>
      </c>
      <c r="D32" s="87" t="s">
        <v>8</v>
      </c>
      <c r="E32" s="74" t="s">
        <v>11</v>
      </c>
      <c r="G32" s="329" t="s">
        <v>38</v>
      </c>
      <c r="H32" s="330"/>
      <c r="I32" s="330"/>
      <c r="J32" s="331"/>
    </row>
    <row r="33" spans="1:33" s="50" customFormat="1" ht="12" hidden="1">
      <c r="A33" s="123"/>
      <c r="C33" s="140">
        <f>[3]Expenses!D33-[3]Expenses!D29</f>
        <v>0</v>
      </c>
      <c r="D33" s="141">
        <f>[3]Expenses!E33-[3]Expenses!E29</f>
        <v>0</v>
      </c>
      <c r="E33" s="142">
        <f>D33-C33</f>
        <v>0</v>
      </c>
      <c r="G33" s="124"/>
      <c r="H33" s="125"/>
      <c r="I33" s="125"/>
      <c r="J33" s="126"/>
    </row>
    <row r="34" spans="1:33" s="50" customFormat="1" ht="12" hidden="1">
      <c r="A34" s="128"/>
      <c r="C34" s="140">
        <f>[3]Expenses!D34-[3]Expenses!D30</f>
        <v>0</v>
      </c>
      <c r="D34" s="141">
        <f>[3]Expenses!E34-[3]Expenses!E30</f>
        <v>0</v>
      </c>
      <c r="E34" s="142">
        <f>D34-C34</f>
        <v>0</v>
      </c>
      <c r="G34" s="143"/>
      <c r="H34" s="144"/>
      <c r="I34" s="144"/>
      <c r="J34" s="145"/>
    </row>
    <row r="35" spans="1:33" s="50" customFormat="1" ht="12" hidden="1">
      <c r="A35" s="146"/>
      <c r="C35" s="153" t="e">
        <f>[3]Expenses!D35-[3]Expenses!D31</f>
        <v>#VALUE!</v>
      </c>
      <c r="D35" s="154">
        <f>[3]Expenses!E35-[3]Expenses!E31</f>
        <v>0</v>
      </c>
      <c r="E35" s="155" t="e">
        <f>D35-C35</f>
        <v>#VALUE!</v>
      </c>
      <c r="G35" s="147"/>
      <c r="H35" s="148"/>
      <c r="I35" s="148"/>
      <c r="J35" s="149"/>
    </row>
    <row r="36" spans="1:33">
      <c r="A36" s="31"/>
      <c r="B36" s="31"/>
      <c r="C36" s="73"/>
      <c r="D36" s="73"/>
      <c r="E36" s="31"/>
      <c r="F36" s="31"/>
      <c r="G36" s="31"/>
      <c r="H36" s="31"/>
      <c r="I36" s="31"/>
      <c r="J36" s="31"/>
      <c r="K36" s="1"/>
      <c r="L36" s="1" t="s">
        <v>62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25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>
      <c r="C39" s="164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</sheetData>
  <mergeCells count="7">
    <mergeCell ref="C31:E31"/>
    <mergeCell ref="G32:J32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2" zoomScaleNormal="100" workbookViewId="0">
      <selection activeCell="B31" sqref="B31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hidden="1" customWidth="1"/>
    <col min="7" max="8" width="7.7109375" hidden="1" customWidth="1"/>
    <col min="9" max="9" width="8.5703125" hidden="1" customWidth="1"/>
    <col min="10" max="10" width="1.85546875" hidden="1" customWidth="1"/>
    <col min="11" max="13" width="8.7109375" customWidth="1"/>
    <col min="14" max="16" width="14.85546875" customWidth="1"/>
  </cols>
  <sheetData>
    <row r="1" spans="1:20" hidden="1">
      <c r="A1" s="10" t="s">
        <v>42</v>
      </c>
    </row>
    <row r="2" spans="1:20" ht="15.75">
      <c r="A2" s="10" t="s">
        <v>29</v>
      </c>
      <c r="B2" s="332" t="s">
        <v>69</v>
      </c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</row>
    <row r="3" spans="1:20" ht="15">
      <c r="A3" s="10" t="s">
        <v>30</v>
      </c>
      <c r="B3" s="333" t="s">
        <v>120</v>
      </c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</row>
    <row r="4" spans="1:20">
      <c r="A4" s="11">
        <v>36861</v>
      </c>
      <c r="B4" s="334" t="str">
        <f>+'Mgmt Summary'!A3</f>
        <v>Results based on activity through May 25, 2001</v>
      </c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</row>
    <row r="5" spans="1:20" ht="3" customHeight="1">
      <c r="A5" s="10" t="s">
        <v>21</v>
      </c>
    </row>
    <row r="6" spans="1:20">
      <c r="A6" s="10" t="s">
        <v>46</v>
      </c>
      <c r="B6" s="123"/>
      <c r="C6" s="50"/>
      <c r="D6" s="124"/>
      <c r="E6" s="125"/>
      <c r="F6" s="125"/>
      <c r="G6" s="125"/>
      <c r="H6" s="125"/>
      <c r="I6" s="126"/>
      <c r="J6" s="50"/>
      <c r="K6" s="124"/>
      <c r="L6" s="125"/>
      <c r="M6" s="125"/>
      <c r="N6" s="125"/>
      <c r="O6" s="125"/>
      <c r="P6" s="126"/>
      <c r="Q6" s="50"/>
      <c r="R6" s="1"/>
      <c r="S6" s="1"/>
      <c r="T6" s="1"/>
    </row>
    <row r="7" spans="1:20">
      <c r="B7" s="128"/>
      <c r="C7" s="50"/>
      <c r="D7" s="329" t="s">
        <v>31</v>
      </c>
      <c r="E7" s="330"/>
      <c r="F7" s="330"/>
      <c r="G7" s="330"/>
      <c r="H7" s="330"/>
      <c r="I7" s="331"/>
      <c r="J7" s="50"/>
      <c r="K7" s="297" t="s">
        <v>54</v>
      </c>
      <c r="L7" s="298"/>
      <c r="M7" s="298"/>
      <c r="N7" s="129"/>
      <c r="O7" s="130"/>
      <c r="P7" s="131"/>
      <c r="Q7" s="50"/>
      <c r="R7" s="1"/>
      <c r="S7" s="1"/>
      <c r="T7" s="1"/>
    </row>
    <row r="8" spans="1:20">
      <c r="B8" s="127" t="s">
        <v>9</v>
      </c>
      <c r="C8" s="50"/>
      <c r="D8" s="129" t="s">
        <v>6</v>
      </c>
      <c r="E8" s="130" t="s">
        <v>8</v>
      </c>
      <c r="F8" s="131" t="s">
        <v>11</v>
      </c>
      <c r="G8" s="338" t="s">
        <v>32</v>
      </c>
      <c r="H8" s="339"/>
      <c r="I8" s="340"/>
      <c r="J8" s="50"/>
      <c r="K8" s="86" t="s">
        <v>6</v>
      </c>
      <c r="L8" s="87" t="s">
        <v>8</v>
      </c>
      <c r="M8" s="87" t="s">
        <v>11</v>
      </c>
      <c r="N8" s="299" t="s">
        <v>38</v>
      </c>
      <c r="O8" s="300"/>
      <c r="P8" s="301"/>
      <c r="Q8" s="50"/>
      <c r="R8" s="1"/>
      <c r="S8" s="1"/>
      <c r="T8" s="1"/>
    </row>
    <row r="9" spans="1:20" ht="8.25" customHeight="1">
      <c r="B9" s="123"/>
      <c r="C9" s="50"/>
      <c r="D9" s="124"/>
      <c r="E9" s="125"/>
      <c r="F9" s="125"/>
      <c r="G9" s="125"/>
      <c r="H9" s="125"/>
      <c r="I9" s="126"/>
      <c r="J9" s="50"/>
      <c r="K9" s="124"/>
      <c r="L9" s="125"/>
      <c r="M9" s="126"/>
      <c r="N9" s="144"/>
      <c r="O9" s="144"/>
      <c r="P9" s="145"/>
      <c r="Q9" s="50"/>
      <c r="R9" s="1"/>
      <c r="S9" s="1"/>
      <c r="T9" s="1"/>
    </row>
    <row r="10" spans="1:20" ht="13.5" customHeight="1">
      <c r="B10" s="128" t="s">
        <v>119</v>
      </c>
      <c r="C10" s="171"/>
      <c r="D10" s="158">
        <v>0</v>
      </c>
      <c r="E10" s="172">
        <v>0</v>
      </c>
      <c r="F10" s="173">
        <f t="shared" ref="F10:F21" si="0">E10-D10</f>
        <v>0</v>
      </c>
      <c r="G10" s="174"/>
      <c r="H10" s="174"/>
      <c r="I10" s="175"/>
      <c r="J10" s="171"/>
      <c r="K10" s="158">
        <f>+L10</f>
        <v>9979.1720000000005</v>
      </c>
      <c r="L10" s="172">
        <v>9979.1720000000005</v>
      </c>
      <c r="M10" s="176">
        <f>L10-K10</f>
        <v>0</v>
      </c>
      <c r="N10" s="2"/>
      <c r="O10" s="144"/>
      <c r="P10" s="79"/>
      <c r="Q10" s="1"/>
      <c r="R10" s="1"/>
      <c r="S10" s="1"/>
      <c r="T10" s="1"/>
    </row>
    <row r="11" spans="1:20" ht="13.5" customHeight="1">
      <c r="A11" s="10" t="s">
        <v>17</v>
      </c>
      <c r="B11" s="128" t="s">
        <v>133</v>
      </c>
      <c r="C11" s="50"/>
      <c r="D11" s="158">
        <f>+E11</f>
        <v>0</v>
      </c>
      <c r="E11" s="172">
        <v>0</v>
      </c>
      <c r="F11" s="157">
        <f t="shared" si="0"/>
        <v>0</v>
      </c>
      <c r="G11" s="144"/>
      <c r="H11" s="144"/>
      <c r="I11" s="145"/>
      <c r="J11" s="50"/>
      <c r="K11" s="158">
        <f t="shared" ref="K11:K16" si="1">L11</f>
        <v>3790.0200000000004</v>
      </c>
      <c r="L11" s="172">
        <f>3365.73+801.29-L12</f>
        <v>3790.0200000000004</v>
      </c>
      <c r="M11" s="142">
        <f t="shared" ref="M11:M16" si="2">ROUND(L11-K11,0)</f>
        <v>0</v>
      </c>
      <c r="N11" s="144"/>
      <c r="O11" s="144"/>
      <c r="P11" s="79"/>
      <c r="Q11" s="1"/>
      <c r="R11" s="1"/>
      <c r="S11" s="1"/>
      <c r="T11" s="1"/>
    </row>
    <row r="12" spans="1:20" ht="13.5" customHeight="1">
      <c r="B12" s="128" t="s">
        <v>122</v>
      </c>
      <c r="C12" s="50"/>
      <c r="D12" s="158"/>
      <c r="E12" s="172"/>
      <c r="F12" s="157"/>
      <c r="G12" s="144"/>
      <c r="H12" s="144"/>
      <c r="I12" s="145"/>
      <c r="J12" s="50"/>
      <c r="K12" s="158">
        <f t="shared" si="1"/>
        <v>377</v>
      </c>
      <c r="L12" s="172">
        <v>377</v>
      </c>
      <c r="M12" s="142">
        <f t="shared" si="2"/>
        <v>0</v>
      </c>
      <c r="N12" s="144"/>
      <c r="O12" s="144"/>
      <c r="P12" s="79"/>
      <c r="Q12" s="1"/>
      <c r="R12" s="1"/>
      <c r="S12" s="1"/>
      <c r="T12" s="1"/>
    </row>
    <row r="13" spans="1:20" ht="13.5" hidden="1" customHeight="1">
      <c r="A13" s="10" t="s">
        <v>0</v>
      </c>
      <c r="B13" s="128" t="s">
        <v>43</v>
      </c>
      <c r="C13" s="50"/>
      <c r="D13" s="140">
        <f>E13</f>
        <v>0</v>
      </c>
      <c r="E13" s="141">
        <v>0</v>
      </c>
      <c r="F13" s="157">
        <f t="shared" si="0"/>
        <v>0</v>
      </c>
      <c r="G13" s="144"/>
      <c r="H13" s="144"/>
      <c r="I13" s="145"/>
      <c r="J13" s="50"/>
      <c r="K13" s="158">
        <f t="shared" si="1"/>
        <v>0</v>
      </c>
      <c r="L13" s="172">
        <v>0</v>
      </c>
      <c r="M13" s="142">
        <f t="shared" si="2"/>
        <v>0</v>
      </c>
      <c r="N13" s="144"/>
      <c r="O13" s="144"/>
      <c r="P13" s="79"/>
      <c r="Q13" s="1"/>
      <c r="R13" s="1"/>
      <c r="S13" s="1"/>
      <c r="T13" s="1"/>
    </row>
    <row r="14" spans="1:20" ht="13.5" customHeight="1">
      <c r="A14" s="10" t="s">
        <v>19</v>
      </c>
      <c r="B14" s="128" t="s">
        <v>63</v>
      </c>
      <c r="C14" s="50"/>
      <c r="D14" s="140">
        <f>E14</f>
        <v>0</v>
      </c>
      <c r="E14" s="141">
        <v>0</v>
      </c>
      <c r="F14" s="157">
        <f t="shared" si="0"/>
        <v>0</v>
      </c>
      <c r="G14" s="144"/>
      <c r="H14" s="144"/>
      <c r="I14" s="145"/>
      <c r="J14" s="50"/>
      <c r="K14" s="158">
        <f t="shared" si="1"/>
        <v>1777.6249999999998</v>
      </c>
      <c r="L14" s="172">
        <f>2095.787-318.162</f>
        <v>1777.6249999999998</v>
      </c>
      <c r="M14" s="142">
        <f t="shared" si="2"/>
        <v>0</v>
      </c>
      <c r="N14" s="144"/>
      <c r="O14" s="144"/>
      <c r="P14" s="79"/>
      <c r="Q14" s="1"/>
      <c r="R14" s="1"/>
      <c r="S14" s="1"/>
      <c r="T14" s="1"/>
    </row>
    <row r="15" spans="1:20" ht="13.5" customHeight="1">
      <c r="A15" s="10" t="s">
        <v>41</v>
      </c>
      <c r="B15" s="128" t="s">
        <v>70</v>
      </c>
      <c r="C15" s="50"/>
      <c r="D15" s="158">
        <v>0</v>
      </c>
      <c r="E15" s="141">
        <v>0</v>
      </c>
      <c r="F15" s="157">
        <f t="shared" si="0"/>
        <v>0</v>
      </c>
      <c r="G15" s="144"/>
      <c r="H15" s="144"/>
      <c r="I15" s="145"/>
      <c r="J15" s="50"/>
      <c r="K15" s="158">
        <f t="shared" si="1"/>
        <v>955.69299999999998</v>
      </c>
      <c r="L15" s="172">
        <v>955.69299999999998</v>
      </c>
      <c r="M15" s="142">
        <f t="shared" si="2"/>
        <v>0</v>
      </c>
      <c r="N15" s="144"/>
      <c r="O15" s="144"/>
      <c r="P15" s="79"/>
      <c r="Q15" s="1"/>
      <c r="R15" s="1"/>
      <c r="S15" s="1"/>
      <c r="T15" s="1"/>
    </row>
    <row r="16" spans="1:20" ht="13.5" customHeight="1">
      <c r="A16" s="10" t="s">
        <v>50</v>
      </c>
      <c r="B16" s="170" t="s">
        <v>49</v>
      </c>
      <c r="C16" s="171"/>
      <c r="D16" s="158">
        <f>E16</f>
        <v>0</v>
      </c>
      <c r="E16" s="172">
        <v>0</v>
      </c>
      <c r="F16" s="173">
        <f t="shared" si="0"/>
        <v>0</v>
      </c>
      <c r="G16" s="174"/>
      <c r="H16" s="174"/>
      <c r="I16" s="175"/>
      <c r="J16" s="171"/>
      <c r="K16" s="158">
        <f t="shared" si="1"/>
        <v>2270.6309999999999</v>
      </c>
      <c r="L16" s="172">
        <v>2270.6309999999999</v>
      </c>
      <c r="M16" s="176">
        <f t="shared" si="2"/>
        <v>0</v>
      </c>
      <c r="N16" s="144"/>
      <c r="O16" s="144"/>
      <c r="P16" s="79"/>
      <c r="Q16" s="1"/>
      <c r="R16" s="1"/>
      <c r="S16" s="1"/>
      <c r="T16" s="1"/>
    </row>
    <row r="17" spans="2:20" ht="13.5" customHeight="1">
      <c r="B17" s="170" t="s">
        <v>127</v>
      </c>
      <c r="C17" s="171"/>
      <c r="D17" s="158">
        <v>0</v>
      </c>
      <c r="E17" s="172">
        <v>0</v>
      </c>
      <c r="F17" s="173">
        <f t="shared" si="0"/>
        <v>0</v>
      </c>
      <c r="G17" s="174"/>
      <c r="H17" s="174"/>
      <c r="I17" s="175"/>
      <c r="J17" s="171"/>
      <c r="K17" s="158">
        <f>+L17</f>
        <v>577.41800000000001</v>
      </c>
      <c r="L17" s="172">
        <v>577.41800000000001</v>
      </c>
      <c r="M17" s="176">
        <f>L17-K17</f>
        <v>0</v>
      </c>
      <c r="N17" s="144"/>
      <c r="O17" s="144"/>
      <c r="P17" s="79"/>
      <c r="Q17" s="1"/>
      <c r="R17" s="1"/>
      <c r="S17" s="1"/>
      <c r="T17" s="1"/>
    </row>
    <row r="18" spans="2:20" ht="13.5" customHeight="1">
      <c r="B18" s="170" t="s">
        <v>87</v>
      </c>
      <c r="C18" s="171"/>
      <c r="D18" s="158">
        <f>+E18</f>
        <v>0</v>
      </c>
      <c r="E18" s="172">
        <v>0</v>
      </c>
      <c r="F18" s="173">
        <f t="shared" si="0"/>
        <v>0</v>
      </c>
      <c r="G18" s="174"/>
      <c r="H18" s="174"/>
      <c r="I18" s="175"/>
      <c r="J18" s="171"/>
      <c r="K18" s="158">
        <f>+L18</f>
        <v>1191.846</v>
      </c>
      <c r="L18" s="172">
        <v>1191.846</v>
      </c>
      <c r="M18" s="176">
        <f>L18-K18</f>
        <v>0</v>
      </c>
      <c r="N18" s="144"/>
      <c r="O18" s="144"/>
      <c r="P18" s="79"/>
      <c r="Q18" s="1"/>
      <c r="R18" s="1"/>
      <c r="S18" s="1"/>
      <c r="T18" s="1"/>
    </row>
    <row r="19" spans="2:20" ht="13.5" customHeight="1">
      <c r="B19" s="170" t="s">
        <v>89</v>
      </c>
      <c r="C19" s="171"/>
      <c r="D19" s="158">
        <f>+E19</f>
        <v>0</v>
      </c>
      <c r="E19" s="172">
        <v>0</v>
      </c>
      <c r="F19" s="173">
        <f t="shared" si="0"/>
        <v>0</v>
      </c>
      <c r="G19" s="174"/>
      <c r="H19" s="174"/>
      <c r="I19" s="175"/>
      <c r="J19" s="171"/>
      <c r="K19" s="158">
        <f>+L19</f>
        <v>573.06500000000005</v>
      </c>
      <c r="L19" s="172">
        <v>573.06500000000005</v>
      </c>
      <c r="M19" s="176">
        <f>L19-K19</f>
        <v>0</v>
      </c>
      <c r="N19" s="144"/>
      <c r="O19" s="144"/>
      <c r="P19" s="79"/>
      <c r="Q19" s="1"/>
      <c r="R19" s="1"/>
      <c r="S19" s="1"/>
      <c r="T19" s="1"/>
    </row>
    <row r="20" spans="2:20" ht="13.5" customHeight="1">
      <c r="B20" s="170" t="s">
        <v>118</v>
      </c>
      <c r="C20" s="171"/>
      <c r="D20" s="158">
        <f>+E20</f>
        <v>0</v>
      </c>
      <c r="E20" s="172">
        <v>0</v>
      </c>
      <c r="F20" s="173">
        <f t="shared" si="0"/>
        <v>0</v>
      </c>
      <c r="G20" s="174"/>
      <c r="H20" s="174"/>
      <c r="I20" s="175"/>
      <c r="J20" s="171"/>
      <c r="K20" s="158">
        <f>+L20</f>
        <v>70.366</v>
      </c>
      <c r="L20" s="172">
        <v>70.366</v>
      </c>
      <c r="M20" s="176">
        <f>L20-K20</f>
        <v>0</v>
      </c>
      <c r="N20" s="144"/>
      <c r="O20" s="144"/>
      <c r="P20" s="79"/>
      <c r="Q20" s="1"/>
      <c r="R20" s="1"/>
      <c r="S20" s="1"/>
      <c r="T20" s="1"/>
    </row>
    <row r="21" spans="2:20" ht="13.5" customHeight="1">
      <c r="B21" s="128" t="s">
        <v>2</v>
      </c>
      <c r="C21" s="50"/>
      <c r="D21" s="140">
        <v>0</v>
      </c>
      <c r="E21" s="141">
        <v>0</v>
      </c>
      <c r="F21" s="157">
        <f t="shared" si="0"/>
        <v>0</v>
      </c>
      <c r="G21" s="144"/>
      <c r="H21" s="144"/>
      <c r="I21" s="145"/>
      <c r="J21" s="50"/>
      <c r="K21" s="158">
        <f>L21</f>
        <v>474.024</v>
      </c>
      <c r="L21" s="141">
        <v>474.024</v>
      </c>
      <c r="M21" s="142">
        <f>L21-K21</f>
        <v>0</v>
      </c>
      <c r="N21" s="144"/>
      <c r="O21" s="144"/>
      <c r="P21" s="79"/>
      <c r="Q21" s="1"/>
      <c r="R21" s="1"/>
      <c r="S21" s="1"/>
      <c r="T21" s="1"/>
    </row>
    <row r="22" spans="2:20" ht="3" customHeight="1">
      <c r="B22" s="128"/>
      <c r="C22" s="50"/>
      <c r="D22" s="140"/>
      <c r="E22" s="141"/>
      <c r="F22" s="157"/>
      <c r="G22" s="144"/>
      <c r="H22" s="144"/>
      <c r="I22" s="145"/>
      <c r="J22" s="50"/>
      <c r="K22" s="140"/>
      <c r="L22" s="141"/>
      <c r="M22" s="142"/>
      <c r="N22" s="144"/>
      <c r="O22" s="144"/>
      <c r="P22" s="79"/>
      <c r="Q22" s="1"/>
      <c r="R22" s="1"/>
      <c r="S22" s="1"/>
      <c r="T22" s="1"/>
    </row>
    <row r="23" spans="2:20" ht="11.25" customHeight="1">
      <c r="B23" s="258" t="s">
        <v>92</v>
      </c>
      <c r="C23" s="50"/>
      <c r="D23" s="56">
        <f>SUM(D10:D22)</f>
        <v>0</v>
      </c>
      <c r="E23" s="57">
        <f>SUM(E10:E22)</f>
        <v>0</v>
      </c>
      <c r="F23" s="57">
        <f>SUM(F10:F22)</f>
        <v>0</v>
      </c>
      <c r="G23" s="54"/>
      <c r="H23" s="54"/>
      <c r="I23" s="55"/>
      <c r="J23" s="50"/>
      <c r="K23" s="56">
        <f>SUM(K10:K22)</f>
        <v>22036.860000000008</v>
      </c>
      <c r="L23" s="57">
        <f>SUM(L10:L22)</f>
        <v>22036.860000000008</v>
      </c>
      <c r="M23" s="180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8"/>
      <c r="C24" s="50"/>
      <c r="D24" s="140"/>
      <c r="E24" s="141"/>
      <c r="F24" s="157"/>
      <c r="G24" s="144"/>
      <c r="H24" s="144"/>
      <c r="I24" s="145"/>
      <c r="J24" s="50"/>
      <c r="K24" s="140"/>
      <c r="L24" s="141"/>
      <c r="M24" s="142"/>
      <c r="N24" s="144"/>
      <c r="O24" s="144"/>
      <c r="P24" s="79"/>
      <c r="Q24" s="1"/>
      <c r="R24" s="1"/>
      <c r="S24" s="1"/>
      <c r="T24" s="1"/>
    </row>
    <row r="25" spans="2:20" ht="13.5" hidden="1" customHeight="1">
      <c r="B25" s="128" t="s">
        <v>68</v>
      </c>
      <c r="C25" s="50"/>
      <c r="D25" s="140">
        <f>-(D23)</f>
        <v>0</v>
      </c>
      <c r="E25" s="141">
        <f>-(E23)</f>
        <v>0</v>
      </c>
      <c r="F25" s="157">
        <f>E25-D25</f>
        <v>0</v>
      </c>
      <c r="G25" s="144"/>
      <c r="H25" s="144"/>
      <c r="I25" s="145"/>
      <c r="J25" s="50"/>
      <c r="K25" s="140">
        <v>0</v>
      </c>
      <c r="L25" s="141">
        <v>0</v>
      </c>
      <c r="M25" s="142">
        <f>L25-K25</f>
        <v>0</v>
      </c>
      <c r="N25" s="144"/>
      <c r="O25" s="144"/>
      <c r="P25" s="79"/>
      <c r="Q25" s="1"/>
      <c r="R25" s="1"/>
      <c r="S25" s="1"/>
      <c r="T25" s="1"/>
    </row>
    <row r="26" spans="2:20" ht="13.5" customHeight="1">
      <c r="B26" s="128" t="s">
        <v>90</v>
      </c>
      <c r="C26" s="50"/>
      <c r="D26" s="140">
        <v>0</v>
      </c>
      <c r="E26" s="141">
        <v>0</v>
      </c>
      <c r="F26" s="157">
        <f>E26-D26</f>
        <v>0</v>
      </c>
      <c r="G26" s="144"/>
      <c r="H26" s="144"/>
      <c r="I26" s="145"/>
      <c r="J26" s="50"/>
      <c r="K26" s="140">
        <f>-K23</f>
        <v>-22036.860000000008</v>
      </c>
      <c r="L26" s="141">
        <f>-L23</f>
        <v>-22036.860000000008</v>
      </c>
      <c r="M26" s="142">
        <f>L26-K26</f>
        <v>0</v>
      </c>
      <c r="N26" s="144"/>
      <c r="O26" s="144"/>
      <c r="P26" s="79"/>
      <c r="Q26" s="1"/>
      <c r="R26" s="1"/>
      <c r="S26" s="1"/>
      <c r="T26" s="1"/>
    </row>
    <row r="27" spans="2:20" ht="3" customHeight="1">
      <c r="B27" s="128"/>
      <c r="C27" s="50"/>
      <c r="D27" s="140"/>
      <c r="E27" s="141"/>
      <c r="F27" s="157"/>
      <c r="G27" s="144"/>
      <c r="H27" s="144"/>
      <c r="I27" s="145"/>
      <c r="J27" s="50"/>
      <c r="K27" s="140"/>
      <c r="L27" s="141"/>
      <c r="M27" s="142"/>
      <c r="N27" s="144"/>
      <c r="O27" s="144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9">
        <f>SUM(M23:M26)</f>
        <v>0</v>
      </c>
      <c r="N28" s="54"/>
      <c r="O28" s="54"/>
      <c r="P28" s="80"/>
    </row>
    <row r="29" spans="2:20" ht="3" customHeight="1">
      <c r="B29" s="146"/>
      <c r="C29" s="50"/>
      <c r="D29" s="153"/>
      <c r="E29" s="154"/>
      <c r="F29" s="154"/>
      <c r="G29" s="148"/>
      <c r="H29" s="148"/>
      <c r="I29" s="149"/>
      <c r="J29" s="50"/>
      <c r="K29" s="153"/>
      <c r="L29" s="154"/>
      <c r="M29" s="313"/>
      <c r="N29" s="148"/>
      <c r="O29" s="148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62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5">
    <mergeCell ref="B2:P2"/>
    <mergeCell ref="B3:P3"/>
    <mergeCell ref="B4:P4"/>
    <mergeCell ref="G8:I8"/>
    <mergeCell ref="D7:I7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42</v>
      </c>
      <c r="B1" s="344" t="s">
        <v>69</v>
      </c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</row>
    <row r="2" spans="1:40" ht="15">
      <c r="A2" s="10" t="s">
        <v>44</v>
      </c>
      <c r="B2" s="345" t="s">
        <v>66</v>
      </c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</row>
    <row r="3" spans="1:40">
      <c r="A3" s="10" t="s">
        <v>45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21</v>
      </c>
      <c r="B6" s="5"/>
      <c r="D6" s="341" t="s">
        <v>64</v>
      </c>
      <c r="E6" s="342"/>
      <c r="F6" s="343"/>
      <c r="G6" s="1"/>
      <c r="H6" s="341" t="s">
        <v>65</v>
      </c>
      <c r="I6" s="342"/>
      <c r="J6" s="343"/>
      <c r="K6" s="1"/>
      <c r="L6" s="341" t="s">
        <v>37</v>
      </c>
      <c r="M6" s="342"/>
      <c r="N6" s="34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46</v>
      </c>
      <c r="B7" s="6" t="s">
        <v>9</v>
      </c>
      <c r="D7" s="75" t="s">
        <v>26</v>
      </c>
      <c r="E7" s="75" t="s">
        <v>27</v>
      </c>
      <c r="F7" s="75" t="s">
        <v>7</v>
      </c>
      <c r="G7" s="1"/>
      <c r="H7" s="58" t="s">
        <v>26</v>
      </c>
      <c r="I7" s="58" t="s">
        <v>27</v>
      </c>
      <c r="J7" s="58" t="s">
        <v>7</v>
      </c>
      <c r="K7" s="1"/>
      <c r="L7" s="58" t="s">
        <v>26</v>
      </c>
      <c r="M7" s="58" t="s">
        <v>27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8" t="s">
        <v>67</v>
      </c>
      <c r="C9" s="50"/>
      <c r="D9" s="159">
        <v>0</v>
      </c>
      <c r="E9" s="160">
        <v>0</v>
      </c>
      <c r="F9" s="161">
        <f t="shared" ref="F9:F16" si="0">+D9+E9</f>
        <v>0</v>
      </c>
      <c r="G9" s="52"/>
      <c r="H9" s="159">
        <v>0</v>
      </c>
      <c r="I9" s="160">
        <v>0</v>
      </c>
      <c r="J9" s="161">
        <f t="shared" ref="J9:J16" si="1">+H9+I9</f>
        <v>0</v>
      </c>
      <c r="K9" s="50"/>
      <c r="L9" s="159">
        <f t="shared" ref="L9:L16" si="2">+D9-H9</f>
        <v>0</v>
      </c>
      <c r="M9" s="160">
        <f t="shared" ref="M9:M16" si="3">+E9-I9</f>
        <v>0</v>
      </c>
      <c r="N9" s="161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17</v>
      </c>
      <c r="B10" s="128" t="s">
        <v>1</v>
      </c>
      <c r="C10" s="50"/>
      <c r="D10" s="159" t="e">
        <f ca="1">_xll.HPVAL($A10,$A$18,$A$2,$A$5,$A$6,$A$7)</f>
        <v>#NAME?</v>
      </c>
      <c r="E10" s="160" t="e">
        <f ca="1">_xll.HPVAL($A10,$A$18,$A$3,$A$5,$A$6,$A$7)</f>
        <v>#NAME?</v>
      </c>
      <c r="F10" s="161" t="e">
        <f t="shared" ca="1" si="0"/>
        <v>#NAME?</v>
      </c>
      <c r="G10" s="52"/>
      <c r="H10" s="159" t="e">
        <f ca="1">_xll.HPVAL($A10,$A$1,$A$2,$A$5,$A$6,$A$7)</f>
        <v>#NAME?</v>
      </c>
      <c r="I10" s="160" t="e">
        <f ca="1">_xll.HPVAL($A10,$A$1,$A$3,$A$5,$A$6,$A$7)</f>
        <v>#NAME?</v>
      </c>
      <c r="J10" s="161" t="e">
        <f t="shared" ca="1" si="1"/>
        <v>#NAME?</v>
      </c>
      <c r="K10" s="50"/>
      <c r="L10" s="159" t="e">
        <f t="shared" ca="1" si="2"/>
        <v>#NAME?</v>
      </c>
      <c r="M10" s="160" t="e">
        <f t="shared" ca="1" si="3"/>
        <v>#NAME?</v>
      </c>
      <c r="N10" s="161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8" t="s">
        <v>43</v>
      </c>
      <c r="C11" s="50"/>
      <c r="D11" s="159" t="e">
        <f ca="1">_xll.HPVAL($A11,$A$18,$A$2,$A$5,$A$6,$A$7)</f>
        <v>#NAME?</v>
      </c>
      <c r="E11" s="160" t="e">
        <f ca="1">_xll.HPVAL($A11,$A$18,$A$3,$A$5,$A$6,$A$7)</f>
        <v>#NAME?</v>
      </c>
      <c r="F11" s="161" t="e">
        <f t="shared" ca="1" si="0"/>
        <v>#NAME?</v>
      </c>
      <c r="G11" s="52"/>
      <c r="H11" s="159" t="e">
        <f ca="1">_xll.HPVAL($A11,$A$1,$A$2,$A$5,$A$6,$A$7)</f>
        <v>#NAME?</v>
      </c>
      <c r="I11" s="160" t="e">
        <f ca="1">_xll.HPVAL($A11,$A$1,$A$3,$A$5,$A$6,$A$7)</f>
        <v>#NAME?</v>
      </c>
      <c r="J11" s="161" t="e">
        <f t="shared" ca="1" si="1"/>
        <v>#NAME?</v>
      </c>
      <c r="K11" s="50"/>
      <c r="L11" s="159" t="e">
        <f t="shared" ca="1" si="2"/>
        <v>#NAME?</v>
      </c>
      <c r="M11" s="160" t="e">
        <f t="shared" ca="1" si="3"/>
        <v>#NAME?</v>
      </c>
      <c r="N11" s="161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19</v>
      </c>
      <c r="B12" s="128" t="s">
        <v>63</v>
      </c>
      <c r="C12" s="50"/>
      <c r="D12" s="159" t="e">
        <f ca="1">_xll.HPVAL($A12,$A$18,$A$2,$A$5,$A$6,$A$7)</f>
        <v>#NAME?</v>
      </c>
      <c r="E12" s="160" t="e">
        <f ca="1">_xll.HPVAL($A12,$A$18,$A$3,$A$5,$A$6,$A$7)</f>
        <v>#NAME?</v>
      </c>
      <c r="F12" s="161" t="e">
        <f t="shared" ca="1" si="0"/>
        <v>#NAME?</v>
      </c>
      <c r="G12" s="52"/>
      <c r="H12" s="159" t="e">
        <f ca="1">_xll.HPVAL($A12,$A$1,$A$2,$A$5,$A$6,$A$7)</f>
        <v>#NAME?</v>
      </c>
      <c r="I12" s="160" t="e">
        <f ca="1">_xll.HPVAL($A12,$A$1,$A$3,$A$5,$A$6,$A$7)</f>
        <v>#NAME?</v>
      </c>
      <c r="J12" s="161" t="e">
        <f t="shared" ca="1" si="1"/>
        <v>#NAME?</v>
      </c>
      <c r="K12" s="50"/>
      <c r="L12" s="159" t="e">
        <f t="shared" ca="1" si="2"/>
        <v>#NAME?</v>
      </c>
      <c r="M12" s="160" t="e">
        <f t="shared" ca="1" si="3"/>
        <v>#NAME?</v>
      </c>
      <c r="N12" s="161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41</v>
      </c>
      <c r="B13" s="128" t="s">
        <v>57</v>
      </c>
      <c r="C13" s="50"/>
      <c r="D13" s="159" t="e">
        <f ca="1">_xll.HPVAL($A13,$A$18,$A$2,$A$5,$A$6,$A$7)</f>
        <v>#NAME?</v>
      </c>
      <c r="E13" s="160" t="e">
        <f ca="1">_xll.HPVAL($A13,$A$18,$A$3,$A$5,$A$6,$A$7)</f>
        <v>#NAME?</v>
      </c>
      <c r="F13" s="161" t="e">
        <f t="shared" ca="1" si="0"/>
        <v>#NAME?</v>
      </c>
      <c r="G13" s="52"/>
      <c r="H13" s="159" t="e">
        <f ca="1">_xll.HPVAL($A13,$A$1,$A$2,$A$5,$A$6,$A$7)</f>
        <v>#NAME?</v>
      </c>
      <c r="I13" s="160" t="e">
        <f ca="1">_xll.HPVAL($A13,$A$1,$A$3,$A$5,$A$6,$A$7)</f>
        <v>#NAME?</v>
      </c>
      <c r="J13" s="161" t="e">
        <f t="shared" ca="1" si="1"/>
        <v>#NAME?</v>
      </c>
      <c r="K13" s="50"/>
      <c r="L13" s="159" t="e">
        <f t="shared" ca="1" si="2"/>
        <v>#NAME?</v>
      </c>
      <c r="M13" s="160" t="e">
        <f t="shared" ca="1" si="3"/>
        <v>#NAME?</v>
      </c>
      <c r="N13" s="161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18</v>
      </c>
      <c r="B14" s="128" t="s">
        <v>49</v>
      </c>
      <c r="C14" s="50"/>
      <c r="D14" s="159" t="e">
        <f ca="1">_xll.HPVAL($A14,$A$18,$A$2,$A$5,$A$6,$A$7)</f>
        <v>#NAME?</v>
      </c>
      <c r="E14" s="160" t="e">
        <f ca="1">_xll.HPVAL($A14,$A$18,$A$3,$A$5,$A$6,$A$7)</f>
        <v>#NAME?</v>
      </c>
      <c r="F14" s="161" t="e">
        <f t="shared" ca="1" si="0"/>
        <v>#NAME?</v>
      </c>
      <c r="G14" s="52"/>
      <c r="H14" s="159" t="e">
        <f ca="1">_xll.HPVAL($A14,$A$1,$A$2,$A$5,$A$6,$A$7)</f>
        <v>#NAME?</v>
      </c>
      <c r="I14" s="160" t="e">
        <f ca="1">_xll.HPVAL($A14,$A$1,$A$3,$A$5,$A$6,$A$7)</f>
        <v>#NAME?</v>
      </c>
      <c r="J14" s="161" t="e">
        <f t="shared" ca="1" si="1"/>
        <v>#NAME?</v>
      </c>
      <c r="K14" s="50"/>
      <c r="L14" s="159" t="e">
        <f t="shared" ca="1" si="2"/>
        <v>#NAME?</v>
      </c>
      <c r="M14" s="160" t="e">
        <f t="shared" ca="1" si="3"/>
        <v>#NAME?</v>
      </c>
      <c r="N14" s="161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8" t="s">
        <v>2</v>
      </c>
      <c r="C15" s="50"/>
      <c r="D15" s="159">
        <v>0</v>
      </c>
      <c r="E15" s="160">
        <v>0</v>
      </c>
      <c r="F15" s="161">
        <f t="shared" si="0"/>
        <v>0</v>
      </c>
      <c r="G15" s="52"/>
      <c r="H15" s="159">
        <v>0</v>
      </c>
      <c r="I15" s="160">
        <v>0</v>
      </c>
      <c r="J15" s="161">
        <f t="shared" si="1"/>
        <v>0</v>
      </c>
      <c r="K15" s="50"/>
      <c r="L15" s="159">
        <f t="shared" si="2"/>
        <v>0</v>
      </c>
      <c r="M15" s="160">
        <f t="shared" si="3"/>
        <v>0</v>
      </c>
      <c r="N15" s="161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20</v>
      </c>
      <c r="B16" s="128" t="s">
        <v>22</v>
      </c>
      <c r="C16" s="50"/>
      <c r="D16" s="159">
        <v>0</v>
      </c>
      <c r="E16" s="160">
        <v>0</v>
      </c>
      <c r="F16" s="161">
        <f t="shared" si="0"/>
        <v>0</v>
      </c>
      <c r="G16" s="52"/>
      <c r="H16" s="159">
        <v>0</v>
      </c>
      <c r="I16" s="160">
        <v>0</v>
      </c>
      <c r="J16" s="161">
        <f t="shared" si="1"/>
        <v>0</v>
      </c>
      <c r="K16" s="50"/>
      <c r="L16" s="159">
        <f t="shared" si="2"/>
        <v>0</v>
      </c>
      <c r="M16" s="160">
        <f t="shared" si="3"/>
        <v>0</v>
      </c>
      <c r="N16" s="161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20</v>
      </c>
      <c r="B17" s="128"/>
      <c r="C17" s="50"/>
      <c r="D17" s="159"/>
      <c r="E17" s="160"/>
      <c r="F17" s="161"/>
      <c r="G17" s="52"/>
      <c r="H17" s="159"/>
      <c r="I17" s="160"/>
      <c r="J17" s="161"/>
      <c r="K17" s="50"/>
      <c r="L17" s="159"/>
      <c r="M17" s="160"/>
      <c r="N17" s="161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36</v>
      </c>
      <c r="B18" s="51" t="s">
        <v>77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6"/>
      <c r="C19" s="50"/>
      <c r="D19" s="147"/>
      <c r="E19" s="148"/>
      <c r="F19" s="149"/>
      <c r="G19" s="50"/>
      <c r="H19" s="147"/>
      <c r="I19" s="148"/>
      <c r="J19" s="149"/>
      <c r="K19" s="50"/>
      <c r="L19" s="147"/>
      <c r="M19" s="148"/>
      <c r="N19" s="149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AllocExp</vt:lpstr>
      <vt:lpstr>Headcount</vt:lpstr>
      <vt:lpstr>nr_Mgmt_Summary</vt:lpstr>
      <vt:lpstr>AllocExp!Print_Area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2001-05-29T12:56:23Z</cp:lastPrinted>
  <dcterms:created xsi:type="dcterms:W3CDTF">1999-10-18T12:36:30Z</dcterms:created>
  <dcterms:modified xsi:type="dcterms:W3CDTF">2014-09-05T10:50:33Z</dcterms:modified>
</cp:coreProperties>
</file>