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 activeTab="1"/>
  </bookViews>
  <sheets>
    <sheet name="Natural Gas Consolidated" sheetId="1" r:id="rId1"/>
    <sheet name="East - Orig" sheetId="12" r:id="rId2"/>
    <sheet name="East - Trading" sheetId="14" r:id="rId3"/>
  </sheets>
  <externalReferences>
    <externalReference r:id="rId4"/>
    <externalReference r:id="rId5"/>
  </externalReferences>
  <definedNames>
    <definedName name="_xlnm.Print_Area" localSheetId="1">'East - Orig'!$B$1:$L$34</definedName>
    <definedName name="_xlnm.Print_Area" localSheetId="2">'East - Trading'!$B$1:$L$34</definedName>
    <definedName name="_xlnm.Print_Area" localSheetId="0">'Natural Gas Consolidated'!$B$1:$L$34</definedName>
    <definedName name="SAPFuncF4Help" localSheetId="1" hidden="1">Main.SAPF4Help()</definedName>
    <definedName name="SAPFuncF4Help" localSheetId="2" hidden="1">Main.SAPF4Help()</definedName>
    <definedName name="SAPFuncF4Help" hidden="1">Main.SAPF4Help()</definedName>
  </definedNames>
  <calcPr calcId="152511" calcOnSave="0"/>
</workbook>
</file>

<file path=xl/calcChain.xml><?xml version="1.0" encoding="utf-8"?>
<calcChain xmlns="http://schemas.openxmlformats.org/spreadsheetml/2006/main">
  <c r="B1" i="12" l="1"/>
  <c r="C8" i="12"/>
  <c r="E8" i="12" s="1"/>
  <c r="C9" i="12"/>
  <c r="C10" i="12"/>
  <c r="E10" i="12"/>
  <c r="C11" i="12"/>
  <c r="E11" i="12" s="1"/>
  <c r="C12" i="12"/>
  <c r="E12" i="12" s="1"/>
  <c r="C13" i="12"/>
  <c r="E13" i="12" s="1"/>
  <c r="C14" i="12"/>
  <c r="E14" i="12" s="1"/>
  <c r="C15" i="12"/>
  <c r="E15" i="12" s="1"/>
  <c r="C16" i="12"/>
  <c r="E16" i="12" s="1"/>
  <c r="K16" i="12"/>
  <c r="K28" i="12" s="1"/>
  <c r="K11" i="12" s="1"/>
  <c r="K34" i="12" s="1"/>
  <c r="C17" i="12"/>
  <c r="E17" i="12"/>
  <c r="H17" i="12" s="1"/>
  <c r="L17" i="12"/>
  <c r="C18" i="12"/>
  <c r="E18" i="12" s="1"/>
  <c r="L18" i="12"/>
  <c r="C19" i="12"/>
  <c r="E19" i="12" s="1"/>
  <c r="L19" i="12"/>
  <c r="C20" i="12"/>
  <c r="E20" i="12" s="1"/>
  <c r="L20" i="12"/>
  <c r="C21" i="12"/>
  <c r="E21" i="12"/>
  <c r="L21" i="12"/>
  <c r="H10" i="12" s="1"/>
  <c r="C22" i="12"/>
  <c r="E22" i="12"/>
  <c r="L22" i="12"/>
  <c r="C23" i="12"/>
  <c r="L23" i="12"/>
  <c r="K24" i="12"/>
  <c r="L24" i="12"/>
  <c r="E25" i="12"/>
  <c r="E29" i="12" s="1"/>
  <c r="I34" i="12" s="1"/>
  <c r="H25" i="12"/>
  <c r="H29" i="12" s="1"/>
  <c r="L25" i="12"/>
  <c r="L26" i="12"/>
  <c r="E27" i="12"/>
  <c r="H27" i="12"/>
  <c r="L27" i="12"/>
  <c r="B1" i="14"/>
  <c r="C8" i="14"/>
  <c r="E8" i="14" s="1"/>
  <c r="C9" i="14"/>
  <c r="C23" i="14" s="1"/>
  <c r="C10" i="14"/>
  <c r="E10" i="14"/>
  <c r="C11" i="14"/>
  <c r="E11" i="14"/>
  <c r="C12" i="14"/>
  <c r="E12" i="14"/>
  <c r="C13" i="14"/>
  <c r="E13" i="14" s="1"/>
  <c r="C14" i="14"/>
  <c r="E14" i="14"/>
  <c r="C15" i="14"/>
  <c r="E15" i="14"/>
  <c r="C16" i="14"/>
  <c r="E16" i="14"/>
  <c r="K16" i="14"/>
  <c r="L16" i="14"/>
  <c r="C17" i="14"/>
  <c r="E17" i="14" s="1"/>
  <c r="L17" i="14"/>
  <c r="C18" i="14"/>
  <c r="E18" i="14" s="1"/>
  <c r="L18" i="14"/>
  <c r="C19" i="14"/>
  <c r="E19" i="14"/>
  <c r="L19" i="14"/>
  <c r="C20" i="14"/>
  <c r="E20" i="14"/>
  <c r="L20" i="14"/>
  <c r="C21" i="14"/>
  <c r="E21" i="14" s="1"/>
  <c r="L21" i="14"/>
  <c r="H10" i="14" s="1"/>
  <c r="C22" i="14"/>
  <c r="E22" i="14"/>
  <c r="L22" i="14"/>
  <c r="L23" i="14"/>
  <c r="L24" i="14"/>
  <c r="E25" i="14"/>
  <c r="E29" i="14" s="1"/>
  <c r="H25" i="14"/>
  <c r="H29" i="14" s="1"/>
  <c r="L25" i="14"/>
  <c r="L26" i="14"/>
  <c r="E27" i="14"/>
  <c r="H27" i="14"/>
  <c r="L27" i="14"/>
  <c r="K28" i="14"/>
  <c r="K11" i="14" s="1"/>
  <c r="K34" i="14" s="1"/>
  <c r="L28" i="14"/>
  <c r="L30" i="14" s="1"/>
  <c r="B1" i="1"/>
  <c r="C8" i="1"/>
  <c r="E8" i="1" s="1"/>
  <c r="C9" i="1"/>
  <c r="C23" i="1" s="1"/>
  <c r="C10" i="1"/>
  <c r="E10" i="1"/>
  <c r="C11" i="1"/>
  <c r="E11" i="1"/>
  <c r="C12" i="1"/>
  <c r="E12" i="1" s="1"/>
  <c r="C13" i="1"/>
  <c r="E13" i="1" s="1"/>
  <c r="C14" i="1"/>
  <c r="E14" i="1"/>
  <c r="C15" i="1"/>
  <c r="E15" i="1" s="1"/>
  <c r="C16" i="1"/>
  <c r="E16" i="1" s="1"/>
  <c r="K16" i="1"/>
  <c r="L16" i="1" s="1"/>
  <c r="C17" i="1"/>
  <c r="E17" i="1"/>
  <c r="H17" i="1" s="1"/>
  <c r="K17" i="1"/>
  <c r="L17" i="1"/>
  <c r="C18" i="1"/>
  <c r="E18" i="1" s="1"/>
  <c r="L18" i="1"/>
  <c r="C19" i="1"/>
  <c r="E19" i="1"/>
  <c r="H19" i="1" s="1"/>
  <c r="K19" i="1"/>
  <c r="L19" i="1" s="1"/>
  <c r="C20" i="1"/>
  <c r="E20" i="1" s="1"/>
  <c r="K20" i="1"/>
  <c r="K28" i="1" s="1"/>
  <c r="K11" i="1" s="1"/>
  <c r="C21" i="1"/>
  <c r="E21" i="1" s="1"/>
  <c r="K21" i="1"/>
  <c r="L21" i="1"/>
  <c r="C22" i="1"/>
  <c r="E22" i="1" s="1"/>
  <c r="K22" i="1"/>
  <c r="L22" i="1" s="1"/>
  <c r="K23" i="1"/>
  <c r="L23" i="1" s="1"/>
  <c r="K24" i="1"/>
  <c r="L24" i="1" s="1"/>
  <c r="E25" i="1"/>
  <c r="L25" i="1"/>
  <c r="K26" i="1"/>
  <c r="L26" i="1" s="1"/>
  <c r="E27" i="1"/>
  <c r="H27" i="1"/>
  <c r="K27" i="1"/>
  <c r="L27" i="1"/>
  <c r="E29" i="1"/>
  <c r="I34" i="1" s="1"/>
  <c r="H20" i="1" l="1"/>
  <c r="H11" i="14"/>
  <c r="N11" i="14" s="1"/>
  <c r="L8" i="14"/>
  <c r="G15" i="12"/>
  <c r="H15" i="12"/>
  <c r="H20" i="14"/>
  <c r="G14" i="12"/>
  <c r="H14" i="12"/>
  <c r="H13" i="14"/>
  <c r="H34" i="14"/>
  <c r="E23" i="14"/>
  <c r="G8" i="14" s="1"/>
  <c r="G18" i="12"/>
  <c r="H18" i="12"/>
  <c r="G13" i="12"/>
  <c r="H13" i="12"/>
  <c r="H22" i="1"/>
  <c r="G16" i="1"/>
  <c r="H16" i="1"/>
  <c r="J11" i="14"/>
  <c r="L11" i="14" s="1"/>
  <c r="G21" i="12"/>
  <c r="H12" i="12"/>
  <c r="J11" i="12"/>
  <c r="L11" i="12" s="1"/>
  <c r="H34" i="12"/>
  <c r="J34" i="12" s="1"/>
  <c r="L34" i="12" s="1"/>
  <c r="G12" i="12"/>
  <c r="J11" i="1"/>
  <c r="L11" i="1" s="1"/>
  <c r="H34" i="1"/>
  <c r="J34" i="1" s="1"/>
  <c r="H12" i="1"/>
  <c r="H19" i="12"/>
  <c r="H17" i="14"/>
  <c r="H15" i="1"/>
  <c r="H18" i="1"/>
  <c r="G18" i="1"/>
  <c r="E23" i="1"/>
  <c r="G12" i="1" s="1"/>
  <c r="H15" i="14"/>
  <c r="G20" i="12"/>
  <c r="H20" i="12"/>
  <c r="H12" i="14"/>
  <c r="I34" i="14"/>
  <c r="G22" i="12"/>
  <c r="E23" i="12"/>
  <c r="G8" i="12"/>
  <c r="H10" i="1"/>
  <c r="G19" i="14"/>
  <c r="G11" i="12"/>
  <c r="G10" i="12"/>
  <c r="G21" i="1"/>
  <c r="H21" i="1"/>
  <c r="H14" i="1"/>
  <c r="K34" i="1"/>
  <c r="G13" i="1"/>
  <c r="H13" i="1"/>
  <c r="H21" i="14"/>
  <c r="G18" i="14"/>
  <c r="H18" i="14"/>
  <c r="G16" i="12"/>
  <c r="H16" i="12"/>
  <c r="G17" i="1"/>
  <c r="H8" i="14"/>
  <c r="H25" i="1"/>
  <c r="H29" i="1" s="1"/>
  <c r="L20" i="1"/>
  <c r="L28" i="1" s="1"/>
  <c r="H19" i="14"/>
  <c r="H16" i="14"/>
  <c r="H14" i="14"/>
  <c r="H21" i="12"/>
  <c r="L16" i="12"/>
  <c r="L28" i="12" s="1"/>
  <c r="L30" i="1" l="1"/>
  <c r="H8" i="1"/>
  <c r="N8" i="14"/>
  <c r="N23" i="14" s="1"/>
  <c r="H23" i="14"/>
  <c r="G21" i="14"/>
  <c r="G10" i="1"/>
  <c r="G20" i="1"/>
  <c r="H8" i="12"/>
  <c r="L30" i="12"/>
  <c r="G20" i="14"/>
  <c r="G16" i="14"/>
  <c r="G15" i="1"/>
  <c r="G11" i="14"/>
  <c r="G12" i="14"/>
  <c r="G22" i="14"/>
  <c r="G9" i="14"/>
  <c r="G10" i="14"/>
  <c r="G23" i="14"/>
  <c r="G15" i="14"/>
  <c r="G17" i="14"/>
  <c r="J34" i="14"/>
  <c r="L34" i="14" s="1"/>
  <c r="G11" i="1"/>
  <c r="G14" i="1"/>
  <c r="G9" i="1"/>
  <c r="G19" i="1"/>
  <c r="G23" i="1"/>
  <c r="G22" i="1"/>
  <c r="G14" i="14"/>
  <c r="G9" i="12"/>
  <c r="G23" i="12"/>
  <c r="G17" i="12"/>
  <c r="G8" i="1"/>
  <c r="G19" i="12"/>
  <c r="G13" i="14"/>
  <c r="L13" i="14"/>
  <c r="L34" i="1"/>
  <c r="H23" i="1" l="1"/>
  <c r="H11" i="12"/>
  <c r="N11" i="12" s="1"/>
  <c r="L8" i="12"/>
  <c r="L13" i="12" s="1"/>
  <c r="L8" i="1"/>
  <c r="L13" i="1" s="1"/>
  <c r="H11" i="1"/>
  <c r="N8" i="12"/>
  <c r="N23" i="12" l="1"/>
  <c r="H23" i="12"/>
</calcChain>
</file>

<file path=xl/sharedStrings.xml><?xml version="1.0" encoding="utf-8"?>
<sst xmlns="http://schemas.openxmlformats.org/spreadsheetml/2006/main" count="231" uniqueCount="80">
  <si>
    <t>Natural Gas Consolidated</t>
  </si>
  <si>
    <t>2002 Plan</t>
  </si>
  <si>
    <t>Per HC</t>
  </si>
  <si>
    <t>New HC</t>
  </si>
  <si>
    <t>Adjust Comp</t>
  </si>
  <si>
    <t>2001</t>
  </si>
  <si>
    <t>%</t>
  </si>
  <si>
    <t>2002</t>
  </si>
  <si>
    <t>YTD Actual</t>
  </si>
  <si>
    <t>Forecast</t>
  </si>
  <si>
    <t>of Total</t>
  </si>
  <si>
    <t>Plan</t>
  </si>
  <si>
    <t>ENACOMP</t>
  </si>
  <si>
    <t>Compensation</t>
  </si>
  <si>
    <t>Special Pays</t>
  </si>
  <si>
    <t>Analyst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</si>
  <si>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</si>
  <si>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</si>
  <si>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</si>
  <si>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</si>
  <si>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</si>
  <si>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</si>
  <si>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</si>
  <si>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</si>
  <si>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</si>
  <si>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</si>
  <si>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</si>
  <si>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</si>
  <si>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</si>
  <si>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</si>
  <si>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Intern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</si>
  <si>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</si>
  <si>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</si>
  <si>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</si>
  <si>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</si>
  <si>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</si>
  <si>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</si>
  <si>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</si>
  <si>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</si>
  <si>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</si>
  <si>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</si>
  <si>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</si>
  <si>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</si>
  <si>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</si>
  <si>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</si>
  <si>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</si>
  <si>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</si>
  <si>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</si>
  <si>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</si>
  <si>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</si>
  <si>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</si>
  <si>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</si>
  <si>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</si>
  <si>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</si>
  <si>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</si>
  <si>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</si>
  <si>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A&amp;A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</si>
  <si>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</si>
  <si>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</si>
  <si>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</si>
  <si>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</si>
  <si>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</si>
  <si>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</si>
  <si>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</si>
  <si>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East Gas - Trading</t>
  </si>
  <si>
    <t>East Gas - Orig</t>
  </si>
  <si>
    <t>Frank W. Vickers</t>
  </si>
  <si>
    <t>Vice President</t>
  </si>
  <si>
    <t>David F. Jones</t>
  </si>
  <si>
    <t>Jared L. Kaiser</t>
  </si>
  <si>
    <t>John C. Taylor</t>
  </si>
  <si>
    <t>Scott M. Neal</t>
  </si>
  <si>
    <t>Sandra F. Brawner</t>
  </si>
  <si>
    <t>Bradley T. McKay</t>
  </si>
  <si>
    <t>Jonathan McKay</t>
  </si>
  <si>
    <t>Andrea K. Ring</t>
  </si>
  <si>
    <t>Peter F. Keavey</t>
  </si>
  <si>
    <t>Judith G. Townsend</t>
  </si>
  <si>
    <t>Charles H. Ames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</si>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</sst>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9" formatCode="0.0%"/>
  </numFmts>
  <fonts count="8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 applyProtection="1">
      <alignment horizontal="center"/>
    </xf>
    <xf numFmtId="165" fontId="2" fillId="0" borderId="0" xfId="3" applyNumberFormat="1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0" xfId="3" applyNumberFormat="1" applyBorder="1"/>
    <xf numFmtId="165" fontId="1" fillId="0" borderId="5" xfId="3" applyNumberFormat="1" applyBorder="1"/>
    <xf numFmtId="17" fontId="3" fillId="0" borderId="0" xfId="0" applyNumberFormat="1" applyFont="1" applyFill="1" applyBorder="1" applyAlignment="1" applyProtection="1">
      <alignment horizontal="center"/>
    </xf>
    <xf numFmtId="17" fontId="3" fillId="0" borderId="0" xfId="0" quotePrefix="1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65" fontId="6" fillId="0" borderId="0" xfId="3" applyNumberFormat="1" applyFont="1" applyProtection="1"/>
    <xf numFmtId="169" fontId="6" fillId="0" borderId="0" xfId="5" applyNumberFormat="1" applyFont="1" applyProtection="1"/>
    <xf numFmtId="165" fontId="6" fillId="2" borderId="0" xfId="3" applyNumberFormat="1" applyFont="1" applyFill="1" applyProtection="1"/>
    <xf numFmtId="165" fontId="6" fillId="0" borderId="0" xfId="3" applyNumberFormat="1" applyFont="1" applyFill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1" fillId="0" borderId="0" xfId="3" applyNumberFormat="1"/>
    <xf numFmtId="165" fontId="0" fillId="0" borderId="0" xfId="0" applyNumberFormat="1"/>
    <xf numFmtId="165" fontId="1" fillId="0" borderId="0" xfId="3" applyNumberFormat="1" applyFont="1"/>
    <xf numFmtId="0" fontId="0" fillId="0" borderId="0" xfId="0" applyBorder="1"/>
    <xf numFmtId="165" fontId="6" fillId="0" borderId="0" xfId="3" applyNumberFormat="1" applyFont="1" applyBorder="1" applyProtection="1"/>
    <xf numFmtId="49" fontId="5" fillId="0" borderId="0" xfId="1" applyNumberFormat="1" applyFont="1" applyProtection="1"/>
    <xf numFmtId="0" fontId="3" fillId="0" borderId="0" xfId="1" applyNumberFormat="1" applyFont="1" applyProtection="1"/>
    <xf numFmtId="166" fontId="6" fillId="0" borderId="9" xfId="4" applyNumberFormat="1" applyFont="1" applyBorder="1"/>
    <xf numFmtId="169" fontId="6" fillId="0" borderId="9" xfId="5" applyNumberFormat="1" applyFont="1" applyBorder="1"/>
    <xf numFmtId="166" fontId="6" fillId="0" borderId="0" xfId="4" applyNumberFormat="1" applyFont="1" applyBorder="1"/>
    <xf numFmtId="165" fontId="6" fillId="0" borderId="9" xfId="3" applyNumberFormat="1" applyFont="1" applyBorder="1" applyProtection="1"/>
    <xf numFmtId="9" fontId="1" fillId="0" borderId="0" xfId="5"/>
    <xf numFmtId="0" fontId="7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165" fontId="7" fillId="0" borderId="0" xfId="3" applyNumberFormat="1" applyFont="1" applyFill="1" applyBorder="1" applyAlignment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</cellXfs>
  <cellStyles count="9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  <cellStyle name="SAPLocked" xfId="6"/>
    <cellStyle name="SAPOutput" xfId="7"/>
    <cellStyle name="SAPUnLocked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east/Local%20Settings/Temporary%20Internet%20Files/OLK588/WPR%20Trading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east/Local%20Settings/Temporary%20Internet%20Files/OLK588/Natural%20Gas%20Consolida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R39"/>
  <sheetViews>
    <sheetView zoomScaleNormal="100" workbookViewId="0">
      <selection activeCell="H8" sqref="H8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17" width="10.7109375" hidden="1" customWidth="1"/>
    <col min="18" max="39" width="0" hidden="1" customWidth="1"/>
  </cols>
  <sheetData>
    <row r="1" spans="1:44" ht="18" x14ac:dyDescent="0.25">
      <c r="B1" s="40" t="str">
        <f>'[1]Team Report'!B1</f>
        <v>Enron North America</v>
      </c>
      <c r="C1" s="40"/>
      <c r="D1" s="40"/>
      <c r="E1" s="40"/>
      <c r="F1" s="40"/>
      <c r="G1" s="40"/>
      <c r="H1" s="40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40" t="s">
        <v>0</v>
      </c>
      <c r="C2" s="40"/>
      <c r="D2" s="40"/>
      <c r="E2" s="40"/>
      <c r="F2" s="40"/>
      <c r="G2" s="40"/>
      <c r="H2" s="40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41" t="s">
        <v>1</v>
      </c>
      <c r="C3" s="41"/>
      <c r="D3" s="41"/>
      <c r="E3" s="41"/>
      <c r="F3" s="41"/>
      <c r="G3" s="41"/>
      <c r="H3" s="41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12159180</v>
      </c>
      <c r="I8" s="7" t="s">
        <v>13</v>
      </c>
      <c r="J8" s="8">
        <v>0</v>
      </c>
      <c r="K8" s="8"/>
      <c r="L8" s="9">
        <f>L30</f>
        <v>15668136</v>
      </c>
      <c r="Q8" s="15"/>
    </row>
    <row r="9" spans="1:44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897600</v>
      </c>
      <c r="I10" s="7"/>
      <c r="J10" s="8"/>
      <c r="K10" s="8"/>
      <c r="L10" s="9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2611356</v>
      </c>
      <c r="I11" s="7" t="s">
        <v>18</v>
      </c>
      <c r="J11" s="8">
        <f>(E12+E13+E14+E15+E16+E17+E18+E19+E20+E21+E22)/E29</f>
        <v>48270.181250000009</v>
      </c>
      <c r="K11" s="8">
        <f>K28</f>
        <v>90</v>
      </c>
      <c r="L11" s="9">
        <f>J11*K11</f>
        <v>4344316.3125000009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554622.63749999972</v>
      </c>
      <c r="I12" s="7"/>
      <c r="J12" s="8"/>
      <c r="K12" s="8"/>
      <c r="L12" s="9"/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493646.12250000011</v>
      </c>
      <c r="I13" s="19" t="s">
        <v>23</v>
      </c>
      <c r="J13" s="20"/>
      <c r="K13" s="20"/>
      <c r="L13" s="21">
        <f>L8+L11</f>
        <v>20012452.3125</v>
      </c>
      <c r="N13" s="22"/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0.18000000001484293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78422.249999999985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4425</v>
      </c>
      <c r="I17" s="22" t="s">
        <v>33</v>
      </c>
      <c r="J17" s="22">
        <v>48400</v>
      </c>
      <c r="K17" s="22">
        <f>12</f>
        <v>12</v>
      </c>
      <c r="L17" s="22">
        <f t="shared" si="2"/>
        <v>580800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80366.190000000017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81907.740000000005</v>
      </c>
      <c r="I19" s="22" t="s">
        <v>39</v>
      </c>
      <c r="J19" s="22">
        <v>57750</v>
      </c>
      <c r="K19" s="22">
        <f>1</f>
        <v>1</v>
      </c>
      <c r="L19" s="22">
        <f t="shared" si="2"/>
        <v>57750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12</v>
      </c>
      <c r="I20" s="22" t="s">
        <v>42</v>
      </c>
      <c r="J20" s="22">
        <v>71500</v>
      </c>
      <c r="K20" s="22">
        <f>2+1</f>
        <v>3</v>
      </c>
      <c r="L20" s="22">
        <f t="shared" si="2"/>
        <v>214500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101841.68249999991</v>
      </c>
      <c r="I21" s="22" t="s">
        <v>45</v>
      </c>
      <c r="J21" s="22">
        <v>60500</v>
      </c>
      <c r="K21" s="22">
        <f>5+1</f>
        <v>6</v>
      </c>
      <c r="L21" s="22">
        <f t="shared" si="2"/>
        <v>363000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(E22/$E$29)*$K$11+557047+65535</f>
        <v>3571654.5100000016</v>
      </c>
      <c r="I22" s="22" t="s">
        <v>48</v>
      </c>
      <c r="J22" s="22">
        <v>89100</v>
      </c>
      <c r="K22" s="22">
        <f>1+5</f>
        <v>6</v>
      </c>
      <c r="L22" s="22">
        <f t="shared" si="2"/>
        <v>534600</v>
      </c>
      <c r="P22" s="25"/>
      <c r="Q22" s="26"/>
    </row>
    <row r="23" spans="1:17" x14ac:dyDescent="0.2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20635034.3125</v>
      </c>
      <c r="I23" s="22" t="s">
        <v>51</v>
      </c>
      <c r="J23" s="22">
        <v>110000</v>
      </c>
      <c r="K23" s="22">
        <f>1+8+11</f>
        <v>20</v>
      </c>
      <c r="L23" s="22">
        <f t="shared" si="2"/>
        <v>2200000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f>1+11+14</f>
        <v>26</v>
      </c>
      <c r="L24" s="22">
        <f t="shared" si="2"/>
        <v>3718000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78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f>8+6</f>
        <v>14</v>
      </c>
      <c r="L26" s="22">
        <f t="shared" si="2"/>
        <v>2772000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12</v>
      </c>
      <c r="I27" s="22" t="s">
        <v>57</v>
      </c>
      <c r="J27" s="22">
        <v>220000</v>
      </c>
      <c r="K27" s="22">
        <f>1+1</f>
        <v>2</v>
      </c>
      <c r="L27" s="22">
        <f t="shared" si="2"/>
        <v>440000</v>
      </c>
      <c r="P27" s="25"/>
      <c r="Q27" s="26"/>
    </row>
    <row r="28" spans="1:17" x14ac:dyDescent="0.2">
      <c r="K28" s="22">
        <f>SUM(K16:K27)</f>
        <v>90</v>
      </c>
      <c r="L28" s="22">
        <f>SUM(L16:L27)*1.2</f>
        <v>13056780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90</v>
      </c>
      <c r="L29" s="33">
        <v>0.2</v>
      </c>
      <c r="P29" s="25"/>
      <c r="Q29" s="26"/>
    </row>
    <row r="30" spans="1:17" hidden="1" x14ac:dyDescent="0.2">
      <c r="L30" s="22">
        <f>L28*1.2</f>
        <v>15668136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8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90</v>
      </c>
      <c r="L34" s="38">
        <f>+J34*K34</f>
        <v>4344316.3125000009</v>
      </c>
      <c r="P34" s="25"/>
      <c r="Q34" s="25"/>
    </row>
    <row r="35" spans="8:17" hidden="1" x14ac:dyDescent="0.2">
      <c r="P35" s="25"/>
      <c r="Q35" s="25"/>
    </row>
    <row r="36" spans="8:17" hidden="1" x14ac:dyDescent="0.2">
      <c r="P36" s="25"/>
      <c r="Q36" s="25"/>
    </row>
    <row r="37" spans="8:17" hidden="1" x14ac:dyDescent="0.2">
      <c r="P37" s="25"/>
      <c r="Q37" s="25"/>
    </row>
    <row r="38" spans="8:17" hidden="1" x14ac:dyDescent="0.2">
      <c r="P38" s="25"/>
      <c r="Q38" s="25"/>
    </row>
    <row r="39" spans="8:17" x14ac:dyDescent="0.2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R44"/>
  <sheetViews>
    <sheetView tabSelected="1" zoomScale="90" zoomScaleNormal="100" workbookViewId="0">
      <selection activeCell="N29" sqref="N29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4" max="14" width="14" customWidth="1"/>
    <col min="16" max="16" width="10.28515625" customWidth="1"/>
    <col min="17" max="17" width="10.7109375" customWidth="1"/>
  </cols>
  <sheetData>
    <row r="1" spans="1:44" ht="18" x14ac:dyDescent="0.25">
      <c r="B1" s="40" t="str">
        <f>'[1]Team Report'!B1</f>
        <v>Enron North America</v>
      </c>
      <c r="C1" s="40"/>
      <c r="D1" s="40"/>
      <c r="E1" s="40"/>
      <c r="F1" s="40"/>
      <c r="G1" s="40"/>
      <c r="H1" s="40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40" t="s">
        <v>65</v>
      </c>
      <c r="C2" s="40"/>
      <c r="D2" s="40"/>
      <c r="E2" s="40"/>
      <c r="F2" s="40"/>
      <c r="G2" s="40"/>
      <c r="H2" s="40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41" t="s">
        <v>1</v>
      </c>
      <c r="C3" s="41"/>
      <c r="D3" s="41"/>
      <c r="E3" s="41"/>
      <c r="F3" s="41"/>
      <c r="G3" s="41"/>
      <c r="H3" s="41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  <c r="N5" s="39" t="s">
        <v>79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N6" s="11" t="s">
        <v>7</v>
      </c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N7" s="12" t="s">
        <v>11</v>
      </c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712800</v>
      </c>
      <c r="I8" s="7" t="s">
        <v>13</v>
      </c>
      <c r="J8" s="8">
        <v>0</v>
      </c>
      <c r="K8" s="8"/>
      <c r="L8" s="9">
        <f>L30</f>
        <v>855360</v>
      </c>
      <c r="N8" s="15">
        <f>H8/2*1.5</f>
        <v>534600</v>
      </c>
      <c r="Q8" s="15"/>
    </row>
    <row r="9" spans="1:44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N9" s="15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0</v>
      </c>
      <c r="I10" s="7"/>
      <c r="J10" s="8"/>
      <c r="K10" s="8"/>
      <c r="L10" s="9"/>
      <c r="N10" s="15">
        <v>0</v>
      </c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142560</v>
      </c>
      <c r="I11" s="7" t="s">
        <v>18</v>
      </c>
      <c r="J11" s="8">
        <f>(E12+E13+E14+E15+E16+E17+E18+E19+E20+E21+E22)/E29</f>
        <v>48270.181250000009</v>
      </c>
      <c r="K11" s="8">
        <f>K28</f>
        <v>4</v>
      </c>
      <c r="L11" s="9">
        <f>J11*K11</f>
        <v>193080.72500000003</v>
      </c>
      <c r="N11" s="15">
        <f>H11/2*1.5</f>
        <v>106920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24649.89499999999</v>
      </c>
      <c r="I12" s="7"/>
      <c r="J12" s="8"/>
      <c r="K12" s="8"/>
      <c r="L12" s="9"/>
      <c r="N12" s="15">
        <v>30000</v>
      </c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21939.827666666672</v>
      </c>
      <c r="I13" s="19" t="s">
        <v>23</v>
      </c>
      <c r="J13" s="20"/>
      <c r="K13" s="20"/>
      <c r="L13" s="21">
        <f>L8+L11</f>
        <v>1048440.7250000001</v>
      </c>
      <c r="N13" s="15">
        <v>200000</v>
      </c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8.000000000659686E-3</v>
      </c>
      <c r="N14" s="15">
        <v>0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3485.4333333333329</v>
      </c>
      <c r="N15" s="15">
        <v>20000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N16" s="15"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196.66666666666666</v>
      </c>
      <c r="I17" s="22" t="s">
        <v>33</v>
      </c>
      <c r="J17" s="22">
        <v>48400</v>
      </c>
      <c r="K17" s="22">
        <v>0</v>
      </c>
      <c r="L17" s="22">
        <f t="shared" si="2"/>
        <v>0</v>
      </c>
      <c r="N17" s="15">
        <v>197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3571.8306666666672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N18" s="15"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3640.3440000000001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N19" s="15">
        <v>20000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0.53333333333333333</v>
      </c>
      <c r="I20" s="22" t="s">
        <v>42</v>
      </c>
      <c r="J20" s="22">
        <v>71500</v>
      </c>
      <c r="K20" s="22">
        <v>0</v>
      </c>
      <c r="L20" s="22">
        <f t="shared" si="2"/>
        <v>0</v>
      </c>
      <c r="N20" s="15">
        <v>2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4526.2969999999959</v>
      </c>
      <c r="I21" s="22" t="s">
        <v>45</v>
      </c>
      <c r="J21" s="22">
        <v>60500</v>
      </c>
      <c r="K21" s="22">
        <v>0</v>
      </c>
      <c r="L21" s="22">
        <f t="shared" si="2"/>
        <v>0</v>
      </c>
      <c r="N21" s="15">
        <v>5652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v>0</v>
      </c>
      <c r="I22" s="22" t="s">
        <v>48</v>
      </c>
      <c r="J22" s="22">
        <v>89100</v>
      </c>
      <c r="K22" s="22">
        <v>0</v>
      </c>
      <c r="L22" s="22">
        <f t="shared" si="2"/>
        <v>0</v>
      </c>
      <c r="N22" s="15">
        <v>0</v>
      </c>
      <c r="P22" s="25"/>
      <c r="Q22" s="26"/>
    </row>
    <row r="23" spans="1:17" x14ac:dyDescent="0.2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917370.83566666674</v>
      </c>
      <c r="I23" s="22" t="s">
        <v>51</v>
      </c>
      <c r="J23" s="22">
        <v>110000</v>
      </c>
      <c r="K23" s="22">
        <v>1</v>
      </c>
      <c r="L23" s="22">
        <f t="shared" si="2"/>
        <v>110000</v>
      </c>
      <c r="N23" s="29">
        <f>SUM(N8:N22)</f>
        <v>917371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f>1+1</f>
        <v>2</v>
      </c>
      <c r="L24" s="22">
        <f t="shared" si="2"/>
        <v>286000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4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v>1</v>
      </c>
      <c r="L26" s="22">
        <f t="shared" si="2"/>
        <v>198000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0</v>
      </c>
      <c r="I27" s="22" t="s">
        <v>57</v>
      </c>
      <c r="J27" s="22">
        <v>220000</v>
      </c>
      <c r="K27" s="22">
        <v>0</v>
      </c>
      <c r="L27" s="22">
        <f t="shared" si="2"/>
        <v>0</v>
      </c>
      <c r="P27" s="25"/>
      <c r="Q27" s="26"/>
    </row>
    <row r="28" spans="1:17" x14ac:dyDescent="0.2">
      <c r="K28" s="22">
        <f>SUM(K16:K27)</f>
        <v>4</v>
      </c>
      <c r="L28" s="22">
        <f>SUM(L16:L27)*1.2</f>
        <v>712800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4</v>
      </c>
      <c r="L29" s="33">
        <v>0.2</v>
      </c>
      <c r="P29" s="25"/>
      <c r="Q29" s="26"/>
    </row>
    <row r="30" spans="1:17" hidden="1" x14ac:dyDescent="0.2">
      <c r="L30" s="22">
        <f>L28*1.2</f>
        <v>855360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2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2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4</v>
      </c>
      <c r="L34" s="38">
        <f>+J34*K34</f>
        <v>193080.72500000003</v>
      </c>
      <c r="P34" s="25"/>
      <c r="Q34" s="25"/>
    </row>
    <row r="35" spans="2:17" hidden="1" x14ac:dyDescent="0.2">
      <c r="P35" s="25"/>
      <c r="Q35" s="25"/>
    </row>
    <row r="36" spans="2:17" hidden="1" x14ac:dyDescent="0.2">
      <c r="P36" s="25"/>
      <c r="Q36" s="25"/>
    </row>
    <row r="37" spans="2:17" hidden="1" x14ac:dyDescent="0.2">
      <c r="P37" s="25"/>
      <c r="Q37" s="25"/>
    </row>
    <row r="38" spans="2:17" hidden="1" x14ac:dyDescent="0.2">
      <c r="P38" s="25"/>
      <c r="Q38" s="25"/>
    </row>
    <row r="39" spans="2:17" x14ac:dyDescent="0.2">
      <c r="P39" s="25"/>
      <c r="Q39" s="25"/>
    </row>
    <row r="41" spans="2:17" x14ac:dyDescent="0.2">
      <c r="B41" t="s">
        <v>66</v>
      </c>
      <c r="H41" t="s">
        <v>67</v>
      </c>
    </row>
    <row r="42" spans="2:17" x14ac:dyDescent="0.2">
      <c r="B42" t="s">
        <v>68</v>
      </c>
      <c r="H42" t="s">
        <v>52</v>
      </c>
    </row>
    <row r="43" spans="2:17" x14ac:dyDescent="0.2">
      <c r="B43" t="s">
        <v>69</v>
      </c>
      <c r="H43" t="s">
        <v>52</v>
      </c>
    </row>
    <row r="44" spans="2:17" x14ac:dyDescent="0.2">
      <c r="B44" t="s">
        <v>70</v>
      </c>
      <c r="H44" t="s">
        <v>51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R47"/>
  <sheetViews>
    <sheetView zoomScale="80" zoomScaleNormal="100" workbookViewId="0">
      <selection activeCell="N10" sqref="N1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4" max="14" width="14" customWidth="1"/>
    <col min="16" max="16" width="10.28515625" customWidth="1"/>
    <col min="17" max="17" width="10.7109375" customWidth="1"/>
  </cols>
  <sheetData>
    <row r="1" spans="1:44" ht="18" x14ac:dyDescent="0.25">
      <c r="B1" s="40" t="str">
        <f>'[1]Team Report'!B1</f>
        <v>Enron North America</v>
      </c>
      <c r="C1" s="40"/>
      <c r="D1" s="40"/>
      <c r="E1" s="40"/>
      <c r="F1" s="40"/>
      <c r="G1" s="40"/>
      <c r="H1" s="40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40" t="s">
        <v>64</v>
      </c>
      <c r="C2" s="40"/>
      <c r="D2" s="40"/>
      <c r="E2" s="40"/>
      <c r="F2" s="40"/>
      <c r="G2" s="40"/>
      <c r="H2" s="40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41" t="s">
        <v>1</v>
      </c>
      <c r="C3" s="41"/>
      <c r="D3" s="41"/>
      <c r="E3" s="41"/>
      <c r="F3" s="41"/>
      <c r="G3" s="41"/>
      <c r="H3" s="41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  <c r="N5" s="39" t="s">
        <v>79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N6" s="11" t="s">
        <v>7</v>
      </c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N7" s="12" t="s">
        <v>11</v>
      </c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1200100</v>
      </c>
      <c r="I8" s="7" t="s">
        <v>13</v>
      </c>
      <c r="J8" s="8">
        <v>0</v>
      </c>
      <c r="K8" s="8"/>
      <c r="L8" s="9">
        <f>L30</f>
        <v>1512720</v>
      </c>
      <c r="N8" s="15">
        <f>H8/2*1.5-3425</f>
        <v>896650</v>
      </c>
      <c r="Q8" s="15"/>
    </row>
    <row r="9" spans="1:44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N9" s="15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60500</v>
      </c>
      <c r="I10" s="7"/>
      <c r="J10" s="8"/>
      <c r="K10" s="8"/>
      <c r="L10" s="9"/>
      <c r="N10" s="15">
        <v>60500</v>
      </c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252120</v>
      </c>
      <c r="I11" s="7" t="s">
        <v>18</v>
      </c>
      <c r="J11" s="8">
        <f>(E12+E13+E14+E15+E16+E17+E18+E19+E20+E21+E22)/E29</f>
        <v>48270.181250000009</v>
      </c>
      <c r="K11" s="8">
        <f>K28</f>
        <v>8</v>
      </c>
      <c r="L11" s="9">
        <f>J11*K11</f>
        <v>386161.45000000007</v>
      </c>
      <c r="N11" s="15">
        <f>H11/2*1.5</f>
        <v>189090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49299.789999999979</v>
      </c>
      <c r="I12" s="7"/>
      <c r="J12" s="8"/>
      <c r="K12" s="8"/>
      <c r="L12" s="9"/>
      <c r="N12" s="15">
        <v>100000</v>
      </c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43879.655333333343</v>
      </c>
      <c r="I13" s="19" t="s">
        <v>23</v>
      </c>
      <c r="J13" s="20"/>
      <c r="K13" s="20"/>
      <c r="L13" s="21">
        <f>L8+L11</f>
        <v>1898881.4500000002</v>
      </c>
      <c r="N13" s="15">
        <v>200000</v>
      </c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1.6000000001319372E-2</v>
      </c>
      <c r="N14" s="15">
        <v>0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6970.8666666666659</v>
      </c>
      <c r="N15" s="15">
        <v>75000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N16" s="15"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393.33333333333331</v>
      </c>
      <c r="I17" s="22" t="s">
        <v>33</v>
      </c>
      <c r="J17" s="22">
        <v>48400</v>
      </c>
      <c r="K17" s="22">
        <v>0</v>
      </c>
      <c r="L17" s="22">
        <f t="shared" si="2"/>
        <v>0</v>
      </c>
      <c r="N17" s="15">
        <v>500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7143.6613333333344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N18" s="15"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7280.6880000000001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N19" s="15">
        <v>100000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1.0666666666666667</v>
      </c>
      <c r="I20" s="22" t="s">
        <v>42</v>
      </c>
      <c r="J20" s="22">
        <v>71500</v>
      </c>
      <c r="K20" s="22">
        <v>0</v>
      </c>
      <c r="L20" s="22">
        <f t="shared" si="2"/>
        <v>0</v>
      </c>
      <c r="N20" s="15">
        <v>1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9052.5939999999919</v>
      </c>
      <c r="I21" s="22" t="s">
        <v>45</v>
      </c>
      <c r="J21" s="22">
        <v>60500</v>
      </c>
      <c r="K21" s="22">
        <v>1</v>
      </c>
      <c r="L21" s="22">
        <f t="shared" si="2"/>
        <v>60500</v>
      </c>
      <c r="N21" s="15">
        <v>15000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v>3571654.51</v>
      </c>
      <c r="I22" s="22" t="s">
        <v>48</v>
      </c>
      <c r="J22" s="22">
        <v>89100</v>
      </c>
      <c r="K22" s="22">
        <v>0</v>
      </c>
      <c r="L22" s="22">
        <f t="shared" si="2"/>
        <v>0</v>
      </c>
      <c r="N22" s="15">
        <v>3571655</v>
      </c>
      <c r="P22" s="25"/>
      <c r="Q22" s="26"/>
    </row>
    <row r="23" spans="1:17" x14ac:dyDescent="0.2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5208396.1813333333</v>
      </c>
      <c r="I23" s="22" t="s">
        <v>51</v>
      </c>
      <c r="J23" s="22">
        <v>110000</v>
      </c>
      <c r="K23" s="22">
        <v>2</v>
      </c>
      <c r="L23" s="22">
        <f t="shared" si="2"/>
        <v>220000</v>
      </c>
      <c r="N23" s="29">
        <f>SUM(N8:N22)</f>
        <v>5208396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v>4</v>
      </c>
      <c r="L24" s="22">
        <f t="shared" si="2"/>
        <v>572000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7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v>1</v>
      </c>
      <c r="L26" s="22">
        <f t="shared" si="2"/>
        <v>198000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1</v>
      </c>
      <c r="I27" s="22" t="s">
        <v>57</v>
      </c>
      <c r="J27" s="22">
        <v>220000</v>
      </c>
      <c r="K27" s="22">
        <v>0</v>
      </c>
      <c r="L27" s="22">
        <f t="shared" si="2"/>
        <v>0</v>
      </c>
      <c r="P27" s="25"/>
      <c r="Q27" s="26"/>
    </row>
    <row r="28" spans="1:17" x14ac:dyDescent="0.2">
      <c r="K28" s="22">
        <f>SUM(K16:K27)</f>
        <v>8</v>
      </c>
      <c r="L28" s="22">
        <f>SUM(L16:L27)*1.2</f>
        <v>1260600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8</v>
      </c>
      <c r="L29" s="33">
        <v>0.2</v>
      </c>
      <c r="P29" s="25"/>
      <c r="Q29" s="26"/>
    </row>
    <row r="30" spans="1:17" hidden="1" x14ac:dyDescent="0.2">
      <c r="L30" s="22">
        <f>L28*1.2</f>
        <v>1512720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2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2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8</v>
      </c>
      <c r="L34" s="38">
        <f>+J34*K34</f>
        <v>386161.45000000007</v>
      </c>
      <c r="P34" s="25"/>
      <c r="Q34" s="25"/>
    </row>
    <row r="35" spans="2:17" hidden="1" x14ac:dyDescent="0.2">
      <c r="P35" s="25"/>
      <c r="Q35" s="25"/>
    </row>
    <row r="36" spans="2:17" hidden="1" x14ac:dyDescent="0.2">
      <c r="P36" s="25"/>
      <c r="Q36" s="25"/>
    </row>
    <row r="37" spans="2:17" hidden="1" x14ac:dyDescent="0.2">
      <c r="P37" s="25"/>
      <c r="Q37" s="25"/>
    </row>
    <row r="38" spans="2:17" hidden="1" x14ac:dyDescent="0.2">
      <c r="P38" s="25"/>
      <c r="Q38" s="25"/>
    </row>
    <row r="39" spans="2:17" x14ac:dyDescent="0.2">
      <c r="P39" s="25"/>
      <c r="Q39" s="25"/>
    </row>
    <row r="40" spans="2:17" x14ac:dyDescent="0.2">
      <c r="B40" t="s">
        <v>71</v>
      </c>
      <c r="H40" t="s">
        <v>67</v>
      </c>
    </row>
    <row r="41" spans="2:17" x14ac:dyDescent="0.2">
      <c r="B41" t="s">
        <v>72</v>
      </c>
      <c r="H41" t="s">
        <v>52</v>
      </c>
    </row>
    <row r="42" spans="2:17" x14ac:dyDescent="0.2">
      <c r="B42" t="s">
        <v>73</v>
      </c>
      <c r="H42" t="s">
        <v>52</v>
      </c>
    </row>
    <row r="43" spans="2:17" x14ac:dyDescent="0.2">
      <c r="B43" t="s">
        <v>74</v>
      </c>
      <c r="H43" t="s">
        <v>52</v>
      </c>
    </row>
    <row r="44" spans="2:17" x14ac:dyDescent="0.2">
      <c r="B44" t="s">
        <v>75</v>
      </c>
      <c r="H44" t="s">
        <v>52</v>
      </c>
    </row>
    <row r="45" spans="2:17" x14ac:dyDescent="0.2">
      <c r="B45" t="s">
        <v>76</v>
      </c>
      <c r="H45" t="s">
        <v>51</v>
      </c>
    </row>
    <row r="46" spans="2:17" x14ac:dyDescent="0.2">
      <c r="B46" t="s">
        <v>77</v>
      </c>
      <c r="H46" t="s">
        <v>51</v>
      </c>
    </row>
    <row r="47" spans="2:17" x14ac:dyDescent="0.2">
      <c r="B47" t="s">
        <v>78</v>
      </c>
      <c r="H47" t="s">
        <v>45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Natural Gas Consolidated</vt:lpstr>
      <vt:lpstr>East - Orig</vt:lpstr>
      <vt:lpstr>East - Trading</vt:lpstr>
      <vt:lpstr>'East - Orig'!Print_Area</vt:lpstr>
      <vt:lpstr>'East - Trading'!Print_Area</vt:lpstr>
      <vt:lpstr>'Natural Gas Consolidated'!Print_Area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Felienne</cp:lastModifiedBy>
  <cp:lastPrinted>2002-01-03T00:02:08Z</cp:lastPrinted>
  <dcterms:created xsi:type="dcterms:W3CDTF">2002-01-02T17:39:58Z</dcterms:created>
  <dcterms:modified xsi:type="dcterms:W3CDTF">2014-09-04T13:30:26Z</dcterms:modified>
</cp:coreProperties>
</file>